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Jdgarzon\Downloads\"/>
    </mc:Choice>
  </mc:AlternateContent>
  <bookViews>
    <workbookView xWindow="0" yWindow="0" windowWidth="28800" windowHeight="10410" tabRatio="795" firstSheet="2" activeTab="2"/>
  </bookViews>
  <sheets>
    <sheet name="Hoja1" sheetId="10" state="hidden" r:id="rId1"/>
    <sheet name="Hoja2" sheetId="11" state="hidden" r:id="rId2"/>
    <sheet name="PAA VR5 -2024 UAECOB BCS" sheetId="1" r:id="rId3"/>
    <sheet name="Control PAA Vr0" sheetId="9" state="hidden" r:id="rId4"/>
    <sheet name="Distribución Pptal Inv" sheetId="6" state="hidden" r:id="rId5"/>
    <sheet name="TD" sheetId="4" state="hidden" r:id="rId6"/>
    <sheet name="resumen" sheetId="2" state="hidden" r:id="rId7"/>
  </sheets>
  <externalReferences>
    <externalReference r:id="rId8"/>
  </externalReferences>
  <definedNames>
    <definedName name="_xlnm._FilterDatabase" localSheetId="2" hidden="1">'PAA VR5 -2024 UAECOB BCS'!$B$10:$AC$951</definedName>
    <definedName name="_xlnm._FilterDatabase" localSheetId="5" hidden="1">TD!$K$45:$L$45</definedName>
    <definedName name="Sec_Prog_MGA">[1]MGA!$A$7990:$A$8085</definedName>
  </definedNames>
  <calcPr calcId="191029"/>
  <pivotCaches>
    <pivotCache cacheId="0" r:id="rId9"/>
    <pivotCache cacheId="1"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2" i="1" l="1"/>
  <c r="L11" i="1"/>
  <c r="L264" i="1" l="1"/>
  <c r="L251" i="1"/>
  <c r="L263" i="1" l="1"/>
  <c r="L21" i="1" l="1"/>
  <c r="L55" i="1" l="1"/>
  <c r="L447" i="1"/>
  <c r="L42" i="1"/>
  <c r="L40" i="1"/>
  <c r="L425" i="1" l="1"/>
  <c r="L503" i="1"/>
  <c r="L244" i="1" l="1"/>
  <c r="L56" i="1"/>
  <c r="L290" i="1" l="1"/>
  <c r="L470" i="1"/>
  <c r="L469" i="1"/>
  <c r="L468" i="1"/>
  <c r="L467" i="1"/>
  <c r="L466" i="1"/>
  <c r="L379" i="1"/>
  <c r="L367" i="1"/>
  <c r="L17" i="1"/>
  <c r="L458" i="1" l="1"/>
  <c r="L400" i="1"/>
  <c r="L500" i="1"/>
  <c r="L130" i="1" l="1"/>
  <c r="L129" i="1"/>
  <c r="L127" i="1"/>
  <c r="L510" i="1"/>
  <c r="L125" i="1"/>
  <c r="L124" i="1"/>
  <c r="L123" i="1"/>
  <c r="L121" i="1"/>
  <c r="L120" i="1"/>
  <c r="L119" i="1"/>
  <c r="L118" i="1"/>
  <c r="L117" i="1"/>
  <c r="L116" i="1"/>
  <c r="L471" i="1"/>
  <c r="L192" i="1" l="1"/>
  <c r="L191" i="1"/>
  <c r="L190" i="1"/>
  <c r="L189" i="1"/>
  <c r="L188" i="1"/>
  <c r="L187" i="1"/>
  <c r="L186" i="1"/>
  <c r="L185" i="1"/>
  <c r="L184" i="1"/>
  <c r="L183" i="1"/>
  <c r="L182" i="1"/>
  <c r="L181" i="1"/>
  <c r="L180" i="1"/>
  <c r="L179" i="1"/>
  <c r="L177" i="1"/>
  <c r="L176" i="1"/>
  <c r="L175" i="1"/>
  <c r="L404" i="1" l="1"/>
  <c r="L403" i="1"/>
  <c r="L402" i="1"/>
  <c r="L401" i="1"/>
  <c r="L399" i="1"/>
  <c r="L398" i="1"/>
  <c r="L397" i="1"/>
  <c r="L396" i="1"/>
  <c r="L394" i="1"/>
  <c r="L392" i="1"/>
  <c r="L391" i="1"/>
  <c r="L390" i="1"/>
  <c r="L389" i="1"/>
  <c r="L388" i="1"/>
  <c r="L387" i="1"/>
  <c r="L386" i="1"/>
  <c r="L385" i="1"/>
  <c r="L383" i="1"/>
  <c r="L381" i="1"/>
  <c r="L380" i="1"/>
  <c r="L378" i="1"/>
  <c r="L377" i="1"/>
  <c r="L374" i="1"/>
  <c r="L373" i="1"/>
  <c r="L372" i="1"/>
  <c r="L371" i="1"/>
  <c r="L369" i="1"/>
  <c r="L368" i="1"/>
  <c r="L443" i="1" l="1"/>
  <c r="L433" i="1"/>
  <c r="L364" i="1"/>
  <c r="L446" i="1"/>
  <c r="L432" i="1"/>
  <c r="L346" i="1"/>
  <c r="W491" i="1"/>
  <c r="X491" i="1" s="1"/>
  <c r="L156" i="1" l="1"/>
  <c r="L255" i="1"/>
  <c r="L135" i="1" l="1"/>
  <c r="L173" i="1"/>
  <c r="L450" i="1"/>
  <c r="L153" i="1"/>
  <c r="L166" i="1"/>
  <c r="L157" i="1"/>
  <c r="L140" i="1"/>
  <c r="P951" i="1"/>
  <c r="Q951" i="1"/>
  <c r="R951" i="1"/>
  <c r="U951" i="1"/>
  <c r="X951" i="1"/>
  <c r="Z951" i="1" l="1"/>
  <c r="Y951" i="1"/>
  <c r="AA951" i="1" s="1"/>
  <c r="L256" i="1" l="1"/>
  <c r="L101" i="1"/>
  <c r="L105" i="1" l="1"/>
  <c r="L103" i="1"/>
  <c r="L102" i="1"/>
  <c r="L99" i="1"/>
  <c r="L98" i="1"/>
  <c r="L93" i="1"/>
  <c r="L96" i="1" l="1"/>
  <c r="L462" i="1"/>
  <c r="P950" i="1"/>
  <c r="Q950" i="1"/>
  <c r="R950" i="1"/>
  <c r="U950" i="1"/>
  <c r="X950" i="1"/>
  <c r="L97" i="1"/>
  <c r="L114" i="1"/>
  <c r="Y950" i="1" l="1"/>
  <c r="AA950" i="1" s="1"/>
  <c r="Z950" i="1"/>
  <c r="L69" i="1"/>
  <c r="L68" i="1"/>
  <c r="L108" i="1"/>
  <c r="L71" i="1"/>
  <c r="L70" i="1"/>
  <c r="L64" i="1"/>
  <c r="L113" i="1"/>
  <c r="L92" i="1"/>
  <c r="L91" i="1"/>
  <c r="L90" i="1"/>
  <c r="L88" i="1"/>
  <c r="L82" i="1"/>
  <c r="L81" i="1"/>
  <c r="L80" i="1"/>
  <c r="L57" i="1"/>
  <c r="L18" i="1"/>
  <c r="L409" i="1"/>
  <c r="L382" i="1"/>
  <c r="L408" i="1"/>
  <c r="L406" i="1"/>
  <c r="R4" i="1" s="1"/>
  <c r="L292" i="1" l="1"/>
  <c r="O4" i="1" l="1"/>
  <c r="L323" i="1"/>
  <c r="L315" i="1"/>
  <c r="L295" i="1"/>
  <c r="P949" i="1" l="1"/>
  <c r="Q949" i="1"/>
  <c r="R949" i="1"/>
  <c r="U949" i="1"/>
  <c r="X949" i="1"/>
  <c r="L165" i="1"/>
  <c r="L160" i="1"/>
  <c r="L155" i="1"/>
  <c r="L149" i="1"/>
  <c r="L16" i="1"/>
  <c r="Z949" i="1" l="1"/>
  <c r="Y949" i="1"/>
  <c r="AA949" i="1" s="1"/>
  <c r="Q14" i="1" l="1"/>
  <c r="Q15" i="1"/>
  <c r="Q16" i="1"/>
  <c r="Q17" i="1"/>
  <c r="Q18" i="1"/>
  <c r="Q19" i="1"/>
  <c r="Q21" i="1"/>
  <c r="Q22" i="1"/>
  <c r="Q23"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510" i="1"/>
  <c r="Q126" i="1"/>
  <c r="Q127" i="1"/>
  <c r="Q128" i="1"/>
  <c r="Q129" i="1"/>
  <c r="Q130" i="1"/>
  <c r="Q132" i="1"/>
  <c r="Q133" i="1"/>
  <c r="Q134" i="1"/>
  <c r="Q135" i="1"/>
  <c r="Q136" i="1"/>
  <c r="Q137" i="1"/>
  <c r="Q138" i="1"/>
  <c r="Q139" i="1"/>
  <c r="Q140" i="1"/>
  <c r="Q141" i="1"/>
  <c r="Q142" i="1"/>
  <c r="Q143" i="1"/>
  <c r="Q144"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8" i="1"/>
  <c r="Q249" i="1"/>
  <c r="Q250" i="1"/>
  <c r="Q251" i="1"/>
  <c r="Q252" i="1"/>
  <c r="Q253" i="1"/>
  <c r="Q254" i="1"/>
  <c r="Q255" i="1"/>
  <c r="Q256" i="1"/>
  <c r="Q257" i="1"/>
  <c r="Q258" i="1"/>
  <c r="Q11" i="1"/>
  <c r="Q12"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7" i="1"/>
  <c r="Q368" i="1"/>
  <c r="Q369" i="1"/>
  <c r="Q371" i="1"/>
  <c r="Q372" i="1"/>
  <c r="Q373" i="1"/>
  <c r="Q374"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56" i="1"/>
  <c r="Q131" i="1"/>
  <c r="Q145" i="1"/>
  <c r="Q146" i="1"/>
  <c r="Q246" i="1"/>
  <c r="Q13" i="1"/>
  <c r="Q20" i="1"/>
  <c r="Q247" i="1"/>
  <c r="Q324" i="1"/>
  <c r="Q366" i="1"/>
  <c r="Q370" i="1"/>
  <c r="Q37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9" i="1"/>
  <c r="Q458" i="1"/>
  <c r="Q460" i="1"/>
  <c r="Q461" i="1"/>
  <c r="Q462" i="1"/>
  <c r="Q24"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R14" i="1" l="1"/>
  <c r="R15" i="1"/>
  <c r="R16" i="1"/>
  <c r="R17" i="1"/>
  <c r="R18" i="1"/>
  <c r="R19" i="1"/>
  <c r="R21" i="1"/>
  <c r="R22" i="1"/>
  <c r="R23"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510" i="1"/>
  <c r="R126" i="1"/>
  <c r="R127" i="1"/>
  <c r="R128" i="1"/>
  <c r="R129" i="1"/>
  <c r="R130" i="1"/>
  <c r="R132" i="1"/>
  <c r="R133" i="1"/>
  <c r="R134" i="1"/>
  <c r="R135" i="1"/>
  <c r="R136" i="1"/>
  <c r="R137" i="1"/>
  <c r="R138" i="1"/>
  <c r="R139" i="1"/>
  <c r="R140" i="1"/>
  <c r="R141" i="1"/>
  <c r="R142" i="1"/>
  <c r="R143" i="1"/>
  <c r="R144"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8" i="1"/>
  <c r="R249" i="1"/>
  <c r="R250" i="1"/>
  <c r="R251" i="1"/>
  <c r="R252" i="1"/>
  <c r="R253" i="1"/>
  <c r="R254" i="1"/>
  <c r="R255" i="1"/>
  <c r="R256" i="1"/>
  <c r="R257" i="1"/>
  <c r="R258" i="1"/>
  <c r="R11" i="1"/>
  <c r="R12"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7" i="1"/>
  <c r="R368" i="1"/>
  <c r="R369" i="1"/>
  <c r="R371" i="1"/>
  <c r="R372" i="1"/>
  <c r="R373" i="1"/>
  <c r="R374"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56" i="1"/>
  <c r="R131" i="1"/>
  <c r="R145" i="1"/>
  <c r="R146" i="1"/>
  <c r="R246" i="1"/>
  <c r="R13" i="1"/>
  <c r="R20" i="1"/>
  <c r="R247" i="1"/>
  <c r="R324" i="1"/>
  <c r="R366" i="1"/>
  <c r="R370" i="1"/>
  <c r="R37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9" i="1"/>
  <c r="R458" i="1"/>
  <c r="R460" i="1"/>
  <c r="R461" i="1"/>
  <c r="R462" i="1"/>
  <c r="R24"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P14" i="1"/>
  <c r="P15" i="1"/>
  <c r="P16" i="1"/>
  <c r="P17" i="1"/>
  <c r="P18" i="1"/>
  <c r="P19" i="1"/>
  <c r="P21" i="1"/>
  <c r="P22" i="1"/>
  <c r="P23" i="1"/>
  <c r="Z23" i="1" s="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510" i="1"/>
  <c r="P126" i="1"/>
  <c r="P127" i="1"/>
  <c r="P128" i="1"/>
  <c r="P129" i="1"/>
  <c r="P130" i="1"/>
  <c r="P132" i="1"/>
  <c r="P133" i="1"/>
  <c r="P134" i="1"/>
  <c r="P135" i="1"/>
  <c r="P136" i="1"/>
  <c r="P137" i="1"/>
  <c r="P138" i="1"/>
  <c r="P139" i="1"/>
  <c r="P140" i="1"/>
  <c r="P141" i="1"/>
  <c r="P142" i="1"/>
  <c r="P143" i="1"/>
  <c r="P144"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8" i="1"/>
  <c r="P249" i="1"/>
  <c r="P250" i="1"/>
  <c r="P251" i="1"/>
  <c r="P252" i="1"/>
  <c r="P253" i="1"/>
  <c r="P254" i="1"/>
  <c r="P255" i="1"/>
  <c r="P256" i="1"/>
  <c r="P257" i="1"/>
  <c r="P258" i="1"/>
  <c r="P11" i="1"/>
  <c r="P12"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293" i="1"/>
  <c r="P294" i="1"/>
  <c r="P295" i="1"/>
  <c r="Z295" i="1" s="1"/>
  <c r="P296" i="1"/>
  <c r="P297" i="1"/>
  <c r="P298" i="1"/>
  <c r="P299" i="1"/>
  <c r="Z299" i="1" s="1"/>
  <c r="P300" i="1"/>
  <c r="P301" i="1"/>
  <c r="P302" i="1"/>
  <c r="P303" i="1"/>
  <c r="Z303" i="1" s="1"/>
  <c r="P304" i="1"/>
  <c r="P305" i="1"/>
  <c r="P306" i="1"/>
  <c r="P307" i="1"/>
  <c r="Z307" i="1" s="1"/>
  <c r="P308" i="1"/>
  <c r="P309" i="1"/>
  <c r="P310" i="1"/>
  <c r="P311" i="1"/>
  <c r="Z311" i="1" s="1"/>
  <c r="P312" i="1"/>
  <c r="P313" i="1"/>
  <c r="P314" i="1"/>
  <c r="P315" i="1"/>
  <c r="Z315" i="1" s="1"/>
  <c r="P316" i="1"/>
  <c r="P317" i="1"/>
  <c r="P318" i="1"/>
  <c r="P319" i="1"/>
  <c r="Z319" i="1" s="1"/>
  <c r="P320" i="1"/>
  <c r="P321" i="1"/>
  <c r="P322" i="1"/>
  <c r="P323" i="1"/>
  <c r="Z323" i="1" s="1"/>
  <c r="P325" i="1"/>
  <c r="P326" i="1"/>
  <c r="P327" i="1"/>
  <c r="P328" i="1"/>
  <c r="Z328" i="1" s="1"/>
  <c r="P329" i="1"/>
  <c r="P330" i="1"/>
  <c r="P331" i="1"/>
  <c r="P332" i="1"/>
  <c r="Z332" i="1" s="1"/>
  <c r="P333" i="1"/>
  <c r="P334" i="1"/>
  <c r="P335" i="1"/>
  <c r="P336" i="1"/>
  <c r="Z336" i="1" s="1"/>
  <c r="P337" i="1"/>
  <c r="P338" i="1"/>
  <c r="P339" i="1"/>
  <c r="P340" i="1"/>
  <c r="Z340" i="1" s="1"/>
  <c r="P341" i="1"/>
  <c r="P342" i="1"/>
  <c r="P343" i="1"/>
  <c r="P344" i="1"/>
  <c r="Z344" i="1" s="1"/>
  <c r="P345" i="1"/>
  <c r="P346" i="1"/>
  <c r="P347" i="1"/>
  <c r="P348" i="1"/>
  <c r="Z348" i="1" s="1"/>
  <c r="P349" i="1"/>
  <c r="P350" i="1"/>
  <c r="P351" i="1"/>
  <c r="P352" i="1"/>
  <c r="Z352" i="1" s="1"/>
  <c r="P353" i="1"/>
  <c r="P354" i="1"/>
  <c r="P355" i="1"/>
  <c r="P356" i="1"/>
  <c r="Z356" i="1" s="1"/>
  <c r="P357" i="1"/>
  <c r="P358" i="1"/>
  <c r="P359" i="1"/>
  <c r="P360" i="1"/>
  <c r="Z360" i="1" s="1"/>
  <c r="P361" i="1"/>
  <c r="P362" i="1"/>
  <c r="P363" i="1"/>
  <c r="P364" i="1"/>
  <c r="Z364" i="1" s="1"/>
  <c r="P365" i="1"/>
  <c r="P367" i="1"/>
  <c r="P368" i="1"/>
  <c r="P369" i="1"/>
  <c r="P371" i="1"/>
  <c r="P372" i="1"/>
  <c r="P373" i="1"/>
  <c r="P374"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56" i="1"/>
  <c r="P131" i="1"/>
  <c r="P145" i="1"/>
  <c r="P146" i="1"/>
  <c r="P246" i="1"/>
  <c r="P13" i="1"/>
  <c r="P20" i="1"/>
  <c r="P247" i="1"/>
  <c r="P324" i="1"/>
  <c r="P366" i="1"/>
  <c r="P370" i="1"/>
  <c r="P375" i="1"/>
  <c r="P416" i="1"/>
  <c r="P417" i="1"/>
  <c r="P418" i="1"/>
  <c r="P419" i="1"/>
  <c r="P420" i="1"/>
  <c r="P421" i="1"/>
  <c r="P422" i="1"/>
  <c r="P423" i="1"/>
  <c r="P424" i="1"/>
  <c r="P425" i="1"/>
  <c r="P426" i="1"/>
  <c r="P427" i="1"/>
  <c r="Z427" i="1" s="1"/>
  <c r="P428" i="1"/>
  <c r="P429" i="1"/>
  <c r="P430" i="1"/>
  <c r="P431" i="1"/>
  <c r="Z431" i="1" s="1"/>
  <c r="P432" i="1"/>
  <c r="P433" i="1"/>
  <c r="P434" i="1"/>
  <c r="P435" i="1"/>
  <c r="Z435" i="1" s="1"/>
  <c r="P436" i="1"/>
  <c r="P437" i="1"/>
  <c r="P438" i="1"/>
  <c r="P439" i="1"/>
  <c r="Z439" i="1" s="1"/>
  <c r="P440" i="1"/>
  <c r="P441" i="1"/>
  <c r="P442" i="1"/>
  <c r="P443" i="1"/>
  <c r="Z443" i="1" s="1"/>
  <c r="P444" i="1"/>
  <c r="P445" i="1"/>
  <c r="P446" i="1"/>
  <c r="P447" i="1"/>
  <c r="P448" i="1"/>
  <c r="P449" i="1"/>
  <c r="P450" i="1"/>
  <c r="P451" i="1"/>
  <c r="P452" i="1"/>
  <c r="P453" i="1"/>
  <c r="P454" i="1"/>
  <c r="P455" i="1"/>
  <c r="P456" i="1"/>
  <c r="P457" i="1"/>
  <c r="P459" i="1"/>
  <c r="P458" i="1"/>
  <c r="P460" i="1"/>
  <c r="P461" i="1"/>
  <c r="P462" i="1"/>
  <c r="P24"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Z490" i="1" s="1"/>
  <c r="P491" i="1"/>
  <c r="P492" i="1"/>
  <c r="P493" i="1"/>
  <c r="P494" i="1"/>
  <c r="P495" i="1"/>
  <c r="P496" i="1"/>
  <c r="P497" i="1"/>
  <c r="P498" i="1"/>
  <c r="P499" i="1"/>
  <c r="P500" i="1"/>
  <c r="P501" i="1"/>
  <c r="P502" i="1"/>
  <c r="P503" i="1"/>
  <c r="P504" i="1"/>
  <c r="P505" i="1"/>
  <c r="P506" i="1"/>
  <c r="Z506" i="1" s="1"/>
  <c r="P507" i="1"/>
  <c r="P508" i="1"/>
  <c r="P509"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Z491" i="1" l="1"/>
  <c r="Z487" i="1"/>
  <c r="Z452" i="1"/>
  <c r="Z444" i="1"/>
  <c r="Z440" i="1"/>
  <c r="Z436" i="1"/>
  <c r="Z432" i="1"/>
  <c r="Z428" i="1"/>
  <c r="Z365" i="1"/>
  <c r="Z361" i="1"/>
  <c r="Z357" i="1"/>
  <c r="Z353" i="1"/>
  <c r="Z349" i="1"/>
  <c r="Z345" i="1"/>
  <c r="Z341" i="1"/>
  <c r="Z337" i="1"/>
  <c r="Z333" i="1"/>
  <c r="Z329" i="1"/>
  <c r="Z325" i="1"/>
  <c r="Z320" i="1"/>
  <c r="Z316" i="1"/>
  <c r="Z312" i="1"/>
  <c r="Z308" i="1"/>
  <c r="Z304" i="1"/>
  <c r="Z300" i="1"/>
  <c r="Z296" i="1"/>
  <c r="Z292" i="1"/>
  <c r="Z489" i="1"/>
  <c r="Z454" i="1"/>
  <c r="Z446" i="1"/>
  <c r="Z442" i="1"/>
  <c r="Z438" i="1"/>
  <c r="Z434" i="1"/>
  <c r="Z430" i="1"/>
  <c r="Z20" i="1"/>
  <c r="Z363" i="1"/>
  <c r="Z359" i="1"/>
  <c r="Z355" i="1"/>
  <c r="Z351" i="1"/>
  <c r="Z347" i="1"/>
  <c r="Z343" i="1"/>
  <c r="Z339" i="1"/>
  <c r="Z335" i="1"/>
  <c r="Z331" i="1"/>
  <c r="Z327" i="1"/>
  <c r="Z322" i="1"/>
  <c r="Z318" i="1"/>
  <c r="Z314" i="1"/>
  <c r="Z310" i="1"/>
  <c r="Z306" i="1"/>
  <c r="Z302" i="1"/>
  <c r="Z298" i="1"/>
  <c r="Z294" i="1"/>
  <c r="Z488" i="1"/>
  <c r="Z453" i="1"/>
  <c r="Z445" i="1"/>
  <c r="Z441" i="1"/>
  <c r="Z437" i="1"/>
  <c r="Z433" i="1"/>
  <c r="Z429" i="1"/>
  <c r="Z13" i="1"/>
  <c r="Z362" i="1"/>
  <c r="Z358" i="1"/>
  <c r="Z354" i="1"/>
  <c r="Z350" i="1"/>
  <c r="Z346" i="1"/>
  <c r="Z342" i="1"/>
  <c r="Z338" i="1"/>
  <c r="Z334" i="1"/>
  <c r="Z330" i="1"/>
  <c r="Z326" i="1"/>
  <c r="Z321" i="1"/>
  <c r="Z317" i="1"/>
  <c r="Z313" i="1"/>
  <c r="Z309" i="1"/>
  <c r="Z305" i="1"/>
  <c r="Z301" i="1"/>
  <c r="Z297" i="1"/>
  <c r="Z293" i="1"/>
  <c r="L245" i="1"/>
  <c r="L217" i="1"/>
  <c r="O5" i="1" l="1"/>
  <c r="W19" i="1"/>
  <c r="U948" i="1" l="1"/>
  <c r="X948" i="1"/>
  <c r="T114" i="1"/>
  <c r="U114" i="1" s="1"/>
  <c r="W114" i="1"/>
  <c r="X114" i="1" s="1"/>
  <c r="Z948" i="1" l="1"/>
  <c r="Y948" i="1"/>
  <c r="AA948" i="1" s="1"/>
  <c r="Y114" i="1"/>
  <c r="AA114" i="1" s="1"/>
  <c r="Z114" i="1"/>
  <c r="T411" i="1" l="1"/>
  <c r="T412" i="1"/>
  <c r="T413" i="1"/>
  <c r="T414" i="1"/>
  <c r="T415" i="1"/>
  <c r="T56" i="1"/>
  <c r="T131" i="1"/>
  <c r="T145" i="1"/>
  <c r="T146" i="1"/>
  <c r="T246" i="1"/>
  <c r="T13" i="1"/>
  <c r="T20" i="1"/>
  <c r="T247" i="1"/>
  <c r="T324" i="1"/>
  <c r="T366" i="1"/>
  <c r="T370" i="1"/>
  <c r="T37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9" i="1"/>
  <c r="T458" i="1"/>
  <c r="T460" i="1"/>
  <c r="T461" i="1"/>
  <c r="T462" i="1"/>
  <c r="T24"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T26" i="1"/>
  <c r="U26" i="1" s="1"/>
  <c r="W26" i="1"/>
  <c r="X26" i="1" s="1"/>
  <c r="T27" i="1"/>
  <c r="U27" i="1" s="1"/>
  <c r="W27" i="1"/>
  <c r="X27" i="1" s="1"/>
  <c r="T28" i="1"/>
  <c r="U28" i="1" s="1"/>
  <c r="W28" i="1"/>
  <c r="X28" i="1" s="1"/>
  <c r="T29" i="1"/>
  <c r="U29" i="1" s="1"/>
  <c r="W29" i="1"/>
  <c r="X29" i="1" s="1"/>
  <c r="T30" i="1"/>
  <c r="U30" i="1" s="1"/>
  <c r="W30" i="1"/>
  <c r="X30" i="1" s="1"/>
  <c r="T31" i="1"/>
  <c r="U31" i="1" s="1"/>
  <c r="W31" i="1"/>
  <c r="X31" i="1" s="1"/>
  <c r="T32" i="1"/>
  <c r="U32" i="1" s="1"/>
  <c r="W32" i="1"/>
  <c r="X32" i="1" s="1"/>
  <c r="T33" i="1"/>
  <c r="U33" i="1" s="1"/>
  <c r="W33" i="1"/>
  <c r="X33" i="1" s="1"/>
  <c r="T34" i="1"/>
  <c r="U34" i="1" s="1"/>
  <c r="W34" i="1"/>
  <c r="X34" i="1" s="1"/>
  <c r="T35" i="1"/>
  <c r="U35" i="1" s="1"/>
  <c r="W35" i="1"/>
  <c r="X35" i="1" s="1"/>
  <c r="T36" i="1"/>
  <c r="U36" i="1" s="1"/>
  <c r="W36" i="1"/>
  <c r="X36" i="1" s="1"/>
  <c r="T37" i="1"/>
  <c r="U37" i="1" s="1"/>
  <c r="W37" i="1"/>
  <c r="X37" i="1" s="1"/>
  <c r="T38" i="1"/>
  <c r="U38" i="1" s="1"/>
  <c r="W38" i="1"/>
  <c r="X38" i="1" s="1"/>
  <c r="T39" i="1"/>
  <c r="U39" i="1" s="1"/>
  <c r="W39" i="1"/>
  <c r="X39" i="1" s="1"/>
  <c r="T40" i="1"/>
  <c r="U40" i="1" s="1"/>
  <c r="W40" i="1"/>
  <c r="X40" i="1" s="1"/>
  <c r="T41" i="1"/>
  <c r="U41" i="1" s="1"/>
  <c r="W41" i="1"/>
  <c r="X41" i="1" s="1"/>
  <c r="T42" i="1"/>
  <c r="U42" i="1" s="1"/>
  <c r="W42" i="1"/>
  <c r="X42" i="1" s="1"/>
  <c r="T43" i="1"/>
  <c r="U43" i="1" s="1"/>
  <c r="W43" i="1"/>
  <c r="X43" i="1" s="1"/>
  <c r="T44" i="1"/>
  <c r="U44" i="1" s="1"/>
  <c r="W44" i="1"/>
  <c r="X44" i="1" s="1"/>
  <c r="T45" i="1"/>
  <c r="U45" i="1" s="1"/>
  <c r="W45" i="1"/>
  <c r="X45" i="1" s="1"/>
  <c r="T46" i="1"/>
  <c r="U46" i="1" s="1"/>
  <c r="W46" i="1"/>
  <c r="X46" i="1" s="1"/>
  <c r="T47" i="1"/>
  <c r="U47" i="1" s="1"/>
  <c r="W47" i="1"/>
  <c r="X47" i="1" s="1"/>
  <c r="T48" i="1"/>
  <c r="U48" i="1" s="1"/>
  <c r="W48" i="1"/>
  <c r="X48" i="1" s="1"/>
  <c r="T49" i="1"/>
  <c r="U49" i="1" s="1"/>
  <c r="W49" i="1"/>
  <c r="X49" i="1" s="1"/>
  <c r="T50" i="1"/>
  <c r="U50" i="1" s="1"/>
  <c r="W50" i="1"/>
  <c r="X50" i="1" s="1"/>
  <c r="T51" i="1"/>
  <c r="U51" i="1" s="1"/>
  <c r="W51" i="1"/>
  <c r="X51" i="1" s="1"/>
  <c r="T52" i="1"/>
  <c r="U52" i="1" s="1"/>
  <c r="W52" i="1"/>
  <c r="X52" i="1" s="1"/>
  <c r="T53" i="1"/>
  <c r="U53" i="1" s="1"/>
  <c r="W53" i="1"/>
  <c r="X53" i="1" s="1"/>
  <c r="T54" i="1"/>
  <c r="U54" i="1" s="1"/>
  <c r="W54" i="1"/>
  <c r="X54" i="1" s="1"/>
  <c r="T55" i="1"/>
  <c r="U55" i="1" s="1"/>
  <c r="W55" i="1"/>
  <c r="X55" i="1" s="1"/>
  <c r="T18" i="1"/>
  <c r="U18" i="1" s="1"/>
  <c r="W18" i="1"/>
  <c r="X18" i="1" s="1"/>
  <c r="T57" i="1"/>
  <c r="U57" i="1" s="1"/>
  <c r="W57" i="1"/>
  <c r="X57" i="1" s="1"/>
  <c r="T58" i="1"/>
  <c r="U58" i="1" s="1"/>
  <c r="W58" i="1"/>
  <c r="X58" i="1" s="1"/>
  <c r="T59" i="1"/>
  <c r="U59" i="1" s="1"/>
  <c r="W59" i="1"/>
  <c r="X59" i="1" s="1"/>
  <c r="T60" i="1"/>
  <c r="U60" i="1" s="1"/>
  <c r="W60" i="1"/>
  <c r="X60" i="1" s="1"/>
  <c r="T61" i="1"/>
  <c r="U61" i="1" s="1"/>
  <c r="W61" i="1"/>
  <c r="X61" i="1" s="1"/>
  <c r="T62" i="1"/>
  <c r="U62" i="1" s="1"/>
  <c r="W62" i="1"/>
  <c r="X62" i="1" s="1"/>
  <c r="T63" i="1"/>
  <c r="U63" i="1" s="1"/>
  <c r="W63" i="1"/>
  <c r="X63" i="1" s="1"/>
  <c r="T64" i="1"/>
  <c r="U64" i="1" s="1"/>
  <c r="W64" i="1"/>
  <c r="X64" i="1" s="1"/>
  <c r="T65" i="1"/>
  <c r="U65" i="1" s="1"/>
  <c r="W65" i="1"/>
  <c r="X65" i="1" s="1"/>
  <c r="T66" i="1"/>
  <c r="U66" i="1" s="1"/>
  <c r="W66" i="1"/>
  <c r="X66" i="1" s="1"/>
  <c r="T67" i="1"/>
  <c r="U67" i="1" s="1"/>
  <c r="W67" i="1"/>
  <c r="X67" i="1" s="1"/>
  <c r="T68" i="1"/>
  <c r="U68" i="1" s="1"/>
  <c r="W68" i="1"/>
  <c r="X68" i="1" s="1"/>
  <c r="T69" i="1"/>
  <c r="U69" i="1" s="1"/>
  <c r="W69" i="1"/>
  <c r="X69" i="1" s="1"/>
  <c r="T70" i="1"/>
  <c r="U70" i="1" s="1"/>
  <c r="W70" i="1"/>
  <c r="X70" i="1" s="1"/>
  <c r="T71" i="1"/>
  <c r="U71" i="1" s="1"/>
  <c r="W71" i="1"/>
  <c r="X71" i="1" s="1"/>
  <c r="T72" i="1"/>
  <c r="U72" i="1" s="1"/>
  <c r="W72" i="1"/>
  <c r="X72" i="1" s="1"/>
  <c r="T73" i="1"/>
  <c r="U73" i="1" s="1"/>
  <c r="W73" i="1"/>
  <c r="X73" i="1" s="1"/>
  <c r="T74" i="1"/>
  <c r="U74" i="1" s="1"/>
  <c r="W74" i="1"/>
  <c r="X74" i="1" s="1"/>
  <c r="T75" i="1"/>
  <c r="U75" i="1" s="1"/>
  <c r="W75" i="1"/>
  <c r="X75" i="1" s="1"/>
  <c r="T76" i="1"/>
  <c r="U76" i="1" s="1"/>
  <c r="W76" i="1"/>
  <c r="X76" i="1" s="1"/>
  <c r="T77" i="1"/>
  <c r="U77" i="1" s="1"/>
  <c r="W77" i="1"/>
  <c r="X77" i="1" s="1"/>
  <c r="T78" i="1"/>
  <c r="U78" i="1" s="1"/>
  <c r="W78" i="1"/>
  <c r="X78" i="1" s="1"/>
  <c r="T79" i="1"/>
  <c r="U79" i="1" s="1"/>
  <c r="W79" i="1"/>
  <c r="X79" i="1" s="1"/>
  <c r="T80" i="1"/>
  <c r="U80" i="1" s="1"/>
  <c r="W80" i="1"/>
  <c r="X80" i="1" s="1"/>
  <c r="T81" i="1"/>
  <c r="U81" i="1" s="1"/>
  <c r="W81" i="1"/>
  <c r="X81" i="1" s="1"/>
  <c r="T82" i="1"/>
  <c r="U82" i="1" s="1"/>
  <c r="W82" i="1"/>
  <c r="X82" i="1" s="1"/>
  <c r="T83" i="1"/>
  <c r="U83" i="1" s="1"/>
  <c r="W83" i="1"/>
  <c r="X83" i="1" s="1"/>
  <c r="T84" i="1"/>
  <c r="U84" i="1" s="1"/>
  <c r="W84" i="1"/>
  <c r="X84" i="1" s="1"/>
  <c r="T85" i="1"/>
  <c r="U85" i="1" s="1"/>
  <c r="W85" i="1"/>
  <c r="X85" i="1" s="1"/>
  <c r="T86" i="1"/>
  <c r="U86" i="1" s="1"/>
  <c r="W86" i="1"/>
  <c r="X86" i="1" s="1"/>
  <c r="T87" i="1"/>
  <c r="U87" i="1" s="1"/>
  <c r="W87" i="1"/>
  <c r="X87" i="1" s="1"/>
  <c r="T88" i="1"/>
  <c r="U88" i="1" s="1"/>
  <c r="W88" i="1"/>
  <c r="X88" i="1" s="1"/>
  <c r="T89" i="1"/>
  <c r="U89" i="1" s="1"/>
  <c r="W89" i="1"/>
  <c r="X89" i="1" s="1"/>
  <c r="T90" i="1"/>
  <c r="U90" i="1" s="1"/>
  <c r="W90" i="1"/>
  <c r="X90" i="1" s="1"/>
  <c r="T91" i="1"/>
  <c r="U91" i="1" s="1"/>
  <c r="W91" i="1"/>
  <c r="X91" i="1" s="1"/>
  <c r="T92" i="1"/>
  <c r="U92" i="1" s="1"/>
  <c r="W92" i="1"/>
  <c r="X92" i="1" s="1"/>
  <c r="T93" i="1"/>
  <c r="U93" i="1" s="1"/>
  <c r="W93" i="1"/>
  <c r="X93" i="1" s="1"/>
  <c r="T94" i="1"/>
  <c r="U94" i="1" s="1"/>
  <c r="W94" i="1"/>
  <c r="X94" i="1" s="1"/>
  <c r="T95" i="1"/>
  <c r="U95" i="1" s="1"/>
  <c r="W95" i="1"/>
  <c r="X95" i="1" s="1"/>
  <c r="T96" i="1"/>
  <c r="U96" i="1" s="1"/>
  <c r="W96" i="1"/>
  <c r="X96" i="1" s="1"/>
  <c r="T97" i="1"/>
  <c r="U97" i="1" s="1"/>
  <c r="W97" i="1"/>
  <c r="X97" i="1" s="1"/>
  <c r="T98" i="1"/>
  <c r="U98" i="1" s="1"/>
  <c r="W98" i="1"/>
  <c r="X98" i="1" s="1"/>
  <c r="T99" i="1"/>
  <c r="U99" i="1" s="1"/>
  <c r="W99" i="1"/>
  <c r="X99" i="1" s="1"/>
  <c r="T100" i="1"/>
  <c r="U100" i="1" s="1"/>
  <c r="W100" i="1"/>
  <c r="X100" i="1" s="1"/>
  <c r="T101" i="1"/>
  <c r="U101" i="1" s="1"/>
  <c r="W101" i="1"/>
  <c r="X101" i="1" s="1"/>
  <c r="T102" i="1"/>
  <c r="U102" i="1" s="1"/>
  <c r="W102" i="1"/>
  <c r="X102" i="1" s="1"/>
  <c r="T103" i="1"/>
  <c r="U103" i="1" s="1"/>
  <c r="W103" i="1"/>
  <c r="X103" i="1" s="1"/>
  <c r="T104" i="1"/>
  <c r="U104" i="1" s="1"/>
  <c r="W104" i="1"/>
  <c r="X104" i="1" s="1"/>
  <c r="T105" i="1"/>
  <c r="U105" i="1" s="1"/>
  <c r="W105" i="1"/>
  <c r="X105" i="1" s="1"/>
  <c r="T106" i="1"/>
  <c r="U106" i="1" s="1"/>
  <c r="W106" i="1"/>
  <c r="X106" i="1" s="1"/>
  <c r="T107" i="1"/>
  <c r="U107" i="1" s="1"/>
  <c r="W107" i="1"/>
  <c r="X107" i="1" s="1"/>
  <c r="T108" i="1"/>
  <c r="U108" i="1" s="1"/>
  <c r="W108" i="1"/>
  <c r="X108" i="1" s="1"/>
  <c r="T109" i="1"/>
  <c r="U109" i="1" s="1"/>
  <c r="W109" i="1"/>
  <c r="X109" i="1" s="1"/>
  <c r="T110" i="1"/>
  <c r="U110" i="1" s="1"/>
  <c r="W110" i="1"/>
  <c r="X110" i="1" s="1"/>
  <c r="T111" i="1"/>
  <c r="U111" i="1" s="1"/>
  <c r="W111" i="1"/>
  <c r="X111" i="1" s="1"/>
  <c r="T112" i="1"/>
  <c r="U112" i="1" s="1"/>
  <c r="W112" i="1"/>
  <c r="X112" i="1" s="1"/>
  <c r="T113" i="1"/>
  <c r="U113" i="1" s="1"/>
  <c r="W113" i="1"/>
  <c r="X113" i="1" s="1"/>
  <c r="T115" i="1"/>
  <c r="U115" i="1" s="1"/>
  <c r="W115" i="1"/>
  <c r="X115" i="1" s="1"/>
  <c r="T116" i="1"/>
  <c r="U116" i="1" s="1"/>
  <c r="W116" i="1"/>
  <c r="X116" i="1" s="1"/>
  <c r="T117" i="1"/>
  <c r="U117" i="1" s="1"/>
  <c r="W117" i="1"/>
  <c r="X117" i="1" s="1"/>
  <c r="T118" i="1"/>
  <c r="U118" i="1" s="1"/>
  <c r="W118" i="1"/>
  <c r="X118" i="1" s="1"/>
  <c r="T119" i="1"/>
  <c r="U119" i="1" s="1"/>
  <c r="W119" i="1"/>
  <c r="X119" i="1" s="1"/>
  <c r="T120" i="1"/>
  <c r="U120" i="1" s="1"/>
  <c r="W120" i="1"/>
  <c r="X120" i="1" s="1"/>
  <c r="T121" i="1"/>
  <c r="U121" i="1" s="1"/>
  <c r="W121" i="1"/>
  <c r="X121" i="1" s="1"/>
  <c r="T122" i="1"/>
  <c r="U122" i="1" s="1"/>
  <c r="W122" i="1"/>
  <c r="X122" i="1" s="1"/>
  <c r="T123" i="1"/>
  <c r="U123" i="1" s="1"/>
  <c r="W123" i="1"/>
  <c r="X123" i="1" s="1"/>
  <c r="T124" i="1"/>
  <c r="U124" i="1" s="1"/>
  <c r="W124" i="1"/>
  <c r="X124" i="1" s="1"/>
  <c r="T125" i="1"/>
  <c r="U125" i="1" s="1"/>
  <c r="W125" i="1"/>
  <c r="X125" i="1" s="1"/>
  <c r="T510" i="1"/>
  <c r="U510" i="1" s="1"/>
  <c r="W510" i="1"/>
  <c r="X510" i="1" s="1"/>
  <c r="T126" i="1"/>
  <c r="U126" i="1" s="1"/>
  <c r="W126" i="1"/>
  <c r="X126" i="1" s="1"/>
  <c r="T127" i="1"/>
  <c r="U127" i="1" s="1"/>
  <c r="W127" i="1"/>
  <c r="X127" i="1" s="1"/>
  <c r="T128" i="1"/>
  <c r="U128" i="1" s="1"/>
  <c r="W128" i="1"/>
  <c r="X128" i="1" s="1"/>
  <c r="T129" i="1"/>
  <c r="U129" i="1" s="1"/>
  <c r="W129" i="1"/>
  <c r="X129" i="1" s="1"/>
  <c r="T130" i="1"/>
  <c r="U130" i="1" s="1"/>
  <c r="W130" i="1"/>
  <c r="X130" i="1" s="1"/>
  <c r="T16" i="1"/>
  <c r="U16" i="1" s="1"/>
  <c r="W16" i="1"/>
  <c r="X16" i="1" s="1"/>
  <c r="T132" i="1"/>
  <c r="U132" i="1" s="1"/>
  <c r="W132" i="1"/>
  <c r="X132" i="1" s="1"/>
  <c r="T133" i="1"/>
  <c r="U133" i="1" s="1"/>
  <c r="W133" i="1"/>
  <c r="X133" i="1" s="1"/>
  <c r="T134" i="1"/>
  <c r="U134" i="1" s="1"/>
  <c r="W134" i="1"/>
  <c r="X134" i="1" s="1"/>
  <c r="T135" i="1"/>
  <c r="U135" i="1" s="1"/>
  <c r="W135" i="1"/>
  <c r="X135" i="1" s="1"/>
  <c r="T136" i="1"/>
  <c r="U136" i="1" s="1"/>
  <c r="W136" i="1"/>
  <c r="X136" i="1" s="1"/>
  <c r="T137" i="1"/>
  <c r="U137" i="1" s="1"/>
  <c r="W137" i="1"/>
  <c r="X137" i="1" s="1"/>
  <c r="T138" i="1"/>
  <c r="U138" i="1" s="1"/>
  <c r="W138" i="1"/>
  <c r="X138" i="1" s="1"/>
  <c r="T139" i="1"/>
  <c r="U139" i="1" s="1"/>
  <c r="W139" i="1"/>
  <c r="X139" i="1" s="1"/>
  <c r="T140" i="1"/>
  <c r="U140" i="1" s="1"/>
  <c r="W140" i="1"/>
  <c r="X140" i="1" s="1"/>
  <c r="T141" i="1"/>
  <c r="U141" i="1" s="1"/>
  <c r="W141" i="1"/>
  <c r="X141" i="1" s="1"/>
  <c r="T142" i="1"/>
  <c r="U142" i="1" s="1"/>
  <c r="W142" i="1"/>
  <c r="X142" i="1" s="1"/>
  <c r="T143" i="1"/>
  <c r="U143" i="1" s="1"/>
  <c r="W143" i="1"/>
  <c r="X143" i="1" s="1"/>
  <c r="T144" i="1"/>
  <c r="U144" i="1" s="1"/>
  <c r="W144" i="1"/>
  <c r="X144" i="1" s="1"/>
  <c r="T15" i="1"/>
  <c r="U15" i="1" s="1"/>
  <c r="W15" i="1"/>
  <c r="X15" i="1" s="1"/>
  <c r="T14" i="1"/>
  <c r="U14" i="1" s="1"/>
  <c r="W14" i="1"/>
  <c r="X14" i="1" s="1"/>
  <c r="T147" i="1"/>
  <c r="U147" i="1" s="1"/>
  <c r="W147" i="1"/>
  <c r="X147" i="1" s="1"/>
  <c r="T148" i="1"/>
  <c r="U148" i="1" s="1"/>
  <c r="W148" i="1"/>
  <c r="X148" i="1" s="1"/>
  <c r="T149" i="1"/>
  <c r="U149" i="1" s="1"/>
  <c r="W149" i="1"/>
  <c r="X149" i="1" s="1"/>
  <c r="T150" i="1"/>
  <c r="U150" i="1" s="1"/>
  <c r="W150" i="1"/>
  <c r="X150" i="1" s="1"/>
  <c r="T151" i="1"/>
  <c r="U151" i="1" s="1"/>
  <c r="W151" i="1"/>
  <c r="X151" i="1" s="1"/>
  <c r="T152" i="1"/>
  <c r="U152" i="1" s="1"/>
  <c r="W152" i="1"/>
  <c r="X152" i="1" s="1"/>
  <c r="T153" i="1"/>
  <c r="U153" i="1" s="1"/>
  <c r="W153" i="1"/>
  <c r="X153" i="1" s="1"/>
  <c r="T154" i="1"/>
  <c r="U154" i="1" s="1"/>
  <c r="W154" i="1"/>
  <c r="X154" i="1" s="1"/>
  <c r="T155" i="1"/>
  <c r="U155" i="1" s="1"/>
  <c r="W155" i="1"/>
  <c r="X155" i="1" s="1"/>
  <c r="T156" i="1"/>
  <c r="U156" i="1" s="1"/>
  <c r="W156" i="1"/>
  <c r="X156" i="1" s="1"/>
  <c r="T157" i="1"/>
  <c r="U157" i="1" s="1"/>
  <c r="W157" i="1"/>
  <c r="X157" i="1" s="1"/>
  <c r="T158" i="1"/>
  <c r="U158" i="1" s="1"/>
  <c r="W158" i="1"/>
  <c r="X158" i="1" s="1"/>
  <c r="T159" i="1"/>
  <c r="U159" i="1" s="1"/>
  <c r="W159" i="1"/>
  <c r="X159" i="1" s="1"/>
  <c r="T160" i="1"/>
  <c r="U160" i="1" s="1"/>
  <c r="W160" i="1"/>
  <c r="X160" i="1" s="1"/>
  <c r="T161" i="1"/>
  <c r="U161" i="1" s="1"/>
  <c r="W161" i="1"/>
  <c r="X161" i="1" s="1"/>
  <c r="T162" i="1"/>
  <c r="U162" i="1" s="1"/>
  <c r="W162" i="1"/>
  <c r="X162" i="1" s="1"/>
  <c r="T163" i="1"/>
  <c r="U163" i="1" s="1"/>
  <c r="W163" i="1"/>
  <c r="X163" i="1" s="1"/>
  <c r="T164" i="1"/>
  <c r="U164" i="1" s="1"/>
  <c r="W164" i="1"/>
  <c r="X164" i="1" s="1"/>
  <c r="T165" i="1"/>
  <c r="U165" i="1" s="1"/>
  <c r="W165" i="1"/>
  <c r="X165" i="1" s="1"/>
  <c r="T166" i="1"/>
  <c r="U166" i="1" s="1"/>
  <c r="W166" i="1"/>
  <c r="X166" i="1" s="1"/>
  <c r="T167" i="1"/>
  <c r="U167" i="1" s="1"/>
  <c r="W167" i="1"/>
  <c r="X167" i="1" s="1"/>
  <c r="T168" i="1"/>
  <c r="U168" i="1" s="1"/>
  <c r="W168" i="1"/>
  <c r="X168" i="1" s="1"/>
  <c r="T169" i="1"/>
  <c r="U169" i="1" s="1"/>
  <c r="W169" i="1"/>
  <c r="X169" i="1" s="1"/>
  <c r="T170" i="1"/>
  <c r="U170" i="1" s="1"/>
  <c r="W170" i="1"/>
  <c r="X170" i="1" s="1"/>
  <c r="T171" i="1"/>
  <c r="U171" i="1" s="1"/>
  <c r="W171" i="1"/>
  <c r="X171" i="1" s="1"/>
  <c r="T172" i="1"/>
  <c r="U172" i="1" s="1"/>
  <c r="W172" i="1"/>
  <c r="X172" i="1" s="1"/>
  <c r="T173" i="1"/>
  <c r="U173" i="1" s="1"/>
  <c r="W173" i="1"/>
  <c r="X173" i="1" s="1"/>
  <c r="T174" i="1"/>
  <c r="U174" i="1" s="1"/>
  <c r="W174" i="1"/>
  <c r="X174" i="1" s="1"/>
  <c r="T175" i="1"/>
  <c r="U175" i="1" s="1"/>
  <c r="W175" i="1"/>
  <c r="X175" i="1" s="1"/>
  <c r="T176" i="1"/>
  <c r="U176" i="1" s="1"/>
  <c r="W176" i="1"/>
  <c r="X176" i="1" s="1"/>
  <c r="T177" i="1"/>
  <c r="U177" i="1" s="1"/>
  <c r="W177" i="1"/>
  <c r="X177" i="1" s="1"/>
  <c r="T178" i="1"/>
  <c r="U178" i="1" s="1"/>
  <c r="W178" i="1"/>
  <c r="X178" i="1" s="1"/>
  <c r="T179" i="1"/>
  <c r="U179" i="1" s="1"/>
  <c r="W179" i="1"/>
  <c r="X179" i="1" s="1"/>
  <c r="T180" i="1"/>
  <c r="U180" i="1" s="1"/>
  <c r="W180" i="1"/>
  <c r="X180" i="1" s="1"/>
  <c r="T181" i="1"/>
  <c r="U181" i="1" s="1"/>
  <c r="W181" i="1"/>
  <c r="X181" i="1" s="1"/>
  <c r="T182" i="1"/>
  <c r="U182" i="1" s="1"/>
  <c r="W182" i="1"/>
  <c r="X182" i="1" s="1"/>
  <c r="T183" i="1"/>
  <c r="U183" i="1" s="1"/>
  <c r="W183" i="1"/>
  <c r="X183" i="1" s="1"/>
  <c r="T184" i="1"/>
  <c r="U184" i="1" s="1"/>
  <c r="W184" i="1"/>
  <c r="X184" i="1" s="1"/>
  <c r="T185" i="1"/>
  <c r="U185" i="1" s="1"/>
  <c r="W185" i="1"/>
  <c r="X185" i="1" s="1"/>
  <c r="T186" i="1"/>
  <c r="U186" i="1" s="1"/>
  <c r="W186" i="1"/>
  <c r="X186" i="1" s="1"/>
  <c r="T187" i="1"/>
  <c r="U187" i="1" s="1"/>
  <c r="W187" i="1"/>
  <c r="X187" i="1" s="1"/>
  <c r="T188" i="1"/>
  <c r="U188" i="1" s="1"/>
  <c r="W188" i="1"/>
  <c r="X188" i="1" s="1"/>
  <c r="T189" i="1"/>
  <c r="U189" i="1" s="1"/>
  <c r="W189" i="1"/>
  <c r="X189" i="1" s="1"/>
  <c r="T190" i="1"/>
  <c r="U190" i="1" s="1"/>
  <c r="W190" i="1"/>
  <c r="X190" i="1" s="1"/>
  <c r="T191" i="1"/>
  <c r="U191" i="1" s="1"/>
  <c r="W191" i="1"/>
  <c r="X191" i="1" s="1"/>
  <c r="T192" i="1"/>
  <c r="U192" i="1" s="1"/>
  <c r="W192" i="1"/>
  <c r="X192" i="1" s="1"/>
  <c r="T193" i="1"/>
  <c r="U193" i="1" s="1"/>
  <c r="W193" i="1"/>
  <c r="X193" i="1" s="1"/>
  <c r="T194" i="1"/>
  <c r="U194" i="1" s="1"/>
  <c r="W194" i="1"/>
  <c r="X194" i="1" s="1"/>
  <c r="T195" i="1"/>
  <c r="U195" i="1" s="1"/>
  <c r="W195" i="1"/>
  <c r="X195" i="1" s="1"/>
  <c r="T196" i="1"/>
  <c r="U196" i="1" s="1"/>
  <c r="W196" i="1"/>
  <c r="X196" i="1" s="1"/>
  <c r="T197" i="1"/>
  <c r="U197" i="1" s="1"/>
  <c r="W197" i="1"/>
  <c r="X197" i="1" s="1"/>
  <c r="T198" i="1"/>
  <c r="U198" i="1" s="1"/>
  <c r="W198" i="1"/>
  <c r="X198" i="1" s="1"/>
  <c r="T199" i="1"/>
  <c r="U199" i="1" s="1"/>
  <c r="W199" i="1"/>
  <c r="X199" i="1" s="1"/>
  <c r="T200" i="1"/>
  <c r="U200" i="1" s="1"/>
  <c r="W200" i="1"/>
  <c r="X200" i="1" s="1"/>
  <c r="T201" i="1"/>
  <c r="U201" i="1" s="1"/>
  <c r="W201" i="1"/>
  <c r="X201" i="1" s="1"/>
  <c r="T202" i="1"/>
  <c r="U202" i="1" s="1"/>
  <c r="W202" i="1"/>
  <c r="X202" i="1" s="1"/>
  <c r="T203" i="1"/>
  <c r="U203" i="1" s="1"/>
  <c r="W203" i="1"/>
  <c r="X203" i="1" s="1"/>
  <c r="T204" i="1"/>
  <c r="U204" i="1" s="1"/>
  <c r="W204" i="1"/>
  <c r="X204" i="1" s="1"/>
  <c r="T205" i="1"/>
  <c r="U205" i="1" s="1"/>
  <c r="W205" i="1"/>
  <c r="X205" i="1" s="1"/>
  <c r="T206" i="1"/>
  <c r="U206" i="1" s="1"/>
  <c r="W206" i="1"/>
  <c r="X206" i="1" s="1"/>
  <c r="T207" i="1"/>
  <c r="U207" i="1" s="1"/>
  <c r="W207" i="1"/>
  <c r="X207" i="1" s="1"/>
  <c r="T208" i="1"/>
  <c r="U208" i="1" s="1"/>
  <c r="W208" i="1"/>
  <c r="X208" i="1" s="1"/>
  <c r="T209" i="1"/>
  <c r="U209" i="1" s="1"/>
  <c r="W209" i="1"/>
  <c r="X209" i="1" s="1"/>
  <c r="T210" i="1"/>
  <c r="U210" i="1" s="1"/>
  <c r="W210" i="1"/>
  <c r="X210" i="1" s="1"/>
  <c r="T211" i="1"/>
  <c r="U211" i="1" s="1"/>
  <c r="W211" i="1"/>
  <c r="X211" i="1" s="1"/>
  <c r="T212" i="1"/>
  <c r="U212" i="1" s="1"/>
  <c r="W212" i="1"/>
  <c r="X212" i="1" s="1"/>
  <c r="T213" i="1"/>
  <c r="U213" i="1" s="1"/>
  <c r="W213" i="1"/>
  <c r="X213" i="1" s="1"/>
  <c r="T214" i="1"/>
  <c r="U214" i="1" s="1"/>
  <c r="W214" i="1"/>
  <c r="X214" i="1" s="1"/>
  <c r="T215" i="1"/>
  <c r="U215" i="1" s="1"/>
  <c r="W215" i="1"/>
  <c r="X215" i="1" s="1"/>
  <c r="T216" i="1"/>
  <c r="U216" i="1" s="1"/>
  <c r="W216" i="1"/>
  <c r="X216" i="1" s="1"/>
  <c r="T217" i="1"/>
  <c r="U217" i="1" s="1"/>
  <c r="W217" i="1"/>
  <c r="X217" i="1" s="1"/>
  <c r="T218" i="1"/>
  <c r="U218" i="1" s="1"/>
  <c r="W218" i="1"/>
  <c r="X218" i="1" s="1"/>
  <c r="T219" i="1"/>
  <c r="U219" i="1" s="1"/>
  <c r="W219" i="1"/>
  <c r="X219" i="1" s="1"/>
  <c r="T220" i="1"/>
  <c r="U220" i="1" s="1"/>
  <c r="W220" i="1"/>
  <c r="X220" i="1" s="1"/>
  <c r="T221" i="1"/>
  <c r="U221" i="1" s="1"/>
  <c r="W221" i="1"/>
  <c r="X221" i="1" s="1"/>
  <c r="T222" i="1"/>
  <c r="U222" i="1" s="1"/>
  <c r="W222" i="1"/>
  <c r="X222" i="1" s="1"/>
  <c r="T223" i="1"/>
  <c r="U223" i="1" s="1"/>
  <c r="W223" i="1"/>
  <c r="X223" i="1" s="1"/>
  <c r="T224" i="1"/>
  <c r="U224" i="1" s="1"/>
  <c r="W224" i="1"/>
  <c r="X224" i="1" s="1"/>
  <c r="T225" i="1"/>
  <c r="U225" i="1" s="1"/>
  <c r="W225" i="1"/>
  <c r="X225" i="1" s="1"/>
  <c r="T226" i="1"/>
  <c r="U226" i="1" s="1"/>
  <c r="W226" i="1"/>
  <c r="X226" i="1" s="1"/>
  <c r="T227" i="1"/>
  <c r="U227" i="1" s="1"/>
  <c r="W227" i="1"/>
  <c r="X227" i="1" s="1"/>
  <c r="T228" i="1"/>
  <c r="U228" i="1" s="1"/>
  <c r="W228" i="1"/>
  <c r="X228" i="1" s="1"/>
  <c r="T229" i="1"/>
  <c r="U229" i="1" s="1"/>
  <c r="W229" i="1"/>
  <c r="X229" i="1" s="1"/>
  <c r="T230" i="1"/>
  <c r="U230" i="1" s="1"/>
  <c r="W230" i="1"/>
  <c r="X230" i="1" s="1"/>
  <c r="T231" i="1"/>
  <c r="U231" i="1" s="1"/>
  <c r="W231" i="1"/>
  <c r="X231" i="1" s="1"/>
  <c r="T232" i="1"/>
  <c r="U232" i="1" s="1"/>
  <c r="W232" i="1"/>
  <c r="X232" i="1" s="1"/>
  <c r="T233" i="1"/>
  <c r="U233" i="1" s="1"/>
  <c r="W233" i="1"/>
  <c r="X233" i="1" s="1"/>
  <c r="T234" i="1"/>
  <c r="U234" i="1" s="1"/>
  <c r="W234" i="1"/>
  <c r="X234" i="1" s="1"/>
  <c r="T235" i="1"/>
  <c r="U235" i="1" s="1"/>
  <c r="W235" i="1"/>
  <c r="X235" i="1" s="1"/>
  <c r="T236" i="1"/>
  <c r="U236" i="1" s="1"/>
  <c r="W236" i="1"/>
  <c r="X236" i="1" s="1"/>
  <c r="T237" i="1"/>
  <c r="U237" i="1" s="1"/>
  <c r="W237" i="1"/>
  <c r="X237" i="1" s="1"/>
  <c r="T238" i="1"/>
  <c r="U238" i="1" s="1"/>
  <c r="W238" i="1"/>
  <c r="X238" i="1" s="1"/>
  <c r="T239" i="1"/>
  <c r="U239" i="1" s="1"/>
  <c r="W239" i="1"/>
  <c r="X239" i="1" s="1"/>
  <c r="T240" i="1"/>
  <c r="U240" i="1" s="1"/>
  <c r="W240" i="1"/>
  <c r="X240" i="1" s="1"/>
  <c r="T241" i="1"/>
  <c r="U241" i="1" s="1"/>
  <c r="W241" i="1"/>
  <c r="X241" i="1" s="1"/>
  <c r="T242" i="1"/>
  <c r="U242" i="1" s="1"/>
  <c r="W242" i="1"/>
  <c r="X242" i="1" s="1"/>
  <c r="T243" i="1"/>
  <c r="U243" i="1" s="1"/>
  <c r="W243" i="1"/>
  <c r="X243" i="1" s="1"/>
  <c r="T244" i="1"/>
  <c r="U244" i="1" s="1"/>
  <c r="W244" i="1"/>
  <c r="X244" i="1" s="1"/>
  <c r="T245" i="1"/>
  <c r="U245" i="1" s="1"/>
  <c r="W245" i="1"/>
  <c r="X245" i="1" s="1"/>
  <c r="T21" i="1"/>
  <c r="U21" i="1" s="1"/>
  <c r="W21" i="1"/>
  <c r="X21" i="1" s="1"/>
  <c r="T248" i="1"/>
  <c r="U248" i="1" s="1"/>
  <c r="W248" i="1"/>
  <c r="X248" i="1" s="1"/>
  <c r="T249" i="1"/>
  <c r="U249" i="1" s="1"/>
  <c r="W249" i="1"/>
  <c r="X249" i="1" s="1"/>
  <c r="T250" i="1"/>
  <c r="U250" i="1" s="1"/>
  <c r="W250" i="1"/>
  <c r="X250" i="1" s="1"/>
  <c r="T251" i="1"/>
  <c r="U251" i="1" s="1"/>
  <c r="W251" i="1"/>
  <c r="X251" i="1" s="1"/>
  <c r="T252" i="1"/>
  <c r="U252" i="1" s="1"/>
  <c r="W252" i="1"/>
  <c r="X252" i="1" s="1"/>
  <c r="T253" i="1"/>
  <c r="U253" i="1" s="1"/>
  <c r="W253" i="1"/>
  <c r="X253" i="1" s="1"/>
  <c r="T254" i="1"/>
  <c r="U254" i="1" s="1"/>
  <c r="W254" i="1"/>
  <c r="X254" i="1" s="1"/>
  <c r="T255" i="1"/>
  <c r="U255" i="1" s="1"/>
  <c r="W255" i="1"/>
  <c r="X255" i="1" s="1"/>
  <c r="T256" i="1"/>
  <c r="U256" i="1" s="1"/>
  <c r="W256" i="1"/>
  <c r="X256" i="1" s="1"/>
  <c r="T257" i="1"/>
  <c r="U257" i="1" s="1"/>
  <c r="W257" i="1"/>
  <c r="X257" i="1" s="1"/>
  <c r="T258" i="1"/>
  <c r="U258" i="1" s="1"/>
  <c r="W258" i="1"/>
  <c r="X258" i="1" s="1"/>
  <c r="T11" i="1"/>
  <c r="U11" i="1" s="1"/>
  <c r="W11" i="1"/>
  <c r="X11" i="1" s="1"/>
  <c r="T12" i="1"/>
  <c r="U12" i="1" s="1"/>
  <c r="W12" i="1"/>
  <c r="X12" i="1" s="1"/>
  <c r="T259" i="1"/>
  <c r="U259" i="1" s="1"/>
  <c r="W259" i="1"/>
  <c r="X259" i="1" s="1"/>
  <c r="T260" i="1"/>
  <c r="U260" i="1" s="1"/>
  <c r="W260" i="1"/>
  <c r="X260" i="1" s="1"/>
  <c r="T261" i="1"/>
  <c r="U261" i="1" s="1"/>
  <c r="W261" i="1"/>
  <c r="X261" i="1" s="1"/>
  <c r="T262" i="1"/>
  <c r="U262" i="1" s="1"/>
  <c r="W262" i="1"/>
  <c r="X262" i="1" s="1"/>
  <c r="T263" i="1"/>
  <c r="U263" i="1" s="1"/>
  <c r="W263" i="1"/>
  <c r="X263" i="1" s="1"/>
  <c r="T264" i="1"/>
  <c r="U264" i="1" s="1"/>
  <c r="W264" i="1"/>
  <c r="X264" i="1" s="1"/>
  <c r="T265" i="1"/>
  <c r="U265" i="1" s="1"/>
  <c r="W265" i="1"/>
  <c r="X265" i="1" s="1"/>
  <c r="T266" i="1"/>
  <c r="U266" i="1" s="1"/>
  <c r="W266" i="1"/>
  <c r="X266" i="1" s="1"/>
  <c r="T267" i="1"/>
  <c r="U267" i="1" s="1"/>
  <c r="W267" i="1"/>
  <c r="X267" i="1" s="1"/>
  <c r="T268" i="1"/>
  <c r="U268" i="1" s="1"/>
  <c r="W268" i="1"/>
  <c r="X268" i="1" s="1"/>
  <c r="T269" i="1"/>
  <c r="U269" i="1" s="1"/>
  <c r="W269" i="1"/>
  <c r="X269" i="1" s="1"/>
  <c r="T270" i="1"/>
  <c r="U270" i="1" s="1"/>
  <c r="W270" i="1"/>
  <c r="X270" i="1" s="1"/>
  <c r="T271" i="1"/>
  <c r="U271" i="1" s="1"/>
  <c r="W271" i="1"/>
  <c r="X271" i="1" s="1"/>
  <c r="T272" i="1"/>
  <c r="U272" i="1" s="1"/>
  <c r="W272" i="1"/>
  <c r="X272" i="1" s="1"/>
  <c r="T273" i="1"/>
  <c r="U273" i="1" s="1"/>
  <c r="W273" i="1"/>
  <c r="X273" i="1" s="1"/>
  <c r="T274" i="1"/>
  <c r="U274" i="1" s="1"/>
  <c r="W274" i="1"/>
  <c r="X274" i="1" s="1"/>
  <c r="T275" i="1"/>
  <c r="U275" i="1" s="1"/>
  <c r="W275" i="1"/>
  <c r="X275" i="1" s="1"/>
  <c r="T276" i="1"/>
  <c r="U276" i="1" s="1"/>
  <c r="W276" i="1"/>
  <c r="X276" i="1" s="1"/>
  <c r="T277" i="1"/>
  <c r="U277" i="1" s="1"/>
  <c r="W277" i="1"/>
  <c r="X277" i="1" s="1"/>
  <c r="T278" i="1"/>
  <c r="U278" i="1" s="1"/>
  <c r="W278" i="1"/>
  <c r="X278" i="1" s="1"/>
  <c r="T279" i="1"/>
  <c r="U279" i="1" s="1"/>
  <c r="W279" i="1"/>
  <c r="X279" i="1" s="1"/>
  <c r="T280" i="1"/>
  <c r="U280" i="1" s="1"/>
  <c r="W280" i="1"/>
  <c r="X280" i="1" s="1"/>
  <c r="T281" i="1"/>
  <c r="U281" i="1" s="1"/>
  <c r="W281" i="1"/>
  <c r="X281" i="1" s="1"/>
  <c r="T282" i="1"/>
  <c r="U282" i="1" s="1"/>
  <c r="W282" i="1"/>
  <c r="X282" i="1" s="1"/>
  <c r="T283" i="1"/>
  <c r="U283" i="1" s="1"/>
  <c r="W283" i="1"/>
  <c r="X283" i="1" s="1"/>
  <c r="T284" i="1"/>
  <c r="U284" i="1" s="1"/>
  <c r="W284" i="1"/>
  <c r="X284" i="1" s="1"/>
  <c r="T285" i="1"/>
  <c r="U285" i="1" s="1"/>
  <c r="W285" i="1"/>
  <c r="X285" i="1" s="1"/>
  <c r="T286" i="1"/>
  <c r="U286" i="1" s="1"/>
  <c r="W286" i="1"/>
  <c r="X286" i="1" s="1"/>
  <c r="T287" i="1"/>
  <c r="U287" i="1" s="1"/>
  <c r="W287" i="1"/>
  <c r="X287" i="1" s="1"/>
  <c r="T288" i="1"/>
  <c r="U288" i="1" s="1"/>
  <c r="W288" i="1"/>
  <c r="X288" i="1" s="1"/>
  <c r="T289" i="1"/>
  <c r="U289" i="1" s="1"/>
  <c r="W289" i="1"/>
  <c r="X289" i="1" s="1"/>
  <c r="T290" i="1"/>
  <c r="U290" i="1" s="1"/>
  <c r="W290" i="1"/>
  <c r="X290" i="1" s="1"/>
  <c r="T291" i="1"/>
  <c r="U291" i="1" s="1"/>
  <c r="W291" i="1"/>
  <c r="X291" i="1" s="1"/>
  <c r="T292" i="1"/>
  <c r="U292" i="1" s="1"/>
  <c r="W292" i="1"/>
  <c r="X292" i="1" s="1"/>
  <c r="T293" i="1"/>
  <c r="U293" i="1" s="1"/>
  <c r="W293" i="1"/>
  <c r="X293" i="1" s="1"/>
  <c r="T294" i="1"/>
  <c r="U294" i="1" s="1"/>
  <c r="W294" i="1"/>
  <c r="X294" i="1" s="1"/>
  <c r="T295" i="1"/>
  <c r="U295" i="1" s="1"/>
  <c r="W295" i="1"/>
  <c r="X295" i="1" s="1"/>
  <c r="T296" i="1"/>
  <c r="U296" i="1" s="1"/>
  <c r="W296" i="1"/>
  <c r="X296" i="1" s="1"/>
  <c r="T297" i="1"/>
  <c r="U297" i="1" s="1"/>
  <c r="W297" i="1"/>
  <c r="X297" i="1" s="1"/>
  <c r="T298" i="1"/>
  <c r="U298" i="1" s="1"/>
  <c r="W298" i="1"/>
  <c r="X298" i="1" s="1"/>
  <c r="T299" i="1"/>
  <c r="U299" i="1" s="1"/>
  <c r="W299" i="1"/>
  <c r="X299" i="1" s="1"/>
  <c r="T300" i="1"/>
  <c r="U300" i="1" s="1"/>
  <c r="W300" i="1"/>
  <c r="X300" i="1" s="1"/>
  <c r="T301" i="1"/>
  <c r="U301" i="1" s="1"/>
  <c r="W301" i="1"/>
  <c r="X301" i="1" s="1"/>
  <c r="T302" i="1"/>
  <c r="U302" i="1" s="1"/>
  <c r="W302" i="1"/>
  <c r="X302" i="1" s="1"/>
  <c r="T303" i="1"/>
  <c r="U303" i="1" s="1"/>
  <c r="W303" i="1"/>
  <c r="X303" i="1" s="1"/>
  <c r="T304" i="1"/>
  <c r="U304" i="1" s="1"/>
  <c r="W304" i="1"/>
  <c r="X304" i="1" s="1"/>
  <c r="T305" i="1"/>
  <c r="U305" i="1" s="1"/>
  <c r="W305" i="1"/>
  <c r="X305" i="1" s="1"/>
  <c r="T306" i="1"/>
  <c r="U306" i="1" s="1"/>
  <c r="W306" i="1"/>
  <c r="X306" i="1" s="1"/>
  <c r="T307" i="1"/>
  <c r="U307" i="1" s="1"/>
  <c r="W307" i="1"/>
  <c r="X307" i="1" s="1"/>
  <c r="T308" i="1"/>
  <c r="U308" i="1" s="1"/>
  <c r="W308" i="1"/>
  <c r="X308" i="1" s="1"/>
  <c r="T309" i="1"/>
  <c r="U309" i="1" s="1"/>
  <c r="W309" i="1"/>
  <c r="X309" i="1" s="1"/>
  <c r="T310" i="1"/>
  <c r="U310" i="1" s="1"/>
  <c r="W310" i="1"/>
  <c r="X310" i="1" s="1"/>
  <c r="T311" i="1"/>
  <c r="U311" i="1" s="1"/>
  <c r="W311" i="1"/>
  <c r="X311" i="1" s="1"/>
  <c r="T312" i="1"/>
  <c r="U312" i="1" s="1"/>
  <c r="W312" i="1"/>
  <c r="X312" i="1" s="1"/>
  <c r="T313" i="1"/>
  <c r="U313" i="1" s="1"/>
  <c r="W313" i="1"/>
  <c r="X313" i="1" s="1"/>
  <c r="T314" i="1"/>
  <c r="U314" i="1" s="1"/>
  <c r="W314" i="1"/>
  <c r="X314" i="1" s="1"/>
  <c r="T315" i="1"/>
  <c r="U315" i="1" s="1"/>
  <c r="W315" i="1"/>
  <c r="X315" i="1" s="1"/>
  <c r="T316" i="1"/>
  <c r="U316" i="1" s="1"/>
  <c r="W316" i="1"/>
  <c r="X316" i="1" s="1"/>
  <c r="T317" i="1"/>
  <c r="U317" i="1" s="1"/>
  <c r="W317" i="1"/>
  <c r="X317" i="1" s="1"/>
  <c r="T318" i="1"/>
  <c r="U318" i="1" s="1"/>
  <c r="W318" i="1"/>
  <c r="X318" i="1" s="1"/>
  <c r="T319" i="1"/>
  <c r="U319" i="1" s="1"/>
  <c r="W319" i="1"/>
  <c r="X319" i="1" s="1"/>
  <c r="T320" i="1"/>
  <c r="U320" i="1" s="1"/>
  <c r="W320" i="1"/>
  <c r="X320" i="1" s="1"/>
  <c r="T321" i="1"/>
  <c r="U321" i="1" s="1"/>
  <c r="W321" i="1"/>
  <c r="X321" i="1" s="1"/>
  <c r="T322" i="1"/>
  <c r="U322" i="1" s="1"/>
  <c r="W322" i="1"/>
  <c r="X322" i="1" s="1"/>
  <c r="T323" i="1"/>
  <c r="U323" i="1" s="1"/>
  <c r="W323" i="1"/>
  <c r="X323" i="1" s="1"/>
  <c r="T23" i="1"/>
  <c r="U23" i="1" s="1"/>
  <c r="W23" i="1"/>
  <c r="X23" i="1" s="1"/>
  <c r="T325" i="1"/>
  <c r="U325" i="1" s="1"/>
  <c r="W325" i="1"/>
  <c r="X325" i="1" s="1"/>
  <c r="T326" i="1"/>
  <c r="U326" i="1" s="1"/>
  <c r="W326" i="1"/>
  <c r="X326" i="1" s="1"/>
  <c r="T327" i="1"/>
  <c r="U327" i="1" s="1"/>
  <c r="W327" i="1"/>
  <c r="X327" i="1" s="1"/>
  <c r="T328" i="1"/>
  <c r="U328" i="1" s="1"/>
  <c r="W328" i="1"/>
  <c r="X328" i="1" s="1"/>
  <c r="T329" i="1"/>
  <c r="U329" i="1" s="1"/>
  <c r="W329" i="1"/>
  <c r="X329" i="1" s="1"/>
  <c r="T330" i="1"/>
  <c r="U330" i="1" s="1"/>
  <c r="W330" i="1"/>
  <c r="X330" i="1" s="1"/>
  <c r="T331" i="1"/>
  <c r="U331" i="1" s="1"/>
  <c r="W331" i="1"/>
  <c r="X331" i="1" s="1"/>
  <c r="T332" i="1"/>
  <c r="U332" i="1" s="1"/>
  <c r="W332" i="1"/>
  <c r="X332" i="1" s="1"/>
  <c r="T333" i="1"/>
  <c r="U333" i="1" s="1"/>
  <c r="W333" i="1"/>
  <c r="X333" i="1" s="1"/>
  <c r="T334" i="1"/>
  <c r="U334" i="1" s="1"/>
  <c r="W334" i="1"/>
  <c r="X334" i="1" s="1"/>
  <c r="T335" i="1"/>
  <c r="U335" i="1" s="1"/>
  <c r="W335" i="1"/>
  <c r="X335" i="1" s="1"/>
  <c r="T336" i="1"/>
  <c r="U336" i="1" s="1"/>
  <c r="W336" i="1"/>
  <c r="X336" i="1" s="1"/>
  <c r="T337" i="1"/>
  <c r="U337" i="1" s="1"/>
  <c r="W337" i="1"/>
  <c r="X337" i="1" s="1"/>
  <c r="T338" i="1"/>
  <c r="U338" i="1" s="1"/>
  <c r="W338" i="1"/>
  <c r="X338" i="1" s="1"/>
  <c r="T339" i="1"/>
  <c r="U339" i="1" s="1"/>
  <c r="W339" i="1"/>
  <c r="X339" i="1" s="1"/>
  <c r="T340" i="1"/>
  <c r="U340" i="1" s="1"/>
  <c r="W340" i="1"/>
  <c r="X340" i="1" s="1"/>
  <c r="T341" i="1"/>
  <c r="U341" i="1" s="1"/>
  <c r="W341" i="1"/>
  <c r="X341" i="1" s="1"/>
  <c r="T342" i="1"/>
  <c r="U342" i="1" s="1"/>
  <c r="W342" i="1"/>
  <c r="X342" i="1" s="1"/>
  <c r="T343" i="1"/>
  <c r="U343" i="1" s="1"/>
  <c r="W343" i="1"/>
  <c r="X343" i="1" s="1"/>
  <c r="T344" i="1"/>
  <c r="U344" i="1" s="1"/>
  <c r="W344" i="1"/>
  <c r="X344" i="1" s="1"/>
  <c r="T345" i="1"/>
  <c r="U345" i="1" s="1"/>
  <c r="W345" i="1"/>
  <c r="X345" i="1" s="1"/>
  <c r="T346" i="1"/>
  <c r="U346" i="1" s="1"/>
  <c r="W346" i="1"/>
  <c r="X346" i="1" s="1"/>
  <c r="T347" i="1"/>
  <c r="U347" i="1" s="1"/>
  <c r="W347" i="1"/>
  <c r="X347" i="1" s="1"/>
  <c r="T348" i="1"/>
  <c r="U348" i="1" s="1"/>
  <c r="W348" i="1"/>
  <c r="X348" i="1" s="1"/>
  <c r="T349" i="1"/>
  <c r="U349" i="1" s="1"/>
  <c r="W349" i="1"/>
  <c r="X349" i="1" s="1"/>
  <c r="T350" i="1"/>
  <c r="U350" i="1" s="1"/>
  <c r="W350" i="1"/>
  <c r="X350" i="1" s="1"/>
  <c r="T351" i="1"/>
  <c r="U351" i="1" s="1"/>
  <c r="W351" i="1"/>
  <c r="X351" i="1" s="1"/>
  <c r="T352" i="1"/>
  <c r="U352" i="1" s="1"/>
  <c r="W352" i="1"/>
  <c r="X352" i="1" s="1"/>
  <c r="T353" i="1"/>
  <c r="U353" i="1" s="1"/>
  <c r="W353" i="1"/>
  <c r="X353" i="1" s="1"/>
  <c r="T354" i="1"/>
  <c r="U354" i="1" s="1"/>
  <c r="W354" i="1"/>
  <c r="X354" i="1" s="1"/>
  <c r="T355" i="1"/>
  <c r="U355" i="1" s="1"/>
  <c r="W355" i="1"/>
  <c r="X355" i="1" s="1"/>
  <c r="T356" i="1"/>
  <c r="U356" i="1" s="1"/>
  <c r="W356" i="1"/>
  <c r="X356" i="1" s="1"/>
  <c r="T357" i="1"/>
  <c r="U357" i="1" s="1"/>
  <c r="W357" i="1"/>
  <c r="X357" i="1" s="1"/>
  <c r="T358" i="1"/>
  <c r="U358" i="1" s="1"/>
  <c r="W358" i="1"/>
  <c r="X358" i="1" s="1"/>
  <c r="T359" i="1"/>
  <c r="U359" i="1" s="1"/>
  <c r="W359" i="1"/>
  <c r="X359" i="1" s="1"/>
  <c r="T360" i="1"/>
  <c r="U360" i="1" s="1"/>
  <c r="W360" i="1"/>
  <c r="X360" i="1" s="1"/>
  <c r="T361" i="1"/>
  <c r="U361" i="1" s="1"/>
  <c r="W361" i="1"/>
  <c r="X361" i="1" s="1"/>
  <c r="T362" i="1"/>
  <c r="U362" i="1" s="1"/>
  <c r="W362" i="1"/>
  <c r="X362" i="1" s="1"/>
  <c r="T363" i="1"/>
  <c r="U363" i="1" s="1"/>
  <c r="W363" i="1"/>
  <c r="X363" i="1" s="1"/>
  <c r="T364" i="1"/>
  <c r="U364" i="1" s="1"/>
  <c r="W364" i="1"/>
  <c r="X364" i="1" s="1"/>
  <c r="T365" i="1"/>
  <c r="U365" i="1" s="1"/>
  <c r="W365" i="1"/>
  <c r="X365" i="1" s="1"/>
  <c r="T17" i="1"/>
  <c r="U17" i="1" s="1"/>
  <c r="W17" i="1"/>
  <c r="X17" i="1" s="1"/>
  <c r="T367" i="1"/>
  <c r="U367" i="1" s="1"/>
  <c r="W367" i="1"/>
  <c r="X367" i="1" s="1"/>
  <c r="T368" i="1"/>
  <c r="U368" i="1" s="1"/>
  <c r="W368" i="1"/>
  <c r="X368" i="1" s="1"/>
  <c r="T369" i="1"/>
  <c r="U369" i="1" s="1"/>
  <c r="W369" i="1"/>
  <c r="X369" i="1" s="1"/>
  <c r="T19" i="1"/>
  <c r="U19" i="1" s="1"/>
  <c r="X19" i="1"/>
  <c r="T371" i="1"/>
  <c r="U371" i="1" s="1"/>
  <c r="W371" i="1"/>
  <c r="X371" i="1" s="1"/>
  <c r="T372" i="1"/>
  <c r="U372" i="1" s="1"/>
  <c r="W372" i="1"/>
  <c r="X372" i="1" s="1"/>
  <c r="T373" i="1"/>
  <c r="U373" i="1" s="1"/>
  <c r="W373" i="1"/>
  <c r="X373" i="1" s="1"/>
  <c r="T374" i="1"/>
  <c r="U374" i="1" s="1"/>
  <c r="W374" i="1"/>
  <c r="X374" i="1" s="1"/>
  <c r="T22" i="1"/>
  <c r="U22" i="1" s="1"/>
  <c r="W22" i="1"/>
  <c r="X22" i="1" s="1"/>
  <c r="T376" i="1"/>
  <c r="U376" i="1" s="1"/>
  <c r="W376" i="1"/>
  <c r="X376" i="1" s="1"/>
  <c r="T377" i="1"/>
  <c r="U377" i="1" s="1"/>
  <c r="W377" i="1"/>
  <c r="X377" i="1" s="1"/>
  <c r="T378" i="1"/>
  <c r="U378" i="1" s="1"/>
  <c r="W378" i="1"/>
  <c r="X378" i="1" s="1"/>
  <c r="T379" i="1"/>
  <c r="U379" i="1" s="1"/>
  <c r="W379" i="1"/>
  <c r="X379" i="1" s="1"/>
  <c r="T380" i="1"/>
  <c r="U380" i="1" s="1"/>
  <c r="W380" i="1"/>
  <c r="X380" i="1" s="1"/>
  <c r="T381" i="1"/>
  <c r="U381" i="1" s="1"/>
  <c r="W381" i="1"/>
  <c r="X381" i="1" s="1"/>
  <c r="T382" i="1"/>
  <c r="U382" i="1" s="1"/>
  <c r="W382" i="1"/>
  <c r="X382" i="1" s="1"/>
  <c r="T383" i="1"/>
  <c r="U383" i="1" s="1"/>
  <c r="W383" i="1"/>
  <c r="X383" i="1" s="1"/>
  <c r="T384" i="1"/>
  <c r="U384" i="1" s="1"/>
  <c r="W384" i="1"/>
  <c r="X384" i="1" s="1"/>
  <c r="T385" i="1"/>
  <c r="U385" i="1" s="1"/>
  <c r="W385" i="1"/>
  <c r="X385" i="1" s="1"/>
  <c r="T386" i="1"/>
  <c r="U386" i="1" s="1"/>
  <c r="W386" i="1"/>
  <c r="X386" i="1" s="1"/>
  <c r="T387" i="1"/>
  <c r="U387" i="1" s="1"/>
  <c r="W387" i="1"/>
  <c r="X387" i="1" s="1"/>
  <c r="T388" i="1"/>
  <c r="U388" i="1" s="1"/>
  <c r="W388" i="1"/>
  <c r="X388" i="1" s="1"/>
  <c r="T389" i="1"/>
  <c r="U389" i="1" s="1"/>
  <c r="W389" i="1"/>
  <c r="X389" i="1" s="1"/>
  <c r="T390" i="1"/>
  <c r="U390" i="1" s="1"/>
  <c r="W390" i="1"/>
  <c r="X390" i="1" s="1"/>
  <c r="T391" i="1"/>
  <c r="U391" i="1" s="1"/>
  <c r="W391" i="1"/>
  <c r="X391" i="1" s="1"/>
  <c r="T392" i="1"/>
  <c r="U392" i="1" s="1"/>
  <c r="W392" i="1"/>
  <c r="X392" i="1" s="1"/>
  <c r="T393" i="1"/>
  <c r="U393" i="1" s="1"/>
  <c r="W393" i="1"/>
  <c r="X393" i="1" s="1"/>
  <c r="T394" i="1"/>
  <c r="U394" i="1" s="1"/>
  <c r="W394" i="1"/>
  <c r="X394" i="1" s="1"/>
  <c r="T395" i="1"/>
  <c r="U395" i="1" s="1"/>
  <c r="W395" i="1"/>
  <c r="X395" i="1" s="1"/>
  <c r="T396" i="1"/>
  <c r="U396" i="1" s="1"/>
  <c r="W396" i="1"/>
  <c r="X396" i="1" s="1"/>
  <c r="T397" i="1"/>
  <c r="U397" i="1" s="1"/>
  <c r="W397" i="1"/>
  <c r="X397" i="1" s="1"/>
  <c r="T398" i="1"/>
  <c r="U398" i="1" s="1"/>
  <c r="W398" i="1"/>
  <c r="X398" i="1" s="1"/>
  <c r="T399" i="1"/>
  <c r="U399" i="1" s="1"/>
  <c r="W399" i="1"/>
  <c r="X399" i="1" s="1"/>
  <c r="T400" i="1"/>
  <c r="U400" i="1" s="1"/>
  <c r="W400" i="1"/>
  <c r="X400" i="1" s="1"/>
  <c r="T401" i="1"/>
  <c r="U401" i="1" s="1"/>
  <c r="W401" i="1"/>
  <c r="X401" i="1" s="1"/>
  <c r="T402" i="1"/>
  <c r="U402" i="1" s="1"/>
  <c r="W402" i="1"/>
  <c r="X402" i="1" s="1"/>
  <c r="T403" i="1"/>
  <c r="U403" i="1" s="1"/>
  <c r="W403" i="1"/>
  <c r="X403" i="1" s="1"/>
  <c r="T404" i="1"/>
  <c r="U404" i="1" s="1"/>
  <c r="W404" i="1"/>
  <c r="X404" i="1" s="1"/>
  <c r="T405" i="1"/>
  <c r="U405" i="1" s="1"/>
  <c r="W405" i="1"/>
  <c r="X405" i="1" s="1"/>
  <c r="T406" i="1"/>
  <c r="U406" i="1" s="1"/>
  <c r="W406" i="1"/>
  <c r="X406" i="1" s="1"/>
  <c r="T407" i="1"/>
  <c r="U407" i="1" s="1"/>
  <c r="W407" i="1"/>
  <c r="X407" i="1" s="1"/>
  <c r="T408" i="1"/>
  <c r="U408" i="1" s="1"/>
  <c r="W408" i="1"/>
  <c r="X408" i="1" s="1"/>
  <c r="T409" i="1"/>
  <c r="U409" i="1" s="1"/>
  <c r="W409" i="1"/>
  <c r="X409" i="1" s="1"/>
  <c r="T410" i="1"/>
  <c r="U410" i="1" s="1"/>
  <c r="W410" i="1"/>
  <c r="X410" i="1" s="1"/>
  <c r="U411" i="1"/>
  <c r="W411" i="1"/>
  <c r="X411" i="1" s="1"/>
  <c r="U412" i="1"/>
  <c r="W412" i="1"/>
  <c r="X412" i="1" s="1"/>
  <c r="U413" i="1"/>
  <c r="W413" i="1"/>
  <c r="X413" i="1" s="1"/>
  <c r="U414" i="1"/>
  <c r="W414" i="1"/>
  <c r="X414" i="1" s="1"/>
  <c r="U415" i="1"/>
  <c r="W415" i="1"/>
  <c r="X415" i="1" s="1"/>
  <c r="U56" i="1"/>
  <c r="W56" i="1"/>
  <c r="X56" i="1" s="1"/>
  <c r="U131" i="1"/>
  <c r="W131" i="1"/>
  <c r="X131" i="1" s="1"/>
  <c r="U145" i="1"/>
  <c r="W145" i="1"/>
  <c r="X145" i="1" s="1"/>
  <c r="U146" i="1"/>
  <c r="W146" i="1"/>
  <c r="X146" i="1" s="1"/>
  <c r="U246" i="1"/>
  <c r="W246" i="1"/>
  <c r="X246" i="1" s="1"/>
  <c r="U13" i="1"/>
  <c r="W13" i="1"/>
  <c r="X13" i="1" s="1"/>
  <c r="U20" i="1"/>
  <c r="W20" i="1"/>
  <c r="X20" i="1" s="1"/>
  <c r="U247" i="1"/>
  <c r="W247" i="1"/>
  <c r="X247" i="1" s="1"/>
  <c r="U324" i="1"/>
  <c r="W324" i="1"/>
  <c r="X324" i="1" s="1"/>
  <c r="U366" i="1"/>
  <c r="W366" i="1"/>
  <c r="X366" i="1" s="1"/>
  <c r="U370" i="1"/>
  <c r="W370" i="1"/>
  <c r="X370" i="1" s="1"/>
  <c r="U375" i="1"/>
  <c r="W375" i="1"/>
  <c r="X375" i="1" s="1"/>
  <c r="U416" i="1"/>
  <c r="W416" i="1"/>
  <c r="X416" i="1" s="1"/>
  <c r="U417" i="1"/>
  <c r="W417" i="1"/>
  <c r="X417" i="1" s="1"/>
  <c r="U418" i="1"/>
  <c r="W418" i="1"/>
  <c r="X418" i="1" s="1"/>
  <c r="U419" i="1"/>
  <c r="W419" i="1"/>
  <c r="X419" i="1" s="1"/>
  <c r="U420" i="1"/>
  <c r="W420" i="1"/>
  <c r="X420" i="1" s="1"/>
  <c r="U421" i="1"/>
  <c r="W421" i="1"/>
  <c r="X421" i="1" s="1"/>
  <c r="U422" i="1"/>
  <c r="W422" i="1"/>
  <c r="X422" i="1" s="1"/>
  <c r="U423" i="1"/>
  <c r="W423" i="1"/>
  <c r="X423" i="1" s="1"/>
  <c r="U424" i="1"/>
  <c r="W424" i="1"/>
  <c r="X424" i="1" s="1"/>
  <c r="U425" i="1"/>
  <c r="W425" i="1"/>
  <c r="X425" i="1" s="1"/>
  <c r="U426" i="1"/>
  <c r="W426" i="1"/>
  <c r="X426" i="1" s="1"/>
  <c r="U427" i="1"/>
  <c r="W427" i="1"/>
  <c r="X427" i="1" s="1"/>
  <c r="U428" i="1"/>
  <c r="W428" i="1"/>
  <c r="X428" i="1" s="1"/>
  <c r="U429" i="1"/>
  <c r="W429" i="1"/>
  <c r="X429" i="1" s="1"/>
  <c r="U430" i="1"/>
  <c r="W430" i="1"/>
  <c r="X430" i="1" s="1"/>
  <c r="U431" i="1"/>
  <c r="W431" i="1"/>
  <c r="X431" i="1" s="1"/>
  <c r="U432" i="1"/>
  <c r="W432" i="1"/>
  <c r="X432" i="1" s="1"/>
  <c r="U433" i="1"/>
  <c r="W433" i="1"/>
  <c r="X433" i="1" s="1"/>
  <c r="U434" i="1"/>
  <c r="W434" i="1"/>
  <c r="X434" i="1" s="1"/>
  <c r="U435" i="1"/>
  <c r="W435" i="1"/>
  <c r="X435" i="1" s="1"/>
  <c r="U436" i="1"/>
  <c r="W436" i="1"/>
  <c r="X436" i="1" s="1"/>
  <c r="U437" i="1"/>
  <c r="W437" i="1"/>
  <c r="X437" i="1" s="1"/>
  <c r="U438" i="1"/>
  <c r="W438" i="1"/>
  <c r="X438" i="1" s="1"/>
  <c r="U439" i="1"/>
  <c r="W439" i="1"/>
  <c r="X439" i="1" s="1"/>
  <c r="U440" i="1"/>
  <c r="W440" i="1"/>
  <c r="X440" i="1" s="1"/>
  <c r="U441" i="1"/>
  <c r="W441" i="1"/>
  <c r="X441" i="1" s="1"/>
  <c r="U442" i="1"/>
  <c r="W442" i="1"/>
  <c r="X442" i="1" s="1"/>
  <c r="U443" i="1"/>
  <c r="W443" i="1"/>
  <c r="X443" i="1" s="1"/>
  <c r="U444" i="1"/>
  <c r="W444" i="1"/>
  <c r="X444" i="1" s="1"/>
  <c r="U445" i="1"/>
  <c r="W445" i="1"/>
  <c r="X445" i="1" s="1"/>
  <c r="U446" i="1"/>
  <c r="W446" i="1"/>
  <c r="X446" i="1" s="1"/>
  <c r="U447" i="1"/>
  <c r="W447" i="1"/>
  <c r="X447" i="1" s="1"/>
  <c r="U448" i="1"/>
  <c r="W448" i="1"/>
  <c r="X448" i="1" s="1"/>
  <c r="U449" i="1"/>
  <c r="W449" i="1"/>
  <c r="X449" i="1" s="1"/>
  <c r="U450" i="1"/>
  <c r="W450" i="1"/>
  <c r="X450" i="1" s="1"/>
  <c r="U451" i="1"/>
  <c r="W451" i="1"/>
  <c r="X451" i="1" s="1"/>
  <c r="U452" i="1"/>
  <c r="W452" i="1"/>
  <c r="X452" i="1" s="1"/>
  <c r="U453" i="1"/>
  <c r="W453" i="1"/>
  <c r="X453" i="1" s="1"/>
  <c r="U454" i="1"/>
  <c r="W454" i="1"/>
  <c r="X454" i="1" s="1"/>
  <c r="U455" i="1"/>
  <c r="W455" i="1"/>
  <c r="X455" i="1" s="1"/>
  <c r="U456" i="1"/>
  <c r="W456" i="1"/>
  <c r="X456" i="1" s="1"/>
  <c r="U457" i="1"/>
  <c r="W457" i="1"/>
  <c r="X457" i="1" s="1"/>
  <c r="U459" i="1"/>
  <c r="W459" i="1"/>
  <c r="X459" i="1" s="1"/>
  <c r="U458" i="1"/>
  <c r="W458" i="1"/>
  <c r="X458" i="1" s="1"/>
  <c r="U460" i="1"/>
  <c r="W460" i="1"/>
  <c r="X460" i="1" s="1"/>
  <c r="U461" i="1"/>
  <c r="W461" i="1"/>
  <c r="X461" i="1" s="1"/>
  <c r="U462" i="1"/>
  <c r="W462" i="1"/>
  <c r="X462" i="1" s="1"/>
  <c r="U24" i="1"/>
  <c r="W24" i="1"/>
  <c r="X24" i="1" s="1"/>
  <c r="U463" i="1"/>
  <c r="W463" i="1"/>
  <c r="X463" i="1" s="1"/>
  <c r="U464" i="1"/>
  <c r="W464" i="1"/>
  <c r="X464" i="1" s="1"/>
  <c r="U465" i="1"/>
  <c r="W465" i="1"/>
  <c r="X465" i="1" s="1"/>
  <c r="U466" i="1"/>
  <c r="W466" i="1"/>
  <c r="X466" i="1" s="1"/>
  <c r="U467" i="1"/>
  <c r="W467" i="1"/>
  <c r="X467" i="1" s="1"/>
  <c r="U468" i="1"/>
  <c r="W468" i="1"/>
  <c r="X468" i="1" s="1"/>
  <c r="U469" i="1"/>
  <c r="W469" i="1"/>
  <c r="X469" i="1" s="1"/>
  <c r="U470" i="1"/>
  <c r="W470" i="1"/>
  <c r="X470" i="1" s="1"/>
  <c r="U471" i="1"/>
  <c r="W471" i="1"/>
  <c r="X471" i="1" s="1"/>
  <c r="U472" i="1"/>
  <c r="W472" i="1"/>
  <c r="X472" i="1" s="1"/>
  <c r="U473" i="1"/>
  <c r="W473" i="1"/>
  <c r="X473" i="1" s="1"/>
  <c r="U474" i="1"/>
  <c r="W474" i="1"/>
  <c r="X474" i="1" s="1"/>
  <c r="U475" i="1"/>
  <c r="W475" i="1"/>
  <c r="X475" i="1" s="1"/>
  <c r="U476" i="1"/>
  <c r="W476" i="1"/>
  <c r="X476" i="1" s="1"/>
  <c r="U477" i="1"/>
  <c r="W477" i="1"/>
  <c r="X477" i="1" s="1"/>
  <c r="U478" i="1"/>
  <c r="W478" i="1"/>
  <c r="X478" i="1" s="1"/>
  <c r="U479" i="1"/>
  <c r="W479" i="1"/>
  <c r="X479" i="1" s="1"/>
  <c r="U480" i="1"/>
  <c r="W480" i="1"/>
  <c r="X480" i="1" s="1"/>
  <c r="U481" i="1"/>
  <c r="W481" i="1"/>
  <c r="X481" i="1" s="1"/>
  <c r="U482" i="1"/>
  <c r="W482" i="1"/>
  <c r="X482" i="1" s="1"/>
  <c r="U483" i="1"/>
  <c r="W483" i="1"/>
  <c r="X483" i="1" s="1"/>
  <c r="U484" i="1"/>
  <c r="W484" i="1"/>
  <c r="X484" i="1" s="1"/>
  <c r="U485" i="1"/>
  <c r="W485" i="1"/>
  <c r="X485" i="1" s="1"/>
  <c r="U486" i="1"/>
  <c r="W486" i="1"/>
  <c r="X486" i="1" s="1"/>
  <c r="U487" i="1"/>
  <c r="W487" i="1"/>
  <c r="X487" i="1" s="1"/>
  <c r="U488" i="1"/>
  <c r="W488" i="1"/>
  <c r="X488" i="1" s="1"/>
  <c r="U489" i="1"/>
  <c r="W489" i="1"/>
  <c r="X489" i="1" s="1"/>
  <c r="U490" i="1"/>
  <c r="W490" i="1"/>
  <c r="X490" i="1" s="1"/>
  <c r="U491" i="1"/>
  <c r="Y491" i="1" s="1"/>
  <c r="AA491" i="1" s="1"/>
  <c r="U492" i="1"/>
  <c r="W492" i="1"/>
  <c r="X492" i="1" s="1"/>
  <c r="U493" i="1"/>
  <c r="W493" i="1"/>
  <c r="X493" i="1" s="1"/>
  <c r="U494" i="1"/>
  <c r="W494" i="1"/>
  <c r="X494" i="1" s="1"/>
  <c r="U495" i="1"/>
  <c r="W495" i="1"/>
  <c r="X495" i="1" s="1"/>
  <c r="U496" i="1"/>
  <c r="W496" i="1"/>
  <c r="X496" i="1" s="1"/>
  <c r="U497" i="1"/>
  <c r="W497" i="1"/>
  <c r="X497" i="1" s="1"/>
  <c r="U498" i="1"/>
  <c r="W498" i="1"/>
  <c r="X498" i="1" s="1"/>
  <c r="U499" i="1"/>
  <c r="W499" i="1"/>
  <c r="X499" i="1" s="1"/>
  <c r="U500" i="1"/>
  <c r="W500" i="1"/>
  <c r="X500" i="1" s="1"/>
  <c r="U501" i="1"/>
  <c r="W501" i="1"/>
  <c r="X501" i="1" s="1"/>
  <c r="U502" i="1"/>
  <c r="W502" i="1"/>
  <c r="X502" i="1" s="1"/>
  <c r="U503" i="1"/>
  <c r="W503" i="1"/>
  <c r="X503" i="1" s="1"/>
  <c r="U504" i="1"/>
  <c r="W504" i="1"/>
  <c r="X504" i="1" s="1"/>
  <c r="U505" i="1"/>
  <c r="W505" i="1"/>
  <c r="X505" i="1" s="1"/>
  <c r="U506" i="1"/>
  <c r="W506" i="1"/>
  <c r="X506" i="1" s="1"/>
  <c r="U507" i="1"/>
  <c r="W507" i="1"/>
  <c r="X507" i="1" s="1"/>
  <c r="U508" i="1"/>
  <c r="W508" i="1"/>
  <c r="X508" i="1" s="1"/>
  <c r="U509" i="1"/>
  <c r="W509" i="1"/>
  <c r="X509" i="1" s="1"/>
  <c r="U511" i="1"/>
  <c r="W511" i="1"/>
  <c r="X511" i="1" s="1"/>
  <c r="U512" i="1"/>
  <c r="W512" i="1"/>
  <c r="X512" i="1" s="1"/>
  <c r="U513" i="1"/>
  <c r="W513" i="1"/>
  <c r="X513" i="1" s="1"/>
  <c r="U514" i="1"/>
  <c r="W514" i="1"/>
  <c r="X514" i="1" s="1"/>
  <c r="U515" i="1"/>
  <c r="W515" i="1"/>
  <c r="X515" i="1" s="1"/>
  <c r="U516" i="1"/>
  <c r="W516" i="1"/>
  <c r="X516" i="1" s="1"/>
  <c r="U517" i="1"/>
  <c r="W517" i="1"/>
  <c r="X517" i="1" s="1"/>
  <c r="U518" i="1"/>
  <c r="W518" i="1"/>
  <c r="X518" i="1" s="1"/>
  <c r="U519" i="1"/>
  <c r="W519" i="1"/>
  <c r="X519" i="1" s="1"/>
  <c r="U520" i="1"/>
  <c r="W520" i="1"/>
  <c r="X520" i="1" s="1"/>
  <c r="U521" i="1"/>
  <c r="W521" i="1"/>
  <c r="X521" i="1" s="1"/>
  <c r="U522" i="1"/>
  <c r="W522" i="1"/>
  <c r="X522" i="1" s="1"/>
  <c r="U523" i="1"/>
  <c r="W523" i="1"/>
  <c r="X523" i="1" s="1"/>
  <c r="U524" i="1"/>
  <c r="W524" i="1"/>
  <c r="X524" i="1" s="1"/>
  <c r="U525" i="1"/>
  <c r="W525" i="1"/>
  <c r="X525" i="1" s="1"/>
  <c r="U526" i="1"/>
  <c r="W526" i="1"/>
  <c r="X526" i="1" s="1"/>
  <c r="U527" i="1"/>
  <c r="W527" i="1"/>
  <c r="X527" i="1" s="1"/>
  <c r="U528" i="1"/>
  <c r="W528" i="1"/>
  <c r="X528" i="1" s="1"/>
  <c r="U529" i="1"/>
  <c r="W529" i="1"/>
  <c r="X529" i="1" s="1"/>
  <c r="U530" i="1"/>
  <c r="W530" i="1"/>
  <c r="X530" i="1" s="1"/>
  <c r="U531" i="1"/>
  <c r="W531" i="1"/>
  <c r="X531" i="1" s="1"/>
  <c r="U532" i="1"/>
  <c r="W532" i="1"/>
  <c r="X532" i="1" s="1"/>
  <c r="U533" i="1"/>
  <c r="W533" i="1"/>
  <c r="X533" i="1" s="1"/>
  <c r="U534" i="1"/>
  <c r="W534" i="1"/>
  <c r="X534" i="1" s="1"/>
  <c r="U535" i="1"/>
  <c r="W535" i="1"/>
  <c r="X535" i="1" s="1"/>
  <c r="U536" i="1"/>
  <c r="W536" i="1"/>
  <c r="X536" i="1" s="1"/>
  <c r="U537" i="1"/>
  <c r="W537" i="1"/>
  <c r="X537" i="1" s="1"/>
  <c r="U538" i="1"/>
  <c r="W538" i="1"/>
  <c r="X538" i="1" s="1"/>
  <c r="U539" i="1"/>
  <c r="W539" i="1"/>
  <c r="X539" i="1" s="1"/>
  <c r="U540" i="1"/>
  <c r="W540" i="1"/>
  <c r="X540" i="1" s="1"/>
  <c r="U541" i="1"/>
  <c r="W541" i="1"/>
  <c r="X541" i="1" s="1"/>
  <c r="U542" i="1"/>
  <c r="W542" i="1"/>
  <c r="X542" i="1" s="1"/>
  <c r="U543" i="1"/>
  <c r="W543" i="1"/>
  <c r="X543" i="1" s="1"/>
  <c r="U544" i="1"/>
  <c r="W544" i="1"/>
  <c r="X544" i="1" s="1"/>
  <c r="U545" i="1"/>
  <c r="W545" i="1"/>
  <c r="X545" i="1" s="1"/>
  <c r="U546" i="1"/>
  <c r="W546" i="1"/>
  <c r="X546" i="1" s="1"/>
  <c r="U547" i="1"/>
  <c r="W547" i="1"/>
  <c r="X547" i="1" s="1"/>
  <c r="U548" i="1"/>
  <c r="W548" i="1"/>
  <c r="X548" i="1" s="1"/>
  <c r="U549" i="1"/>
  <c r="W549" i="1"/>
  <c r="X549" i="1" s="1"/>
  <c r="U550" i="1"/>
  <c r="W550" i="1"/>
  <c r="X550" i="1" s="1"/>
  <c r="U551" i="1"/>
  <c r="W551" i="1"/>
  <c r="X551" i="1" s="1"/>
  <c r="U552" i="1"/>
  <c r="W552" i="1"/>
  <c r="X552" i="1" s="1"/>
  <c r="U553" i="1"/>
  <c r="W553" i="1"/>
  <c r="X553" i="1" s="1"/>
  <c r="U554" i="1"/>
  <c r="W554" i="1"/>
  <c r="X554" i="1" s="1"/>
  <c r="U555" i="1"/>
  <c r="W555" i="1"/>
  <c r="X555" i="1" s="1"/>
  <c r="U556" i="1"/>
  <c r="W556" i="1"/>
  <c r="X556" i="1" s="1"/>
  <c r="U557" i="1"/>
  <c r="W557" i="1"/>
  <c r="X557" i="1" s="1"/>
  <c r="U558" i="1"/>
  <c r="W558" i="1"/>
  <c r="X558" i="1" s="1"/>
  <c r="U559" i="1"/>
  <c r="W559" i="1"/>
  <c r="X559" i="1" s="1"/>
  <c r="U560" i="1"/>
  <c r="W560" i="1"/>
  <c r="X560" i="1" s="1"/>
  <c r="U561" i="1"/>
  <c r="W561" i="1"/>
  <c r="X561" i="1" s="1"/>
  <c r="U562" i="1"/>
  <c r="W562" i="1"/>
  <c r="X562" i="1" s="1"/>
  <c r="U563" i="1"/>
  <c r="W563" i="1"/>
  <c r="X563" i="1" s="1"/>
  <c r="U564" i="1"/>
  <c r="W564" i="1"/>
  <c r="X564" i="1" s="1"/>
  <c r="U565" i="1"/>
  <c r="W565" i="1"/>
  <c r="X565" i="1" s="1"/>
  <c r="U566" i="1"/>
  <c r="W566" i="1"/>
  <c r="X566" i="1" s="1"/>
  <c r="U567" i="1"/>
  <c r="W567" i="1"/>
  <c r="X567" i="1" s="1"/>
  <c r="U568" i="1"/>
  <c r="W568" i="1"/>
  <c r="X568" i="1" s="1"/>
  <c r="U569" i="1"/>
  <c r="W569" i="1"/>
  <c r="X569" i="1" s="1"/>
  <c r="U570" i="1"/>
  <c r="W570" i="1"/>
  <c r="X570" i="1" s="1"/>
  <c r="U571" i="1"/>
  <c r="W571" i="1"/>
  <c r="X571" i="1" s="1"/>
  <c r="U572" i="1"/>
  <c r="W572" i="1"/>
  <c r="X572" i="1" s="1"/>
  <c r="U573" i="1"/>
  <c r="W573" i="1"/>
  <c r="X573" i="1" s="1"/>
  <c r="U574" i="1"/>
  <c r="W574" i="1"/>
  <c r="X574" i="1" s="1"/>
  <c r="U575" i="1"/>
  <c r="W575" i="1"/>
  <c r="X575" i="1" s="1"/>
  <c r="U576" i="1"/>
  <c r="W576" i="1"/>
  <c r="X576" i="1" s="1"/>
  <c r="U577" i="1"/>
  <c r="W577" i="1"/>
  <c r="X577" i="1" s="1"/>
  <c r="U578" i="1"/>
  <c r="W578" i="1"/>
  <c r="X578" i="1" s="1"/>
  <c r="U579" i="1"/>
  <c r="W579" i="1"/>
  <c r="X579" i="1" s="1"/>
  <c r="U580" i="1"/>
  <c r="W580" i="1"/>
  <c r="X580" i="1" s="1"/>
  <c r="U581" i="1"/>
  <c r="W581" i="1"/>
  <c r="X581" i="1" s="1"/>
  <c r="U582" i="1"/>
  <c r="W582" i="1"/>
  <c r="X582" i="1" s="1"/>
  <c r="U583" i="1"/>
  <c r="W583" i="1"/>
  <c r="X583" i="1" s="1"/>
  <c r="U584" i="1"/>
  <c r="W584" i="1"/>
  <c r="X584" i="1" s="1"/>
  <c r="U585" i="1"/>
  <c r="W585" i="1"/>
  <c r="X585" i="1" s="1"/>
  <c r="U586" i="1"/>
  <c r="W586" i="1"/>
  <c r="X586" i="1" s="1"/>
  <c r="U587" i="1"/>
  <c r="W587" i="1"/>
  <c r="X587" i="1" s="1"/>
  <c r="U588" i="1"/>
  <c r="W588" i="1"/>
  <c r="X588" i="1" s="1"/>
  <c r="U589" i="1"/>
  <c r="W589" i="1"/>
  <c r="X589" i="1" s="1"/>
  <c r="U590" i="1"/>
  <c r="W590" i="1"/>
  <c r="X590" i="1" s="1"/>
  <c r="U591" i="1"/>
  <c r="W591" i="1"/>
  <c r="X591" i="1" s="1"/>
  <c r="U592" i="1"/>
  <c r="W592" i="1"/>
  <c r="X592" i="1" s="1"/>
  <c r="U593" i="1"/>
  <c r="W593" i="1"/>
  <c r="X593" i="1" s="1"/>
  <c r="U594" i="1"/>
  <c r="W594" i="1"/>
  <c r="X594" i="1" s="1"/>
  <c r="U595" i="1"/>
  <c r="W595" i="1"/>
  <c r="X595" i="1" s="1"/>
  <c r="U596" i="1"/>
  <c r="W596" i="1"/>
  <c r="X596" i="1" s="1"/>
  <c r="U597" i="1"/>
  <c r="W597" i="1"/>
  <c r="X597" i="1" s="1"/>
  <c r="U598" i="1"/>
  <c r="W598" i="1"/>
  <c r="X598" i="1" s="1"/>
  <c r="U599" i="1"/>
  <c r="W599" i="1"/>
  <c r="X599" i="1" s="1"/>
  <c r="U600" i="1"/>
  <c r="W600" i="1"/>
  <c r="X600" i="1" s="1"/>
  <c r="U601" i="1"/>
  <c r="W601" i="1"/>
  <c r="X601" i="1" s="1"/>
  <c r="U602" i="1"/>
  <c r="W602" i="1"/>
  <c r="X602" i="1" s="1"/>
  <c r="U603" i="1"/>
  <c r="W603" i="1"/>
  <c r="X603" i="1" s="1"/>
  <c r="U604" i="1"/>
  <c r="W604" i="1"/>
  <c r="X604" i="1" s="1"/>
  <c r="U605" i="1"/>
  <c r="W605" i="1"/>
  <c r="X605" i="1" s="1"/>
  <c r="U606" i="1"/>
  <c r="W606" i="1"/>
  <c r="X606" i="1" s="1"/>
  <c r="U607" i="1"/>
  <c r="W607" i="1"/>
  <c r="X607" i="1" s="1"/>
  <c r="U608" i="1"/>
  <c r="W608" i="1"/>
  <c r="X608" i="1" s="1"/>
  <c r="U609" i="1"/>
  <c r="W609" i="1"/>
  <c r="X609" i="1" s="1"/>
  <c r="U610" i="1"/>
  <c r="W610" i="1"/>
  <c r="X610" i="1" s="1"/>
  <c r="U611" i="1"/>
  <c r="W611" i="1"/>
  <c r="X611" i="1" s="1"/>
  <c r="U612" i="1"/>
  <c r="W612" i="1"/>
  <c r="X612" i="1" s="1"/>
  <c r="U613" i="1"/>
  <c r="W613" i="1"/>
  <c r="X613" i="1" s="1"/>
  <c r="U614" i="1"/>
  <c r="W614" i="1"/>
  <c r="X614" i="1" s="1"/>
  <c r="U615" i="1"/>
  <c r="W615" i="1"/>
  <c r="X615" i="1" s="1"/>
  <c r="U616" i="1"/>
  <c r="W616" i="1"/>
  <c r="X616" i="1" s="1"/>
  <c r="U617" i="1"/>
  <c r="W617" i="1"/>
  <c r="X617" i="1" s="1"/>
  <c r="U618" i="1"/>
  <c r="W618" i="1"/>
  <c r="X618" i="1" s="1"/>
  <c r="U619" i="1"/>
  <c r="W619" i="1"/>
  <c r="X619" i="1" s="1"/>
  <c r="U620" i="1"/>
  <c r="W620" i="1"/>
  <c r="X620" i="1" s="1"/>
  <c r="U621" i="1"/>
  <c r="W621" i="1"/>
  <c r="X621" i="1" s="1"/>
  <c r="U622" i="1"/>
  <c r="W622" i="1"/>
  <c r="X622" i="1" s="1"/>
  <c r="U623" i="1"/>
  <c r="W623" i="1"/>
  <c r="X623" i="1" s="1"/>
  <c r="U624" i="1"/>
  <c r="W624" i="1"/>
  <c r="X624" i="1" s="1"/>
  <c r="U625" i="1"/>
  <c r="W625" i="1"/>
  <c r="X625" i="1" s="1"/>
  <c r="U626" i="1"/>
  <c r="W626" i="1"/>
  <c r="X626" i="1" s="1"/>
  <c r="U627" i="1"/>
  <c r="W627" i="1"/>
  <c r="X627" i="1" s="1"/>
  <c r="U628" i="1"/>
  <c r="W628" i="1"/>
  <c r="X628" i="1" s="1"/>
  <c r="U629" i="1"/>
  <c r="W629" i="1"/>
  <c r="X629" i="1" s="1"/>
  <c r="U630" i="1"/>
  <c r="W630" i="1"/>
  <c r="X630" i="1" s="1"/>
  <c r="U631" i="1"/>
  <c r="W631" i="1"/>
  <c r="X631" i="1" s="1"/>
  <c r="U632" i="1"/>
  <c r="W632" i="1"/>
  <c r="X632" i="1" s="1"/>
  <c r="U633" i="1"/>
  <c r="W633" i="1"/>
  <c r="X633" i="1" s="1"/>
  <c r="U634" i="1"/>
  <c r="W634" i="1"/>
  <c r="X634" i="1" s="1"/>
  <c r="U635" i="1"/>
  <c r="W635" i="1"/>
  <c r="X635" i="1" s="1"/>
  <c r="U636" i="1"/>
  <c r="W636" i="1"/>
  <c r="X636" i="1" s="1"/>
  <c r="U637" i="1"/>
  <c r="W637" i="1"/>
  <c r="X637" i="1" s="1"/>
  <c r="U638" i="1"/>
  <c r="W638" i="1"/>
  <c r="X638" i="1" s="1"/>
  <c r="U639" i="1"/>
  <c r="W639" i="1"/>
  <c r="X639" i="1" s="1"/>
  <c r="U640" i="1"/>
  <c r="W640" i="1"/>
  <c r="X640" i="1" s="1"/>
  <c r="U641" i="1"/>
  <c r="W641" i="1"/>
  <c r="X641" i="1" s="1"/>
  <c r="U642" i="1"/>
  <c r="W642" i="1"/>
  <c r="X642" i="1" s="1"/>
  <c r="U643" i="1"/>
  <c r="W643" i="1"/>
  <c r="X643" i="1" s="1"/>
  <c r="U644" i="1"/>
  <c r="W644" i="1"/>
  <c r="X644" i="1" s="1"/>
  <c r="U645" i="1"/>
  <c r="W645" i="1"/>
  <c r="X645" i="1" s="1"/>
  <c r="U646" i="1"/>
  <c r="W646" i="1"/>
  <c r="X646" i="1" s="1"/>
  <c r="U647" i="1"/>
  <c r="W647" i="1"/>
  <c r="X647" i="1" s="1"/>
  <c r="U648" i="1"/>
  <c r="W648" i="1"/>
  <c r="X648" i="1" s="1"/>
  <c r="U649" i="1"/>
  <c r="W649" i="1"/>
  <c r="X649" i="1" s="1"/>
  <c r="U650" i="1"/>
  <c r="W650" i="1"/>
  <c r="X650"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U786" i="1"/>
  <c r="W786" i="1"/>
  <c r="X786" i="1" s="1"/>
  <c r="U787" i="1"/>
  <c r="W787" i="1"/>
  <c r="X787" i="1" s="1"/>
  <c r="U788" i="1"/>
  <c r="W788" i="1"/>
  <c r="X788" i="1" s="1"/>
  <c r="U789" i="1"/>
  <c r="W789" i="1"/>
  <c r="X789" i="1" s="1"/>
  <c r="U790" i="1"/>
  <c r="W790" i="1"/>
  <c r="X790" i="1" s="1"/>
  <c r="U791" i="1"/>
  <c r="W791" i="1"/>
  <c r="X791" i="1" s="1"/>
  <c r="U792" i="1"/>
  <c r="W792" i="1"/>
  <c r="X792" i="1" s="1"/>
  <c r="U793" i="1"/>
  <c r="W793" i="1"/>
  <c r="X793" i="1" s="1"/>
  <c r="U794" i="1"/>
  <c r="W794" i="1"/>
  <c r="X794" i="1" s="1"/>
  <c r="U795" i="1"/>
  <c r="W795" i="1"/>
  <c r="X795" i="1" s="1"/>
  <c r="U796" i="1"/>
  <c r="W796" i="1"/>
  <c r="X796" i="1" s="1"/>
  <c r="U797" i="1"/>
  <c r="W797" i="1"/>
  <c r="X797" i="1" s="1"/>
  <c r="U798" i="1"/>
  <c r="W798" i="1"/>
  <c r="X798" i="1" s="1"/>
  <c r="U799" i="1"/>
  <c r="W799" i="1"/>
  <c r="X799" i="1" s="1"/>
  <c r="U800" i="1"/>
  <c r="W800" i="1"/>
  <c r="X800" i="1" s="1"/>
  <c r="U801" i="1"/>
  <c r="W801" i="1"/>
  <c r="X801" i="1" s="1"/>
  <c r="U802" i="1"/>
  <c r="W802" i="1"/>
  <c r="X802" i="1" s="1"/>
  <c r="U803" i="1"/>
  <c r="W803" i="1"/>
  <c r="X803" i="1" s="1"/>
  <c r="U804" i="1"/>
  <c r="W804" i="1"/>
  <c r="X804" i="1" s="1"/>
  <c r="U805" i="1"/>
  <c r="W805" i="1"/>
  <c r="X805" i="1" s="1"/>
  <c r="U806" i="1"/>
  <c r="W806" i="1"/>
  <c r="X806" i="1" s="1"/>
  <c r="U807" i="1"/>
  <c r="W807" i="1"/>
  <c r="X807" i="1" s="1"/>
  <c r="U808" i="1"/>
  <c r="W808" i="1"/>
  <c r="X808" i="1" s="1"/>
  <c r="U809" i="1"/>
  <c r="W809" i="1"/>
  <c r="X809" i="1" s="1"/>
  <c r="U810" i="1"/>
  <c r="W810" i="1"/>
  <c r="X810" i="1" s="1"/>
  <c r="U811" i="1"/>
  <c r="W811" i="1"/>
  <c r="X811" i="1" s="1"/>
  <c r="U812" i="1"/>
  <c r="W812" i="1"/>
  <c r="X812" i="1" s="1"/>
  <c r="U813" i="1"/>
  <c r="W813" i="1"/>
  <c r="X813" i="1" s="1"/>
  <c r="U814" i="1"/>
  <c r="W814" i="1"/>
  <c r="X814" i="1" s="1"/>
  <c r="U815" i="1"/>
  <c r="W815" i="1"/>
  <c r="X815" i="1" s="1"/>
  <c r="U816" i="1"/>
  <c r="W816" i="1"/>
  <c r="X816" i="1" s="1"/>
  <c r="U817" i="1"/>
  <c r="W817" i="1"/>
  <c r="X817" i="1" s="1"/>
  <c r="U818" i="1"/>
  <c r="W818" i="1"/>
  <c r="X818" i="1" s="1"/>
  <c r="U819" i="1"/>
  <c r="W819" i="1"/>
  <c r="X819" i="1" s="1"/>
  <c r="U820" i="1"/>
  <c r="W820" i="1"/>
  <c r="X820" i="1" s="1"/>
  <c r="U821" i="1"/>
  <c r="W821" i="1"/>
  <c r="X821" i="1" s="1"/>
  <c r="U822" i="1"/>
  <c r="W822" i="1"/>
  <c r="X822" i="1" s="1"/>
  <c r="U823" i="1"/>
  <c r="W823" i="1"/>
  <c r="X823" i="1" s="1"/>
  <c r="U824" i="1"/>
  <c r="W824" i="1"/>
  <c r="X824" i="1" s="1"/>
  <c r="U825" i="1"/>
  <c r="W825" i="1"/>
  <c r="X825" i="1" s="1"/>
  <c r="U826" i="1"/>
  <c r="W826" i="1"/>
  <c r="X826" i="1" s="1"/>
  <c r="U827" i="1"/>
  <c r="W827" i="1"/>
  <c r="X827" i="1" s="1"/>
  <c r="U828" i="1"/>
  <c r="W828" i="1"/>
  <c r="X828" i="1" s="1"/>
  <c r="U829" i="1"/>
  <c r="W829" i="1"/>
  <c r="X829" i="1" s="1"/>
  <c r="U830" i="1"/>
  <c r="W830" i="1"/>
  <c r="X830" i="1" s="1"/>
  <c r="U831" i="1"/>
  <c r="W831" i="1"/>
  <c r="X831" i="1" s="1"/>
  <c r="U832" i="1"/>
  <c r="W832" i="1"/>
  <c r="X832" i="1" s="1"/>
  <c r="U833" i="1"/>
  <c r="W833" i="1"/>
  <c r="X833" i="1" s="1"/>
  <c r="U834" i="1"/>
  <c r="W834" i="1"/>
  <c r="X834" i="1" s="1"/>
  <c r="U835" i="1"/>
  <c r="W835" i="1"/>
  <c r="X835" i="1" s="1"/>
  <c r="U836" i="1"/>
  <c r="W836" i="1"/>
  <c r="X836" i="1" s="1"/>
  <c r="U837" i="1"/>
  <c r="W837" i="1"/>
  <c r="X837" i="1" s="1"/>
  <c r="U838" i="1"/>
  <c r="W838" i="1"/>
  <c r="X838" i="1" s="1"/>
  <c r="U839" i="1"/>
  <c r="W839" i="1"/>
  <c r="X839" i="1" s="1"/>
  <c r="U840" i="1"/>
  <c r="W840" i="1"/>
  <c r="X840" i="1" s="1"/>
  <c r="U841" i="1"/>
  <c r="W841" i="1"/>
  <c r="X841" i="1" s="1"/>
  <c r="U842" i="1"/>
  <c r="W842" i="1"/>
  <c r="X842" i="1" s="1"/>
  <c r="U843" i="1"/>
  <c r="W843" i="1"/>
  <c r="X843" i="1" s="1"/>
  <c r="U844" i="1"/>
  <c r="W844" i="1"/>
  <c r="X844" i="1" s="1"/>
  <c r="U845" i="1"/>
  <c r="W845" i="1"/>
  <c r="X845" i="1" s="1"/>
  <c r="U846" i="1"/>
  <c r="W846" i="1"/>
  <c r="X846" i="1" s="1"/>
  <c r="U847" i="1"/>
  <c r="W847" i="1"/>
  <c r="X847" i="1" s="1"/>
  <c r="U848" i="1"/>
  <c r="W848" i="1"/>
  <c r="X848" i="1" s="1"/>
  <c r="U849" i="1"/>
  <c r="W849" i="1"/>
  <c r="X849" i="1" s="1"/>
  <c r="U850" i="1"/>
  <c r="W850" i="1"/>
  <c r="X850" i="1" s="1"/>
  <c r="U851" i="1"/>
  <c r="W851" i="1"/>
  <c r="X851" i="1" s="1"/>
  <c r="U852" i="1"/>
  <c r="W852" i="1"/>
  <c r="X852" i="1" s="1"/>
  <c r="U853" i="1"/>
  <c r="W853" i="1"/>
  <c r="X853" i="1" s="1"/>
  <c r="U854" i="1"/>
  <c r="W854" i="1"/>
  <c r="X854" i="1" s="1"/>
  <c r="U855" i="1"/>
  <c r="W855" i="1"/>
  <c r="X855" i="1" s="1"/>
  <c r="U856" i="1"/>
  <c r="W856" i="1"/>
  <c r="X856" i="1" s="1"/>
  <c r="U857" i="1"/>
  <c r="W857" i="1"/>
  <c r="X857" i="1" s="1"/>
  <c r="U858" i="1"/>
  <c r="W858" i="1"/>
  <c r="X858" i="1" s="1"/>
  <c r="U859" i="1"/>
  <c r="W859" i="1"/>
  <c r="X859" i="1" s="1"/>
  <c r="U860" i="1"/>
  <c r="W860" i="1"/>
  <c r="X860" i="1" s="1"/>
  <c r="U861" i="1"/>
  <c r="W861" i="1"/>
  <c r="X861" i="1" s="1"/>
  <c r="U862" i="1"/>
  <c r="W862" i="1"/>
  <c r="X862" i="1" s="1"/>
  <c r="U863" i="1"/>
  <c r="W863" i="1"/>
  <c r="X863" i="1" s="1"/>
  <c r="U864" i="1"/>
  <c r="W864" i="1"/>
  <c r="X864" i="1" s="1"/>
  <c r="U865" i="1"/>
  <c r="W865" i="1"/>
  <c r="X865" i="1" s="1"/>
  <c r="U866" i="1"/>
  <c r="W866" i="1"/>
  <c r="X866" i="1" s="1"/>
  <c r="U867" i="1"/>
  <c r="W867" i="1"/>
  <c r="X867" i="1" s="1"/>
  <c r="U868" i="1"/>
  <c r="W868" i="1"/>
  <c r="X868" i="1" s="1"/>
  <c r="U869" i="1"/>
  <c r="W869" i="1"/>
  <c r="X869" i="1" s="1"/>
  <c r="U870" i="1"/>
  <c r="W870" i="1"/>
  <c r="X870" i="1" s="1"/>
  <c r="U871" i="1"/>
  <c r="W871" i="1"/>
  <c r="X871" i="1" s="1"/>
  <c r="U872" i="1"/>
  <c r="W872" i="1"/>
  <c r="X872" i="1" s="1"/>
  <c r="U873" i="1"/>
  <c r="W873" i="1"/>
  <c r="X873" i="1" s="1"/>
  <c r="U874" i="1"/>
  <c r="W874" i="1"/>
  <c r="X874" i="1" s="1"/>
  <c r="U875" i="1"/>
  <c r="W875" i="1"/>
  <c r="X875" i="1" s="1"/>
  <c r="U876" i="1"/>
  <c r="W876" i="1"/>
  <c r="X876" i="1" s="1"/>
  <c r="U877" i="1"/>
  <c r="W877" i="1"/>
  <c r="X877" i="1" s="1"/>
  <c r="U878" i="1"/>
  <c r="W878" i="1"/>
  <c r="X878" i="1" s="1"/>
  <c r="U879" i="1"/>
  <c r="W879" i="1"/>
  <c r="X879" i="1" s="1"/>
  <c r="U880" i="1"/>
  <c r="W880" i="1"/>
  <c r="X880" i="1" s="1"/>
  <c r="U881" i="1"/>
  <c r="W881" i="1"/>
  <c r="X881" i="1" s="1"/>
  <c r="U882" i="1"/>
  <c r="W882" i="1"/>
  <c r="X882" i="1" s="1"/>
  <c r="U883" i="1"/>
  <c r="W883" i="1"/>
  <c r="X883" i="1" s="1"/>
  <c r="U884" i="1"/>
  <c r="W884" i="1"/>
  <c r="X884" i="1" s="1"/>
  <c r="U885" i="1"/>
  <c r="W885" i="1"/>
  <c r="X885" i="1" s="1"/>
  <c r="U886" i="1"/>
  <c r="W886" i="1"/>
  <c r="X886" i="1" s="1"/>
  <c r="U887" i="1"/>
  <c r="W887" i="1"/>
  <c r="X887" i="1" s="1"/>
  <c r="U888" i="1"/>
  <c r="W888" i="1"/>
  <c r="X888" i="1" s="1"/>
  <c r="U889" i="1"/>
  <c r="W889" i="1"/>
  <c r="X889" i="1" s="1"/>
  <c r="U890" i="1"/>
  <c r="W890" i="1"/>
  <c r="X890" i="1" s="1"/>
  <c r="U891" i="1"/>
  <c r="W891" i="1"/>
  <c r="X891" i="1" s="1"/>
  <c r="U892" i="1"/>
  <c r="W892" i="1"/>
  <c r="X892" i="1" s="1"/>
  <c r="U893" i="1"/>
  <c r="W893" i="1"/>
  <c r="X893" i="1" s="1"/>
  <c r="U894" i="1"/>
  <c r="W894" i="1"/>
  <c r="X894" i="1" s="1"/>
  <c r="U895" i="1"/>
  <c r="W895" i="1"/>
  <c r="X895" i="1" s="1"/>
  <c r="U896" i="1"/>
  <c r="W896" i="1"/>
  <c r="X896" i="1" s="1"/>
  <c r="U897" i="1"/>
  <c r="W897" i="1"/>
  <c r="X897" i="1" s="1"/>
  <c r="U898" i="1"/>
  <c r="W898" i="1"/>
  <c r="X898" i="1" s="1"/>
  <c r="U899" i="1"/>
  <c r="W899" i="1"/>
  <c r="X899" i="1" s="1"/>
  <c r="U900" i="1"/>
  <c r="W900" i="1"/>
  <c r="X900" i="1" s="1"/>
  <c r="U901" i="1"/>
  <c r="W901" i="1"/>
  <c r="X901" i="1" s="1"/>
  <c r="U902" i="1"/>
  <c r="W902" i="1"/>
  <c r="X902" i="1" s="1"/>
  <c r="U903" i="1"/>
  <c r="W903" i="1"/>
  <c r="X903" i="1" s="1"/>
  <c r="U904" i="1"/>
  <c r="W904" i="1"/>
  <c r="X904" i="1" s="1"/>
  <c r="U905" i="1"/>
  <c r="W905" i="1"/>
  <c r="X905" i="1" s="1"/>
  <c r="U906" i="1"/>
  <c r="W906" i="1"/>
  <c r="X906" i="1" s="1"/>
  <c r="U907" i="1"/>
  <c r="W907" i="1"/>
  <c r="X907" i="1" s="1"/>
  <c r="U908" i="1"/>
  <c r="W908" i="1"/>
  <c r="X908" i="1" s="1"/>
  <c r="U909" i="1"/>
  <c r="W909" i="1"/>
  <c r="X909" i="1" s="1"/>
  <c r="Y13" i="1" l="1"/>
  <c r="M20" i="9"/>
  <c r="Y258" i="1"/>
  <c r="AA258" i="1" s="1"/>
  <c r="Z462" i="1"/>
  <c r="Z854" i="1"/>
  <c r="Z850" i="1"/>
  <c r="Y469" i="1"/>
  <c r="AA469" i="1" s="1"/>
  <c r="Y616" i="1"/>
  <c r="AA616" i="1" s="1"/>
  <c r="Y774" i="1"/>
  <c r="AA774" i="1" s="1"/>
  <c r="Y553" i="1"/>
  <c r="AA553" i="1" s="1"/>
  <c r="Y504" i="1"/>
  <c r="AA504" i="1" s="1"/>
  <c r="Y291" i="1"/>
  <c r="AA291" i="1" s="1"/>
  <c r="Y606" i="1"/>
  <c r="AA606" i="1" s="1"/>
  <c r="Y564" i="1"/>
  <c r="AA564" i="1" s="1"/>
  <c r="Y830" i="1"/>
  <c r="AA830" i="1" s="1"/>
  <c r="Y806" i="1"/>
  <c r="AA806" i="1" s="1"/>
  <c r="Y726" i="1"/>
  <c r="AA726" i="1" s="1"/>
  <c r="Y247" i="1"/>
  <c r="AA247" i="1" s="1"/>
  <c r="Y415" i="1"/>
  <c r="AA415" i="1" s="1"/>
  <c r="Y626" i="1"/>
  <c r="AA626" i="1" s="1"/>
  <c r="Y560" i="1"/>
  <c r="AA560" i="1" s="1"/>
  <c r="Y418" i="1"/>
  <c r="AA418" i="1" s="1"/>
  <c r="Y836" i="1"/>
  <c r="AA836" i="1" s="1"/>
  <c r="Y764" i="1"/>
  <c r="AA764" i="1" s="1"/>
  <c r="Y756" i="1"/>
  <c r="AA756" i="1" s="1"/>
  <c r="Y748" i="1"/>
  <c r="AA748" i="1" s="1"/>
  <c r="Y664" i="1"/>
  <c r="AA664" i="1" s="1"/>
  <c r="Y656" i="1"/>
  <c r="AA656" i="1" s="1"/>
  <c r="Y640" i="1"/>
  <c r="AA640" i="1" s="1"/>
  <c r="Y236" i="1"/>
  <c r="AA236" i="1" s="1"/>
  <c r="Y246" i="1"/>
  <c r="AA246" i="1" s="1"/>
  <c r="Y56" i="1"/>
  <c r="AA56" i="1" s="1"/>
  <c r="Y364" i="1"/>
  <c r="AA364" i="1" s="1"/>
  <c r="Y30" i="1"/>
  <c r="AA30" i="1" s="1"/>
  <c r="Z11" i="1"/>
  <c r="Z235" i="1"/>
  <c r="Y854" i="1"/>
  <c r="AA854" i="1" s="1"/>
  <c r="Y849" i="1"/>
  <c r="AA849" i="1" s="1"/>
  <c r="Z802" i="1"/>
  <c r="Y771" i="1"/>
  <c r="AA771" i="1" s="1"/>
  <c r="Z770" i="1"/>
  <c r="Y658" i="1"/>
  <c r="AA658" i="1" s="1"/>
  <c r="Y582" i="1"/>
  <c r="AA582" i="1" s="1"/>
  <c r="Y574" i="1"/>
  <c r="AA574" i="1" s="1"/>
  <c r="Z522" i="1"/>
  <c r="Y498" i="1"/>
  <c r="AA498" i="1" s="1"/>
  <c r="Y422" i="1"/>
  <c r="AA422" i="1" s="1"/>
  <c r="Y333" i="1"/>
  <c r="AA333" i="1" s="1"/>
  <c r="Y332" i="1"/>
  <c r="AA332" i="1" s="1"/>
  <c r="Y267" i="1"/>
  <c r="AA267" i="1" s="1"/>
  <c r="Y909" i="1"/>
  <c r="AA909" i="1" s="1"/>
  <c r="Y801" i="1"/>
  <c r="AA801" i="1" s="1"/>
  <c r="Y769" i="1"/>
  <c r="AA769" i="1" s="1"/>
  <c r="Y542" i="1"/>
  <c r="AA542" i="1" s="1"/>
  <c r="Y244" i="1"/>
  <c r="AA244" i="1" s="1"/>
  <c r="Z112" i="1"/>
  <c r="Z54" i="1"/>
  <c r="Y901" i="1"/>
  <c r="AA901" i="1" s="1"/>
  <c r="Y885" i="1"/>
  <c r="AA885" i="1" s="1"/>
  <c r="Y877" i="1"/>
  <c r="AA877" i="1" s="1"/>
  <c r="Z818" i="1"/>
  <c r="Y264" i="1"/>
  <c r="AA264" i="1" s="1"/>
  <c r="Z216" i="1"/>
  <c r="Z186" i="1"/>
  <c r="Z187" i="1"/>
  <c r="Z199" i="1"/>
  <c r="Y712" i="1"/>
  <c r="AA712" i="1" s="1"/>
  <c r="Y648" i="1"/>
  <c r="AA648" i="1" s="1"/>
  <c r="Y642" i="1"/>
  <c r="AA642" i="1" s="1"/>
  <c r="Y590" i="1"/>
  <c r="AA590" i="1" s="1"/>
  <c r="Y522" i="1"/>
  <c r="AA522" i="1" s="1"/>
  <c r="Y499" i="1"/>
  <c r="AA499" i="1" s="1"/>
  <c r="Y495" i="1"/>
  <c r="AA495" i="1" s="1"/>
  <c r="Y480" i="1"/>
  <c r="AA480" i="1" s="1"/>
  <c r="Z463" i="1"/>
  <c r="Y419" i="1"/>
  <c r="AA419" i="1" s="1"/>
  <c r="Z419" i="1"/>
  <c r="Z418" i="1"/>
  <c r="Y324" i="1"/>
  <c r="AA324" i="1" s="1"/>
  <c r="AA13" i="1"/>
  <c r="Y131" i="1"/>
  <c r="AA131" i="1" s="1"/>
  <c r="Y365" i="1"/>
  <c r="AA365" i="1" s="1"/>
  <c r="Y343" i="1"/>
  <c r="AA343" i="1" s="1"/>
  <c r="Y307" i="1"/>
  <c r="AA307" i="1" s="1"/>
  <c r="Y283" i="1"/>
  <c r="AA283" i="1" s="1"/>
  <c r="Y259" i="1"/>
  <c r="AA259" i="1" s="1"/>
  <c r="Z259" i="1"/>
  <c r="Y870" i="1"/>
  <c r="AA870" i="1" s="1"/>
  <c r="Z852" i="1"/>
  <c r="Z838" i="1"/>
  <c r="Y804" i="1"/>
  <c r="AA804" i="1" s="1"/>
  <c r="Z876" i="1"/>
  <c r="Y852" i="1"/>
  <c r="AA852" i="1" s="1"/>
  <c r="Y838" i="1"/>
  <c r="AA838" i="1" s="1"/>
  <c r="Y803" i="1"/>
  <c r="AA803" i="1" s="1"/>
  <c r="Z726" i="1"/>
  <c r="Z722" i="1"/>
  <c r="Y720" i="1"/>
  <c r="AA720" i="1" s="1"/>
  <c r="Z719" i="1"/>
  <c r="Y690" i="1"/>
  <c r="AA690" i="1" s="1"/>
  <c r="Y596" i="1"/>
  <c r="AA596" i="1" s="1"/>
  <c r="Y569" i="1"/>
  <c r="AA569" i="1" s="1"/>
  <c r="Y549" i="1"/>
  <c r="AA549" i="1" s="1"/>
  <c r="Y452" i="1"/>
  <c r="AA452" i="1" s="1"/>
  <c r="Y316" i="1"/>
  <c r="AA316" i="1" s="1"/>
  <c r="Y310" i="1"/>
  <c r="AA310" i="1" s="1"/>
  <c r="Y275" i="1"/>
  <c r="AA275" i="1" s="1"/>
  <c r="Y229" i="1"/>
  <c r="AA229" i="1" s="1"/>
  <c r="Z219" i="1"/>
  <c r="Y217" i="1"/>
  <c r="AA217" i="1" s="1"/>
  <c r="Y875" i="1"/>
  <c r="AA875" i="1" s="1"/>
  <c r="Y867" i="1"/>
  <c r="AA867" i="1" s="1"/>
  <c r="Y731" i="1"/>
  <c r="AA731" i="1" s="1"/>
  <c r="Y563" i="1"/>
  <c r="AA563" i="1" s="1"/>
  <c r="Z559" i="1"/>
  <c r="Y556" i="1"/>
  <c r="AA556" i="1" s="1"/>
  <c r="Y424" i="1"/>
  <c r="AA424" i="1" s="1"/>
  <c r="Y288" i="1"/>
  <c r="AA288" i="1" s="1"/>
  <c r="Z281" i="1"/>
  <c r="Z141" i="1"/>
  <c r="Z123" i="1"/>
  <c r="Z844" i="1"/>
  <c r="Z834" i="1"/>
  <c r="Y822" i="1"/>
  <c r="AA822" i="1" s="1"/>
  <c r="Y819" i="1"/>
  <c r="AA819" i="1" s="1"/>
  <c r="Y796" i="1"/>
  <c r="AA796" i="1" s="1"/>
  <c r="Y788" i="1"/>
  <c r="AA788" i="1" s="1"/>
  <c r="Y780" i="1"/>
  <c r="AA780" i="1" s="1"/>
  <c r="Y766" i="1"/>
  <c r="AA766" i="1" s="1"/>
  <c r="Y688" i="1"/>
  <c r="AA688" i="1" s="1"/>
  <c r="Z686" i="1"/>
  <c r="Y684" i="1"/>
  <c r="AA684" i="1" s="1"/>
  <c r="Y680" i="1"/>
  <c r="AA680" i="1" s="1"/>
  <c r="Y674" i="1"/>
  <c r="AA674" i="1" s="1"/>
  <c r="Y672" i="1"/>
  <c r="AA672" i="1" s="1"/>
  <c r="Z620" i="1"/>
  <c r="Y618" i="1"/>
  <c r="AA618" i="1" s="1"/>
  <c r="Y614" i="1"/>
  <c r="AA614" i="1" s="1"/>
  <c r="Y586" i="1"/>
  <c r="AA586" i="1" s="1"/>
  <c r="Z578" i="1"/>
  <c r="Z533" i="1"/>
  <c r="Y509" i="1"/>
  <c r="AA509" i="1" s="1"/>
  <c r="Z508" i="1"/>
  <c r="Y342" i="1"/>
  <c r="AA342" i="1" s="1"/>
  <c r="Y882" i="1"/>
  <c r="AA882" i="1" s="1"/>
  <c r="Y828" i="1"/>
  <c r="AA828" i="1" s="1"/>
  <c r="Z822" i="1"/>
  <c r="Y772" i="1"/>
  <c r="AA772" i="1" s="1"/>
  <c r="Z772" i="1"/>
  <c r="Z754" i="1"/>
  <c r="Z746" i="1"/>
  <c r="Y721" i="1"/>
  <c r="AA721" i="1" s="1"/>
  <c r="Y907" i="1"/>
  <c r="AA907" i="1" s="1"/>
  <c r="Z893" i="1"/>
  <c r="Z890" i="1"/>
  <c r="Y861" i="1"/>
  <c r="AA861" i="1" s="1"/>
  <c r="Z836" i="1"/>
  <c r="Z817" i="1"/>
  <c r="Z804" i="1"/>
  <c r="Z801" i="1"/>
  <c r="Z794" i="1"/>
  <c r="Z786" i="1"/>
  <c r="Y704" i="1"/>
  <c r="AA704" i="1" s="1"/>
  <c r="Z702" i="1"/>
  <c r="Y700" i="1"/>
  <c r="AA700" i="1" s="1"/>
  <c r="Y696" i="1"/>
  <c r="AA696" i="1" s="1"/>
  <c r="Y632" i="1"/>
  <c r="AA632" i="1" s="1"/>
  <c r="Y610" i="1"/>
  <c r="AA610" i="1" s="1"/>
  <c r="Y604" i="1"/>
  <c r="AA604" i="1" s="1"/>
  <c r="Z602" i="1"/>
  <c r="Y601" i="1"/>
  <c r="AA601" i="1" s="1"/>
  <c r="Z592" i="1"/>
  <c r="Y591" i="1"/>
  <c r="AA591" i="1" s="1"/>
  <c r="Y565" i="1"/>
  <c r="AA565" i="1" s="1"/>
  <c r="Z564" i="1"/>
  <c r="Y526" i="1"/>
  <c r="AA526" i="1" s="1"/>
  <c r="Y525" i="1"/>
  <c r="AA525" i="1" s="1"/>
  <c r="Y500" i="1"/>
  <c r="AA500" i="1" s="1"/>
  <c r="Z499" i="1"/>
  <c r="Y493" i="1"/>
  <c r="AA493" i="1" s="1"/>
  <c r="Z492" i="1"/>
  <c r="Y490" i="1"/>
  <c r="AA490" i="1" s="1"/>
  <c r="Z483" i="1"/>
  <c r="Z482" i="1"/>
  <c r="Z468" i="1"/>
  <c r="Z458" i="1"/>
  <c r="Z898" i="1"/>
  <c r="Z882" i="1"/>
  <c r="Z865" i="1"/>
  <c r="Z828" i="1"/>
  <c r="Y777" i="1"/>
  <c r="AA777" i="1" s="1"/>
  <c r="Z597" i="1"/>
  <c r="Z586" i="1"/>
  <c r="Z570" i="1"/>
  <c r="Z549" i="1"/>
  <c r="Z479" i="1"/>
  <c r="Y443" i="1"/>
  <c r="AA443" i="1" s="1"/>
  <c r="Y435" i="1"/>
  <c r="AA435" i="1" s="1"/>
  <c r="Y430" i="1"/>
  <c r="AA430" i="1" s="1"/>
  <c r="Z409" i="1"/>
  <c r="Y403" i="1"/>
  <c r="AA403" i="1" s="1"/>
  <c r="Y398" i="1"/>
  <c r="AA398" i="1" s="1"/>
  <c r="Y395" i="1"/>
  <c r="AA395" i="1" s="1"/>
  <c r="Y390" i="1"/>
  <c r="AA390" i="1" s="1"/>
  <c r="Y387" i="1"/>
  <c r="AA387" i="1" s="1"/>
  <c r="Y382" i="1"/>
  <c r="AA382" i="1" s="1"/>
  <c r="Y379" i="1"/>
  <c r="AA379" i="1" s="1"/>
  <c r="Y374" i="1"/>
  <c r="AA374" i="1" s="1"/>
  <c r="Y371" i="1"/>
  <c r="AA371" i="1" s="1"/>
  <c r="Y17" i="1"/>
  <c r="AA17" i="1" s="1"/>
  <c r="Y327" i="1"/>
  <c r="AA327" i="1" s="1"/>
  <c r="Z267" i="1"/>
  <c r="Z253" i="1"/>
  <c r="Z251" i="1"/>
  <c r="Z227" i="1"/>
  <c r="Z224" i="1"/>
  <c r="Y222" i="1"/>
  <c r="AA222" i="1" s="1"/>
  <c r="Z208" i="1"/>
  <c r="Z181" i="1"/>
  <c r="Z158" i="1"/>
  <c r="Y155" i="1"/>
  <c r="AA155" i="1" s="1"/>
  <c r="Y122" i="1"/>
  <c r="AA122" i="1" s="1"/>
  <c r="Y118" i="1"/>
  <c r="AA118" i="1" s="1"/>
  <c r="Z231" i="1"/>
  <c r="Z212" i="1"/>
  <c r="Y203" i="1"/>
  <c r="AA203" i="1" s="1"/>
  <c r="Z191" i="1"/>
  <c r="Y177" i="1"/>
  <c r="AA177" i="1" s="1"/>
  <c r="Z149" i="1"/>
  <c r="Y90" i="1"/>
  <c r="AA90" i="1" s="1"/>
  <c r="Z89" i="1"/>
  <c r="Z88" i="1"/>
  <c r="Z85" i="1"/>
  <c r="Y75" i="1"/>
  <c r="AA75" i="1" s="1"/>
  <c r="Z48" i="1"/>
  <c r="Y47" i="1"/>
  <c r="AA47" i="1" s="1"/>
  <c r="Z28" i="1"/>
  <c r="Z26" i="1"/>
  <c r="Z451" i="1"/>
  <c r="Y441" i="1"/>
  <c r="AA441" i="1" s="1"/>
  <c r="Y440" i="1"/>
  <c r="AA440" i="1" s="1"/>
  <c r="Y437" i="1"/>
  <c r="AA437" i="1" s="1"/>
  <c r="Y436" i="1"/>
  <c r="AA436" i="1" s="1"/>
  <c r="Y425" i="1"/>
  <c r="AA425" i="1" s="1"/>
  <c r="Z424" i="1"/>
  <c r="Y408" i="1"/>
  <c r="AA408" i="1" s="1"/>
  <c r="Y405" i="1"/>
  <c r="AA405" i="1" s="1"/>
  <c r="Y401" i="1"/>
  <c r="AA401" i="1" s="1"/>
  <c r="Y400" i="1"/>
  <c r="AA400" i="1" s="1"/>
  <c r="Z399" i="1"/>
  <c r="Y393" i="1"/>
  <c r="AA393" i="1" s="1"/>
  <c r="Y392" i="1"/>
  <c r="AA392" i="1" s="1"/>
  <c r="Z391" i="1"/>
  <c r="Y385" i="1"/>
  <c r="AA385" i="1" s="1"/>
  <c r="Y384" i="1"/>
  <c r="AA384" i="1" s="1"/>
  <c r="Z383" i="1"/>
  <c r="Y377" i="1"/>
  <c r="AA377" i="1" s="1"/>
  <c r="Y376" i="1"/>
  <c r="AA376" i="1" s="1"/>
  <c r="Z22" i="1"/>
  <c r="Y369" i="1"/>
  <c r="AA369" i="1" s="1"/>
  <c r="Y368" i="1"/>
  <c r="AA368" i="1" s="1"/>
  <c r="Z367" i="1"/>
  <c r="Y359" i="1"/>
  <c r="AA359" i="1" s="1"/>
  <c r="Y349" i="1"/>
  <c r="AA349" i="1" s="1"/>
  <c r="Y348" i="1"/>
  <c r="AA348" i="1" s="1"/>
  <c r="Y336" i="1"/>
  <c r="AA336" i="1" s="1"/>
  <c r="Y304" i="1"/>
  <c r="AA304" i="1" s="1"/>
  <c r="Z289" i="1"/>
  <c r="Y272" i="1"/>
  <c r="AA272" i="1" s="1"/>
  <c r="Z271" i="1"/>
  <c r="Z265" i="1"/>
  <c r="Z258" i="1"/>
  <c r="Z243" i="1"/>
  <c r="Y211" i="1"/>
  <c r="AA211" i="1" s="1"/>
  <c r="Y206" i="1"/>
  <c r="AA206" i="1" s="1"/>
  <c r="Z126" i="1"/>
  <c r="Z105" i="1"/>
  <c r="Y103" i="1"/>
  <c r="AA103" i="1" s="1"/>
  <c r="Y95" i="1"/>
  <c r="AA95" i="1" s="1"/>
  <c r="Y84" i="1"/>
  <c r="AA84" i="1" s="1"/>
  <c r="Z34" i="1"/>
  <c r="Z32" i="1"/>
  <c r="Y172" i="1"/>
  <c r="AA172" i="1" s="1"/>
  <c r="Y159" i="1"/>
  <c r="AA159" i="1" s="1"/>
  <c r="Y153" i="1"/>
  <c r="AA153" i="1" s="1"/>
  <c r="Z157" i="1"/>
  <c r="Z143" i="1"/>
  <c r="Z165" i="1"/>
  <c r="Z174" i="1"/>
  <c r="Z147" i="1"/>
  <c r="Y128" i="1"/>
  <c r="AA128" i="1" s="1"/>
  <c r="Y125" i="1"/>
  <c r="AA125" i="1" s="1"/>
  <c r="Z130" i="1"/>
  <c r="Z115" i="1"/>
  <c r="Z124" i="1"/>
  <c r="Y92" i="1"/>
  <c r="AA92" i="1" s="1"/>
  <c r="Y71" i="1"/>
  <c r="AA71" i="1" s="1"/>
  <c r="Y67" i="1"/>
  <c r="AA67" i="1" s="1"/>
  <c r="Y63" i="1"/>
  <c r="AA63" i="1" s="1"/>
  <c r="Z95" i="1"/>
  <c r="Z79" i="1"/>
  <c r="Z72" i="1"/>
  <c r="Z61" i="1"/>
  <c r="Z101" i="1"/>
  <c r="Z877" i="1"/>
  <c r="Y876" i="1"/>
  <c r="AA876" i="1" s="1"/>
  <c r="Y872" i="1"/>
  <c r="AA872" i="1" s="1"/>
  <c r="Z864" i="1"/>
  <c r="Y863" i="1"/>
  <c r="AA863" i="1" s="1"/>
  <c r="Y859" i="1"/>
  <c r="AA859" i="1" s="1"/>
  <c r="Z856" i="1"/>
  <c r="Y843" i="1"/>
  <c r="AA843" i="1" s="1"/>
  <c r="Z840" i="1"/>
  <c r="Y833" i="1"/>
  <c r="AA833" i="1" s="1"/>
  <c r="Y827" i="1"/>
  <c r="AA827" i="1" s="1"/>
  <c r="Z824" i="1"/>
  <c r="Y809" i="1"/>
  <c r="AA809" i="1" s="1"/>
  <c r="Y798" i="1"/>
  <c r="AA798" i="1" s="1"/>
  <c r="Y795" i="1"/>
  <c r="AA795" i="1" s="1"/>
  <c r="Z788" i="1"/>
  <c r="Y785" i="1"/>
  <c r="AA785" i="1" s="1"/>
  <c r="Y782" i="1"/>
  <c r="AA782" i="1" s="1"/>
  <c r="Y761" i="1"/>
  <c r="AA761" i="1" s="1"/>
  <c r="Y758" i="1"/>
  <c r="AA758" i="1" s="1"/>
  <c r="Z748" i="1"/>
  <c r="Y745" i="1"/>
  <c r="AA745" i="1" s="1"/>
  <c r="Y742" i="1"/>
  <c r="AA742" i="1" s="1"/>
  <c r="Y737" i="1"/>
  <c r="AA737" i="1" s="1"/>
  <c r="Y734" i="1"/>
  <c r="AA734" i="1" s="1"/>
  <c r="Z721" i="1"/>
  <c r="Y716" i="1"/>
  <c r="AA716" i="1" s="1"/>
  <c r="Y708" i="1"/>
  <c r="AA708" i="1" s="1"/>
  <c r="Y692" i="1"/>
  <c r="AA692" i="1" s="1"/>
  <c r="Z691" i="1"/>
  <c r="Y676" i="1"/>
  <c r="AA676" i="1" s="1"/>
  <c r="Z675" i="1"/>
  <c r="Y660" i="1"/>
  <c r="AA660" i="1" s="1"/>
  <c r="Z659" i="1"/>
  <c r="Y644" i="1"/>
  <c r="AA644" i="1" s="1"/>
  <c r="Z643" i="1"/>
  <c r="Y628" i="1"/>
  <c r="AA628" i="1" s="1"/>
  <c r="Y623" i="1"/>
  <c r="AA623" i="1" s="1"/>
  <c r="Y588" i="1"/>
  <c r="AA588" i="1" s="1"/>
  <c r="Y572" i="1"/>
  <c r="AA572" i="1" s="1"/>
  <c r="Y547" i="1"/>
  <c r="AA547" i="1" s="1"/>
  <c r="Y536" i="1"/>
  <c r="AA536" i="1" s="1"/>
  <c r="Y512" i="1"/>
  <c r="AA512" i="1" s="1"/>
  <c r="Y473" i="1"/>
  <c r="AA473" i="1" s="1"/>
  <c r="Y899" i="1"/>
  <c r="AA899" i="1" s="1"/>
  <c r="Y896" i="1"/>
  <c r="AA896" i="1" s="1"/>
  <c r="Z886" i="1"/>
  <c r="Y883" i="1"/>
  <c r="AA883" i="1" s="1"/>
  <c r="Z879" i="1"/>
  <c r="Z874" i="1"/>
  <c r="Y846" i="1"/>
  <c r="AA846" i="1" s="1"/>
  <c r="Z842" i="1"/>
  <c r="Z830" i="1"/>
  <c r="Z810" i="1"/>
  <c r="Z764" i="1"/>
  <c r="Z762" i="1"/>
  <c r="Z740" i="1"/>
  <c r="Z730" i="1"/>
  <c r="Y702" i="1"/>
  <c r="AA702" i="1" s="1"/>
  <c r="Z700" i="1"/>
  <c r="Y698" i="1"/>
  <c r="AA698" i="1" s="1"/>
  <c r="Y694" i="1"/>
  <c r="AA694" i="1" s="1"/>
  <c r="Z693" i="1"/>
  <c r="Y686" i="1"/>
  <c r="AA686" i="1" s="1"/>
  <c r="Z684" i="1"/>
  <c r="Y682" i="1"/>
  <c r="AA682" i="1" s="1"/>
  <c r="Y678" i="1"/>
  <c r="AA678" i="1" s="1"/>
  <c r="Z677" i="1"/>
  <c r="Z668" i="1"/>
  <c r="Y666" i="1"/>
  <c r="AA666" i="1" s="1"/>
  <c r="Y662" i="1"/>
  <c r="AA662" i="1" s="1"/>
  <c r="Z661" i="1"/>
  <c r="Z652" i="1"/>
  <c r="Y650" i="1"/>
  <c r="AA650" i="1" s="1"/>
  <c r="Y646" i="1"/>
  <c r="AA646" i="1" s="1"/>
  <c r="Z645" i="1"/>
  <c r="Z636" i="1"/>
  <c r="Y634" i="1"/>
  <c r="AA634" i="1" s="1"/>
  <c r="Y630" i="1"/>
  <c r="AA630" i="1" s="1"/>
  <c r="Y625" i="1"/>
  <c r="AA625" i="1" s="1"/>
  <c r="Z623" i="1"/>
  <c r="Z560" i="1"/>
  <c r="Z538" i="1"/>
  <c r="Z514" i="1"/>
  <c r="Z908" i="1"/>
  <c r="Z895" i="1"/>
  <c r="Z892" i="1"/>
  <c r="Y904" i="1"/>
  <c r="AA904" i="1" s="1"/>
  <c r="Z900" i="1"/>
  <c r="Y880" i="1"/>
  <c r="AA880" i="1" s="1"/>
  <c r="Z880" i="1"/>
  <c r="Y868" i="1"/>
  <c r="AA868" i="1" s="1"/>
  <c r="Y862" i="1"/>
  <c r="AA862" i="1" s="1"/>
  <c r="Y860" i="1"/>
  <c r="AA860" i="1" s="1"/>
  <c r="Z858" i="1"/>
  <c r="Z846" i="1"/>
  <c r="Y844" i="1"/>
  <c r="AA844" i="1" s="1"/>
  <c r="Z826" i="1"/>
  <c r="Z906" i="1"/>
  <c r="Y898" i="1"/>
  <c r="AA898" i="1" s="1"/>
  <c r="Y892" i="1"/>
  <c r="AA892" i="1" s="1"/>
  <c r="Y891" i="1"/>
  <c r="AA891" i="1" s="1"/>
  <c r="Y888" i="1"/>
  <c r="AA888" i="1" s="1"/>
  <c r="Z884" i="1"/>
  <c r="Z866" i="1"/>
  <c r="Z863" i="1"/>
  <c r="Y857" i="1"/>
  <c r="AA857" i="1" s="1"/>
  <c r="Y851" i="1"/>
  <c r="AA851" i="1" s="1"/>
  <c r="Z848" i="1"/>
  <c r="Y841" i="1"/>
  <c r="AA841" i="1" s="1"/>
  <c r="Y835" i="1"/>
  <c r="AA835" i="1" s="1"/>
  <c r="Z832" i="1"/>
  <c r="Y825" i="1"/>
  <c r="AA825" i="1" s="1"/>
  <c r="Y820" i="1"/>
  <c r="AA820" i="1" s="1"/>
  <c r="Y814" i="1"/>
  <c r="AA814" i="1" s="1"/>
  <c r="Z807" i="1"/>
  <c r="Z796" i="1"/>
  <c r="Y793" i="1"/>
  <c r="AA793" i="1" s="1"/>
  <c r="Y790" i="1"/>
  <c r="AA790" i="1" s="1"/>
  <c r="Y787" i="1"/>
  <c r="AA787" i="1" s="1"/>
  <c r="Z780" i="1"/>
  <c r="Z778" i="1"/>
  <c r="Z756" i="1"/>
  <c r="Y753" i="1"/>
  <c r="AA753" i="1" s="1"/>
  <c r="Y750" i="1"/>
  <c r="AA750" i="1" s="1"/>
  <c r="Y739" i="1"/>
  <c r="AA739" i="1" s="1"/>
  <c r="Z738" i="1"/>
  <c r="Y732" i="1"/>
  <c r="AA732" i="1" s="1"/>
  <c r="Y729" i="1"/>
  <c r="AA729" i="1" s="1"/>
  <c r="Y724" i="1"/>
  <c r="AA724" i="1" s="1"/>
  <c r="Y723" i="1"/>
  <c r="AA723" i="1" s="1"/>
  <c r="Y717" i="1"/>
  <c r="AA717" i="1" s="1"/>
  <c r="Y673" i="1"/>
  <c r="AA673" i="1" s="1"/>
  <c r="Y671" i="1"/>
  <c r="AA671" i="1" s="1"/>
  <c r="Z670" i="1"/>
  <c r="Y657" i="1"/>
  <c r="AA657" i="1" s="1"/>
  <c r="Y655" i="1"/>
  <c r="AA655" i="1" s="1"/>
  <c r="Z654" i="1"/>
  <c r="Y641" i="1"/>
  <c r="AA641" i="1" s="1"/>
  <c r="Y639" i="1"/>
  <c r="AA639" i="1" s="1"/>
  <c r="Z638" i="1"/>
  <c r="Z625" i="1"/>
  <c r="Y624" i="1"/>
  <c r="AA624" i="1" s="1"/>
  <c r="Y598" i="1"/>
  <c r="AA598" i="1" s="1"/>
  <c r="Z587" i="1"/>
  <c r="Y580" i="1"/>
  <c r="AA580" i="1" s="1"/>
  <c r="Y577" i="1"/>
  <c r="AA577" i="1" s="1"/>
  <c r="Y552" i="1"/>
  <c r="AA552" i="1" s="1"/>
  <c r="Z530" i="1"/>
  <c r="Y508" i="1"/>
  <c r="AA508" i="1" s="1"/>
  <c r="Z505" i="1"/>
  <c r="Y300" i="1"/>
  <c r="AA300" i="1" s="1"/>
  <c r="Z622" i="1"/>
  <c r="Y608" i="1"/>
  <c r="AA608" i="1" s="1"/>
  <c r="Z594" i="1"/>
  <c r="Z584" i="1"/>
  <c r="Z576" i="1"/>
  <c r="Z573" i="1"/>
  <c r="Z562" i="1"/>
  <c r="Z556" i="1"/>
  <c r="Y551" i="1"/>
  <c r="AA551" i="1" s="1"/>
  <c r="Y548" i="1"/>
  <c r="AA548" i="1" s="1"/>
  <c r="Y541" i="1"/>
  <c r="AA541" i="1" s="1"/>
  <c r="Z540" i="1"/>
  <c r="Y535" i="1"/>
  <c r="AA535" i="1" s="1"/>
  <c r="Y530" i="1"/>
  <c r="AA530" i="1" s="1"/>
  <c r="Y517" i="1"/>
  <c r="AA517" i="1" s="1"/>
  <c r="Z511" i="1"/>
  <c r="Y488" i="1"/>
  <c r="AA488" i="1" s="1"/>
  <c r="Z485" i="1"/>
  <c r="Z473" i="1"/>
  <c r="Y459" i="1"/>
  <c r="AA459" i="1" s="1"/>
  <c r="Y444" i="1"/>
  <c r="AA444" i="1" s="1"/>
  <c r="Y431" i="1"/>
  <c r="AA431" i="1" s="1"/>
  <c r="Y428" i="1"/>
  <c r="AA428" i="1" s="1"/>
  <c r="Z426" i="1"/>
  <c r="Y421" i="1"/>
  <c r="AA421" i="1" s="1"/>
  <c r="Z421" i="1"/>
  <c r="Y375" i="1"/>
  <c r="AA375" i="1" s="1"/>
  <c r="Y370" i="1"/>
  <c r="AA370" i="1" s="1"/>
  <c r="Z247" i="1"/>
  <c r="Z131" i="1"/>
  <c r="Y409" i="1"/>
  <c r="AA409" i="1" s="1"/>
  <c r="Z405" i="1"/>
  <c r="Z401" i="1"/>
  <c r="Z393" i="1"/>
  <c r="Z385" i="1"/>
  <c r="Z377" i="1"/>
  <c r="Z369" i="1"/>
  <c r="Y350" i="1"/>
  <c r="AA350" i="1" s="1"/>
  <c r="Y344" i="1"/>
  <c r="AA344" i="1" s="1"/>
  <c r="Y341" i="1"/>
  <c r="AA341" i="1" s="1"/>
  <c r="Y340" i="1"/>
  <c r="AA340" i="1" s="1"/>
  <c r="Y335" i="1"/>
  <c r="AA335" i="1" s="1"/>
  <c r="Y318" i="1"/>
  <c r="AA318" i="1" s="1"/>
  <c r="Y312" i="1"/>
  <c r="AA312" i="1" s="1"/>
  <c r="Y299" i="1"/>
  <c r="AA299" i="1" s="1"/>
  <c r="Y187" i="1"/>
  <c r="AA187" i="1" s="1"/>
  <c r="Z185" i="1"/>
  <c r="Y60" i="1"/>
  <c r="AA60" i="1" s="1"/>
  <c r="Z460" i="1"/>
  <c r="Y358" i="1"/>
  <c r="AA358" i="1" s="1"/>
  <c r="Y352" i="1"/>
  <c r="AA352" i="1" s="1"/>
  <c r="Y326" i="1"/>
  <c r="AA326" i="1" s="1"/>
  <c r="Y320" i="1"/>
  <c r="AA320" i="1" s="1"/>
  <c r="Y317" i="1"/>
  <c r="AA317" i="1" s="1"/>
  <c r="Y311" i="1"/>
  <c r="AA311" i="1" s="1"/>
  <c r="Y308" i="1"/>
  <c r="AA308" i="1" s="1"/>
  <c r="Y301" i="1"/>
  <c r="AA301" i="1" s="1"/>
  <c r="Z215" i="1"/>
  <c r="Y80" i="1"/>
  <c r="AA80" i="1" s="1"/>
  <c r="Y612" i="1"/>
  <c r="AA612" i="1" s="1"/>
  <c r="Z605" i="1"/>
  <c r="Z600" i="1"/>
  <c r="Y599" i="1"/>
  <c r="AA599" i="1" s="1"/>
  <c r="Z595" i="1"/>
  <c r="Y594" i="1"/>
  <c r="AA594" i="1" s="1"/>
  <c r="Y584" i="1"/>
  <c r="AA584" i="1" s="1"/>
  <c r="Y576" i="1"/>
  <c r="AA576" i="1" s="1"/>
  <c r="Y558" i="1"/>
  <c r="AA558" i="1" s="1"/>
  <c r="Z557" i="1"/>
  <c r="Y555" i="1"/>
  <c r="AA555" i="1" s="1"/>
  <c r="Z552" i="1"/>
  <c r="Z551" i="1"/>
  <c r="Z548" i="1"/>
  <c r="Y540" i="1"/>
  <c r="AA540" i="1" s="1"/>
  <c r="Y539" i="1"/>
  <c r="AA539" i="1" s="1"/>
  <c r="Z535" i="1"/>
  <c r="Y528" i="1"/>
  <c r="AA528" i="1" s="1"/>
  <c r="Y524" i="1"/>
  <c r="AA524" i="1" s="1"/>
  <c r="Y516" i="1"/>
  <c r="AA516" i="1" s="1"/>
  <c r="Y514" i="1"/>
  <c r="AA514" i="1" s="1"/>
  <c r="Y505" i="1"/>
  <c r="AA505" i="1" s="1"/>
  <c r="Z494" i="1"/>
  <c r="Y487" i="1"/>
  <c r="AA487" i="1" s="1"/>
  <c r="Z477" i="1"/>
  <c r="Y465" i="1"/>
  <c r="AA465" i="1" s="1"/>
  <c r="Y456" i="1"/>
  <c r="AA456" i="1" s="1"/>
  <c r="Z448" i="1"/>
  <c r="Y434" i="1"/>
  <c r="AA434" i="1" s="1"/>
  <c r="Z425" i="1"/>
  <c r="Y420" i="1"/>
  <c r="AA420" i="1" s="1"/>
  <c r="Y416" i="1"/>
  <c r="AA416" i="1" s="1"/>
  <c r="Y366" i="1"/>
  <c r="AA366" i="1" s="1"/>
  <c r="Y414" i="1"/>
  <c r="AA414" i="1" s="1"/>
  <c r="Y410" i="1"/>
  <c r="AA410" i="1" s="1"/>
  <c r="Y407" i="1"/>
  <c r="AA407" i="1" s="1"/>
  <c r="Y360" i="1"/>
  <c r="AA360" i="1" s="1"/>
  <c r="Y357" i="1"/>
  <c r="AA357" i="1" s="1"/>
  <c r="Y356" i="1"/>
  <c r="AA356" i="1" s="1"/>
  <c r="Y351" i="1"/>
  <c r="AA351" i="1" s="1"/>
  <c r="Y334" i="1"/>
  <c r="AA334" i="1" s="1"/>
  <c r="Y328" i="1"/>
  <c r="AA328" i="1" s="1"/>
  <c r="Y325" i="1"/>
  <c r="AA325" i="1" s="1"/>
  <c r="Y23" i="1"/>
  <c r="AA23" i="1" s="1"/>
  <c r="Y319" i="1"/>
  <c r="AA319" i="1" s="1"/>
  <c r="Y306" i="1"/>
  <c r="AA306" i="1" s="1"/>
  <c r="Y298" i="1"/>
  <c r="AA298" i="1" s="1"/>
  <c r="Y296" i="1"/>
  <c r="AA296" i="1" s="1"/>
  <c r="Z278" i="1"/>
  <c r="Y276" i="1"/>
  <c r="AA276" i="1" s="1"/>
  <c r="Y141" i="1"/>
  <c r="AA141" i="1" s="1"/>
  <c r="Y134" i="1"/>
  <c r="AA134" i="1" s="1"/>
  <c r="Z255" i="1"/>
  <c r="Y253" i="1"/>
  <c r="AA253" i="1" s="1"/>
  <c r="Y248" i="1"/>
  <c r="AA248" i="1" s="1"/>
  <c r="Y245" i="1"/>
  <c r="AA245" i="1" s="1"/>
  <c r="Z203" i="1"/>
  <c r="Z198" i="1"/>
  <c r="Z177" i="1"/>
  <c r="Z169" i="1"/>
  <c r="Z166" i="1"/>
  <c r="Y165" i="1"/>
  <c r="AA165" i="1" s="1"/>
  <c r="Y157" i="1"/>
  <c r="AA157" i="1" s="1"/>
  <c r="Z154" i="1"/>
  <c r="Z15" i="1"/>
  <c r="Y121" i="1"/>
  <c r="AA121" i="1" s="1"/>
  <c r="Y106" i="1"/>
  <c r="AA106" i="1" s="1"/>
  <c r="Z103" i="1"/>
  <c r="Y98" i="1"/>
  <c r="AA98" i="1" s="1"/>
  <c r="Z97" i="1"/>
  <c r="Z90" i="1"/>
  <c r="Y85" i="1"/>
  <c r="AA85" i="1" s="1"/>
  <c r="Y81" i="1"/>
  <c r="AA81" i="1" s="1"/>
  <c r="Z81" i="1"/>
  <c r="Z74" i="1"/>
  <c r="Z71" i="1"/>
  <c r="Y62" i="1"/>
  <c r="AA62" i="1" s="1"/>
  <c r="Y59" i="1"/>
  <c r="AA59" i="1" s="1"/>
  <c r="Z58" i="1"/>
  <c r="Y50" i="1"/>
  <c r="AA50" i="1" s="1"/>
  <c r="Z30" i="1"/>
  <c r="Z29" i="1"/>
  <c r="Y290" i="1"/>
  <c r="AA290" i="1" s="1"/>
  <c r="Z287" i="1"/>
  <c r="Y285" i="1"/>
  <c r="AA285" i="1" s="1"/>
  <c r="Z279" i="1"/>
  <c r="Y278" i="1"/>
  <c r="AA278" i="1" s="1"/>
  <c r="Y274" i="1"/>
  <c r="AA274" i="1" s="1"/>
  <c r="Y266" i="1"/>
  <c r="AA266" i="1" s="1"/>
  <c r="Y12" i="1"/>
  <c r="AA12" i="1" s="1"/>
  <c r="Z257" i="1"/>
  <c r="Y255" i="1"/>
  <c r="AA255" i="1" s="1"/>
  <c r="Z249" i="1"/>
  <c r="Y234" i="1"/>
  <c r="AA234" i="1" s="1"/>
  <c r="Z230" i="1"/>
  <c r="Y223" i="1"/>
  <c r="AA223" i="1" s="1"/>
  <c r="Z223" i="1"/>
  <c r="Y215" i="1"/>
  <c r="AA215" i="1" s="1"/>
  <c r="Y209" i="1"/>
  <c r="AA209" i="1" s="1"/>
  <c r="Y207" i="1"/>
  <c r="AA207" i="1" s="1"/>
  <c r="Z200" i="1"/>
  <c r="Y198" i="1"/>
  <c r="AA198" i="1" s="1"/>
  <c r="Z195" i="1"/>
  <c r="Z192" i="1"/>
  <c r="Y190" i="1"/>
  <c r="AA190" i="1" s="1"/>
  <c r="Y185" i="1"/>
  <c r="AA185" i="1" s="1"/>
  <c r="Z182" i="1"/>
  <c r="Y181" i="1"/>
  <c r="AA181" i="1" s="1"/>
  <c r="Y173" i="1"/>
  <c r="AA173" i="1" s="1"/>
  <c r="Y171" i="1"/>
  <c r="AA171" i="1" s="1"/>
  <c r="Y166" i="1"/>
  <c r="AA166" i="1" s="1"/>
  <c r="Z161" i="1"/>
  <c r="Y143" i="1"/>
  <c r="AA143" i="1" s="1"/>
  <c r="Z134" i="1"/>
  <c r="Z128" i="1"/>
  <c r="Z119" i="1"/>
  <c r="Y110" i="1"/>
  <c r="AA110" i="1" s="1"/>
  <c r="Z93" i="1"/>
  <c r="Z83" i="1"/>
  <c r="Z73" i="1"/>
  <c r="Z60" i="1"/>
  <c r="Z57" i="1"/>
  <c r="Y18" i="1"/>
  <c r="AA18" i="1" s="1"/>
  <c r="Z37" i="1"/>
  <c r="Y32" i="1"/>
  <c r="AA32" i="1" s="1"/>
  <c r="Z291" i="1"/>
  <c r="Y280" i="1"/>
  <c r="AA280" i="1" s="1"/>
  <c r="Z273" i="1"/>
  <c r="Z256" i="1"/>
  <c r="Z241" i="1"/>
  <c r="Z229" i="1"/>
  <c r="Z211" i="1"/>
  <c r="Z209" i="1"/>
  <c r="Z207" i="1"/>
  <c r="Z206" i="1"/>
  <c r="Z205" i="1"/>
  <c r="Y186" i="1"/>
  <c r="AA186" i="1" s="1"/>
  <c r="Y182" i="1"/>
  <c r="AA182" i="1" s="1"/>
  <c r="Z179" i="1"/>
  <c r="Z175" i="1"/>
  <c r="Z173" i="1"/>
  <c r="Z172" i="1"/>
  <c r="Z171" i="1"/>
  <c r="Y163" i="1"/>
  <c r="AA163" i="1" s="1"/>
  <c r="Z162" i="1"/>
  <c r="Z153" i="1"/>
  <c r="Y151" i="1"/>
  <c r="AA151" i="1" s="1"/>
  <c r="Y147" i="1"/>
  <c r="AA147" i="1" s="1"/>
  <c r="Y15" i="1"/>
  <c r="AA15" i="1" s="1"/>
  <c r="Y136" i="1"/>
  <c r="AA136" i="1" s="1"/>
  <c r="Y132" i="1"/>
  <c r="AA132" i="1" s="1"/>
  <c r="Z111" i="1"/>
  <c r="Y107" i="1"/>
  <c r="AA107" i="1" s="1"/>
  <c r="Z107" i="1"/>
  <c r="Z106" i="1"/>
  <c r="Z98" i="1"/>
  <c r="Y86" i="1"/>
  <c r="AA86" i="1" s="1"/>
  <c r="Y78" i="1"/>
  <c r="AA78" i="1" s="1"/>
  <c r="Y74" i="1"/>
  <c r="AA74" i="1" s="1"/>
  <c r="Y70" i="1"/>
  <c r="AA70" i="1" s="1"/>
  <c r="Z62" i="1"/>
  <c r="Z59" i="1"/>
  <c r="Y58" i="1"/>
  <c r="AA58" i="1" s="1"/>
  <c r="Z33" i="1"/>
  <c r="Y29" i="1"/>
  <c r="AA29" i="1" s="1"/>
  <c r="Y894" i="1"/>
  <c r="AA894" i="1" s="1"/>
  <c r="Z909" i="1"/>
  <c r="Y908" i="1"/>
  <c r="AA908" i="1" s="1"/>
  <c r="Y906" i="1"/>
  <c r="AA906" i="1" s="1"/>
  <c r="Y903" i="1"/>
  <c r="AA903" i="1" s="1"/>
  <c r="Y902" i="1"/>
  <c r="AA902" i="1" s="1"/>
  <c r="Y897" i="1"/>
  <c r="AA897" i="1" s="1"/>
  <c r="Z894" i="1"/>
  <c r="Z888" i="1"/>
  <c r="Z887" i="1"/>
  <c r="Z885" i="1"/>
  <c r="Y884" i="1"/>
  <c r="AA884" i="1" s="1"/>
  <c r="Y874" i="1"/>
  <c r="AA874" i="1" s="1"/>
  <c r="Y871" i="1"/>
  <c r="AA871" i="1" s="1"/>
  <c r="Y869" i="1"/>
  <c r="AA869" i="1" s="1"/>
  <c r="Z862" i="1"/>
  <c r="Z857" i="1"/>
  <c r="Z855" i="1"/>
  <c r="Z849" i="1"/>
  <c r="Z847" i="1"/>
  <c r="Z841" i="1"/>
  <c r="Z839" i="1"/>
  <c r="Z833" i="1"/>
  <c r="Z831" i="1"/>
  <c r="Z825" i="1"/>
  <c r="Z823" i="1"/>
  <c r="Z820" i="1"/>
  <c r="Z815" i="1"/>
  <c r="Y811" i="1"/>
  <c r="AA811" i="1" s="1"/>
  <c r="Z870" i="1"/>
  <c r="Z860" i="1"/>
  <c r="Y817" i="1"/>
  <c r="AA817" i="1" s="1"/>
  <c r="Y779" i="1"/>
  <c r="AA779" i="1" s="1"/>
  <c r="Y763" i="1"/>
  <c r="AA763" i="1" s="1"/>
  <c r="Y747" i="1"/>
  <c r="AA747" i="1" s="1"/>
  <c r="Z902" i="1"/>
  <c r="Z896" i="1"/>
  <c r="Y893" i="1"/>
  <c r="AA893" i="1" s="1"/>
  <c r="Y878" i="1"/>
  <c r="AA878" i="1" s="1"/>
  <c r="Y865" i="1"/>
  <c r="AA865" i="1" s="1"/>
  <c r="Z904" i="1"/>
  <c r="Z903" i="1"/>
  <c r="Z901" i="1"/>
  <c r="Y900" i="1"/>
  <c r="AA900" i="1" s="1"/>
  <c r="Y890" i="1"/>
  <c r="AA890" i="1" s="1"/>
  <c r="Y886" i="1"/>
  <c r="AA886" i="1" s="1"/>
  <c r="Z878" i="1"/>
  <c r="Z872" i="1"/>
  <c r="Z871" i="1"/>
  <c r="Z868" i="1"/>
  <c r="Y855" i="1"/>
  <c r="AA855" i="1" s="1"/>
  <c r="Y853" i="1"/>
  <c r="AA853" i="1" s="1"/>
  <c r="Y847" i="1"/>
  <c r="AA847" i="1" s="1"/>
  <c r="Y845" i="1"/>
  <c r="AA845" i="1" s="1"/>
  <c r="Y839" i="1"/>
  <c r="AA839" i="1" s="1"/>
  <c r="Y837" i="1"/>
  <c r="AA837" i="1" s="1"/>
  <c r="Y831" i="1"/>
  <c r="AA831" i="1" s="1"/>
  <c r="Y829" i="1"/>
  <c r="AA829" i="1" s="1"/>
  <c r="Y823" i="1"/>
  <c r="AA823" i="1" s="1"/>
  <c r="Y821" i="1"/>
  <c r="AA821" i="1" s="1"/>
  <c r="Y812" i="1"/>
  <c r="AA812" i="1" s="1"/>
  <c r="Z812" i="1"/>
  <c r="Z809" i="1"/>
  <c r="Z799" i="1"/>
  <c r="Y755" i="1"/>
  <c r="AA755" i="1" s="1"/>
  <c r="Z816" i="1"/>
  <c r="Z814" i="1"/>
  <c r="Z808" i="1"/>
  <c r="Z806" i="1"/>
  <c r="Z800" i="1"/>
  <c r="Z798" i="1"/>
  <c r="Z792" i="1"/>
  <c r="Z790" i="1"/>
  <c r="Z784" i="1"/>
  <c r="Z782" i="1"/>
  <c r="Z776" i="1"/>
  <c r="Z774" i="1"/>
  <c r="Z768" i="1"/>
  <c r="Z766" i="1"/>
  <c r="Z760" i="1"/>
  <c r="Z758" i="1"/>
  <c r="Z752" i="1"/>
  <c r="Z750" i="1"/>
  <c r="Z744" i="1"/>
  <c r="Z742" i="1"/>
  <c r="Z737" i="1"/>
  <c r="Z735" i="1"/>
  <c r="Z732" i="1"/>
  <c r="Z720" i="1"/>
  <c r="Y719" i="1"/>
  <c r="AA719" i="1" s="1"/>
  <c r="Z718" i="1"/>
  <c r="Z701" i="1"/>
  <c r="Z699" i="1"/>
  <c r="Z694" i="1"/>
  <c r="Y693" i="1"/>
  <c r="AA693" i="1" s="1"/>
  <c r="Z692" i="1"/>
  <c r="Y691" i="1"/>
  <c r="AA691" i="1" s="1"/>
  <c r="Z685" i="1"/>
  <c r="Z683" i="1"/>
  <c r="Z678" i="1"/>
  <c r="Y677" i="1"/>
  <c r="AA677" i="1" s="1"/>
  <c r="Z676" i="1"/>
  <c r="Y675" i="1"/>
  <c r="AA675" i="1" s="1"/>
  <c r="Z669" i="1"/>
  <c r="Z667" i="1"/>
  <c r="Z662" i="1"/>
  <c r="Y661" i="1"/>
  <c r="AA661" i="1" s="1"/>
  <c r="Z660" i="1"/>
  <c r="Y659" i="1"/>
  <c r="AA659" i="1" s="1"/>
  <c r="Z653" i="1"/>
  <c r="Z651" i="1"/>
  <c r="Z646" i="1"/>
  <c r="Y645" i="1"/>
  <c r="AA645" i="1" s="1"/>
  <c r="Z644" i="1"/>
  <c r="Y643" i="1"/>
  <c r="AA643" i="1" s="1"/>
  <c r="Z637" i="1"/>
  <c r="Z635" i="1"/>
  <c r="Z630" i="1"/>
  <c r="Y629" i="1"/>
  <c r="AA629" i="1" s="1"/>
  <c r="Z628" i="1"/>
  <c r="Y627" i="1"/>
  <c r="AA627" i="1" s="1"/>
  <c r="Z617" i="1"/>
  <c r="Z615" i="1"/>
  <c r="Z614" i="1"/>
  <c r="Y613" i="1"/>
  <c r="AA613" i="1" s="1"/>
  <c r="Z612" i="1"/>
  <c r="Y611" i="1"/>
  <c r="AA611" i="1" s="1"/>
  <c r="Z610" i="1"/>
  <c r="Y609" i="1"/>
  <c r="AA609" i="1" s="1"/>
  <c r="Z608" i="1"/>
  <c r="Y607" i="1"/>
  <c r="AA607" i="1" s="1"/>
  <c r="Z603" i="1"/>
  <c r="Y602" i="1"/>
  <c r="AA602" i="1" s="1"/>
  <c r="Y592" i="1"/>
  <c r="AA592" i="1" s="1"/>
  <c r="Y585" i="1"/>
  <c r="AA585" i="1" s="1"/>
  <c r="Z581" i="1"/>
  <c r="Y575" i="1"/>
  <c r="AA575" i="1" s="1"/>
  <c r="Z571" i="1"/>
  <c r="Y570" i="1"/>
  <c r="AA570" i="1" s="1"/>
  <c r="Z546" i="1"/>
  <c r="Y533" i="1"/>
  <c r="AA533" i="1" s="1"/>
  <c r="Y523" i="1"/>
  <c r="AA523" i="1" s="1"/>
  <c r="Y520" i="1"/>
  <c r="AA520" i="1" s="1"/>
  <c r="Y503" i="1"/>
  <c r="AA503" i="1" s="1"/>
  <c r="Z793" i="1"/>
  <c r="Z791" i="1"/>
  <c r="Z785" i="1"/>
  <c r="Z783" i="1"/>
  <c r="Z777" i="1"/>
  <c r="Z775" i="1"/>
  <c r="Z769" i="1"/>
  <c r="Z767" i="1"/>
  <c r="Z761" i="1"/>
  <c r="Z759" i="1"/>
  <c r="Z753" i="1"/>
  <c r="Z751" i="1"/>
  <c r="Z745" i="1"/>
  <c r="Z743" i="1"/>
  <c r="Z728" i="1"/>
  <c r="Y727" i="1"/>
  <c r="AA727" i="1" s="1"/>
  <c r="Y725" i="1"/>
  <c r="AA725" i="1" s="1"/>
  <c r="Z716" i="1"/>
  <c r="Y715" i="1"/>
  <c r="AA715" i="1" s="1"/>
  <c r="Z714" i="1"/>
  <c r="Y713" i="1"/>
  <c r="AA713" i="1" s="1"/>
  <c r="Z712" i="1"/>
  <c r="Y711" i="1"/>
  <c r="AA711" i="1" s="1"/>
  <c r="Z710" i="1"/>
  <c r="Y709" i="1"/>
  <c r="AA709" i="1" s="1"/>
  <c r="Z708" i="1"/>
  <c r="Y707" i="1"/>
  <c r="AA707" i="1" s="1"/>
  <c r="Z706" i="1"/>
  <c r="Y705" i="1"/>
  <c r="AA705" i="1" s="1"/>
  <c r="Z704" i="1"/>
  <c r="Y703" i="1"/>
  <c r="AA703" i="1" s="1"/>
  <c r="Z697" i="1"/>
  <c r="Z695" i="1"/>
  <c r="Z690" i="1"/>
  <c r="Y689" i="1"/>
  <c r="AA689" i="1" s="1"/>
  <c r="Z688" i="1"/>
  <c r="Y687" i="1"/>
  <c r="AA687" i="1" s="1"/>
  <c r="Z681" i="1"/>
  <c r="Z679" i="1"/>
  <c r="Z674" i="1"/>
  <c r="Z672" i="1"/>
  <c r="Z665" i="1"/>
  <c r="Z663" i="1"/>
  <c r="Z658" i="1"/>
  <c r="Z656" i="1"/>
  <c r="Z649" i="1"/>
  <c r="Z647" i="1"/>
  <c r="Z642" i="1"/>
  <c r="Z640" i="1"/>
  <c r="Z633" i="1"/>
  <c r="Z631" i="1"/>
  <c r="Z629" i="1"/>
  <c r="Z627" i="1"/>
  <c r="Z626" i="1"/>
  <c r="Z624" i="1"/>
  <c r="Z613" i="1"/>
  <c r="Z611" i="1"/>
  <c r="Z609" i="1"/>
  <c r="Z607" i="1"/>
  <c r="Y557" i="1"/>
  <c r="AA557" i="1" s="1"/>
  <c r="Z542" i="1"/>
  <c r="Z536" i="1"/>
  <c r="Y531" i="1"/>
  <c r="AA531" i="1" s="1"/>
  <c r="Y735" i="1"/>
  <c r="AA735" i="1" s="1"/>
  <c r="Y733" i="1"/>
  <c r="AA733" i="1" s="1"/>
  <c r="Y701" i="1"/>
  <c r="AA701" i="1" s="1"/>
  <c r="Y699" i="1"/>
  <c r="AA699" i="1" s="1"/>
  <c r="Y685" i="1"/>
  <c r="AA685" i="1" s="1"/>
  <c r="Y683" i="1"/>
  <c r="AA683" i="1" s="1"/>
  <c r="Y669" i="1"/>
  <c r="AA669" i="1" s="1"/>
  <c r="Y667" i="1"/>
  <c r="AA667" i="1" s="1"/>
  <c r="Y653" i="1"/>
  <c r="AA653" i="1" s="1"/>
  <c r="Y651" i="1"/>
  <c r="AA651" i="1" s="1"/>
  <c r="Y637" i="1"/>
  <c r="AA637" i="1" s="1"/>
  <c r="Y635" i="1"/>
  <c r="AA635" i="1" s="1"/>
  <c r="Y621" i="1"/>
  <c r="AA621" i="1" s="1"/>
  <c r="Y619" i="1"/>
  <c r="AA619" i="1" s="1"/>
  <c r="Y815" i="1"/>
  <c r="AA815" i="1" s="1"/>
  <c r="Y813" i="1"/>
  <c r="AA813" i="1" s="1"/>
  <c r="Y807" i="1"/>
  <c r="AA807" i="1" s="1"/>
  <c r="Y805" i="1"/>
  <c r="AA805" i="1" s="1"/>
  <c r="Y799" i="1"/>
  <c r="AA799" i="1" s="1"/>
  <c r="Y797" i="1"/>
  <c r="AA797" i="1" s="1"/>
  <c r="Y791" i="1"/>
  <c r="AA791" i="1" s="1"/>
  <c r="Y789" i="1"/>
  <c r="AA789" i="1" s="1"/>
  <c r="Y783" i="1"/>
  <c r="AA783" i="1" s="1"/>
  <c r="Y781" i="1"/>
  <c r="AA781" i="1" s="1"/>
  <c r="Y775" i="1"/>
  <c r="AA775" i="1" s="1"/>
  <c r="Y773" i="1"/>
  <c r="AA773" i="1" s="1"/>
  <c r="Y767" i="1"/>
  <c r="AA767" i="1" s="1"/>
  <c r="Y765" i="1"/>
  <c r="AA765" i="1" s="1"/>
  <c r="Y759" i="1"/>
  <c r="AA759" i="1" s="1"/>
  <c r="Y757" i="1"/>
  <c r="AA757" i="1" s="1"/>
  <c r="Y751" i="1"/>
  <c r="AA751" i="1" s="1"/>
  <c r="Y749" i="1"/>
  <c r="AA749" i="1" s="1"/>
  <c r="Y743" i="1"/>
  <c r="AA743" i="1" s="1"/>
  <c r="Y741" i="1"/>
  <c r="AA741" i="1" s="1"/>
  <c r="Z736" i="1"/>
  <c r="Z734" i="1"/>
  <c r="Z729" i="1"/>
  <c r="Z727" i="1"/>
  <c r="Z724" i="1"/>
  <c r="Z717" i="1"/>
  <c r="Z715" i="1"/>
  <c r="Z713" i="1"/>
  <c r="Z711" i="1"/>
  <c r="Z709" i="1"/>
  <c r="Z707" i="1"/>
  <c r="Z705" i="1"/>
  <c r="Z703" i="1"/>
  <c r="Z698" i="1"/>
  <c r="Y697" i="1"/>
  <c r="AA697" i="1" s="1"/>
  <c r="Z696" i="1"/>
  <c r="Y695" i="1"/>
  <c r="AA695" i="1" s="1"/>
  <c r="Z689" i="1"/>
  <c r="Z687" i="1"/>
  <c r="Z682" i="1"/>
  <c r="Y681" i="1"/>
  <c r="AA681" i="1" s="1"/>
  <c r="Z680" i="1"/>
  <c r="Y679" i="1"/>
  <c r="AA679" i="1" s="1"/>
  <c r="Z673" i="1"/>
  <c r="Z671" i="1"/>
  <c r="Y670" i="1"/>
  <c r="AA670" i="1" s="1"/>
  <c r="Y668" i="1"/>
  <c r="AA668" i="1" s="1"/>
  <c r="Z666" i="1"/>
  <c r="Y665" i="1"/>
  <c r="AA665" i="1" s="1"/>
  <c r="Z664" i="1"/>
  <c r="Y663" i="1"/>
  <c r="AA663" i="1" s="1"/>
  <c r="Z657" i="1"/>
  <c r="Z655" i="1"/>
  <c r="Y654" i="1"/>
  <c r="AA654" i="1" s="1"/>
  <c r="Y652" i="1"/>
  <c r="AA652" i="1" s="1"/>
  <c r="Z650" i="1"/>
  <c r="Y649" i="1"/>
  <c r="AA649" i="1" s="1"/>
  <c r="Z648" i="1"/>
  <c r="Y647" i="1"/>
  <c r="AA647" i="1" s="1"/>
  <c r="Z641" i="1"/>
  <c r="Z639" i="1"/>
  <c r="Y638" i="1"/>
  <c r="AA638" i="1" s="1"/>
  <c r="Y636" i="1"/>
  <c r="AA636" i="1" s="1"/>
  <c r="Z634" i="1"/>
  <c r="Y633" i="1"/>
  <c r="AA633" i="1" s="1"/>
  <c r="Z632" i="1"/>
  <c r="Y631" i="1"/>
  <c r="AA631" i="1" s="1"/>
  <c r="Y622" i="1"/>
  <c r="AA622" i="1" s="1"/>
  <c r="Z621" i="1"/>
  <c r="Y620" i="1"/>
  <c r="AA620" i="1" s="1"/>
  <c r="Z619" i="1"/>
  <c r="Z618" i="1"/>
  <c r="Y617" i="1"/>
  <c r="AA617" i="1" s="1"/>
  <c r="Z616" i="1"/>
  <c r="Y615" i="1"/>
  <c r="AA615" i="1" s="1"/>
  <c r="Y600" i="1"/>
  <c r="AA600" i="1" s="1"/>
  <c r="Y593" i="1"/>
  <c r="AA593" i="1" s="1"/>
  <c r="Z589" i="1"/>
  <c r="Y583" i="1"/>
  <c r="AA583" i="1" s="1"/>
  <c r="Z579" i="1"/>
  <c r="Y578" i="1"/>
  <c r="AA578" i="1" s="1"/>
  <c r="Y568" i="1"/>
  <c r="AA568" i="1" s="1"/>
  <c r="Z554" i="1"/>
  <c r="Y544" i="1"/>
  <c r="AA544" i="1" s="1"/>
  <c r="Z526" i="1"/>
  <c r="Y515" i="1"/>
  <c r="AA515" i="1" s="1"/>
  <c r="Z512" i="1"/>
  <c r="Y506" i="1"/>
  <c r="AA506" i="1" s="1"/>
  <c r="Z497" i="1"/>
  <c r="Z495" i="1"/>
  <c r="Y492" i="1"/>
  <c r="AA492" i="1" s="1"/>
  <c r="Z606" i="1"/>
  <c r="Y605" i="1"/>
  <c r="AA605" i="1" s="1"/>
  <c r="Z604" i="1"/>
  <c r="Y603" i="1"/>
  <c r="AA603" i="1" s="1"/>
  <c r="Z593" i="1"/>
  <c r="Z591" i="1"/>
  <c r="Z590" i="1"/>
  <c r="Y589" i="1"/>
  <c r="AA589" i="1" s="1"/>
  <c r="Z588" i="1"/>
  <c r="Y587" i="1"/>
  <c r="AA587" i="1" s="1"/>
  <c r="Z577" i="1"/>
  <c r="Z575" i="1"/>
  <c r="Z574" i="1"/>
  <c r="Y573" i="1"/>
  <c r="AA573" i="1" s="1"/>
  <c r="Z572" i="1"/>
  <c r="Y571" i="1"/>
  <c r="AA571" i="1" s="1"/>
  <c r="Y567" i="1"/>
  <c r="AA567" i="1" s="1"/>
  <c r="Z558" i="1"/>
  <c r="Z544" i="1"/>
  <c r="Z543" i="1"/>
  <c r="Z541" i="1"/>
  <c r="Y538" i="1"/>
  <c r="AA538" i="1" s="1"/>
  <c r="Z532" i="1"/>
  <c r="Z524" i="1"/>
  <c r="Y521" i="1"/>
  <c r="AA521" i="1" s="1"/>
  <c r="Y519" i="1"/>
  <c r="AA519" i="1" s="1"/>
  <c r="Z516" i="1"/>
  <c r="Z509" i="1"/>
  <c r="Y507" i="1"/>
  <c r="AA507" i="1" s="1"/>
  <c r="Z503" i="1"/>
  <c r="Z502" i="1"/>
  <c r="Z500" i="1"/>
  <c r="Y497" i="1"/>
  <c r="AA497" i="1" s="1"/>
  <c r="Y489" i="1"/>
  <c r="AA489" i="1" s="1"/>
  <c r="Y481" i="1"/>
  <c r="AA481" i="1" s="1"/>
  <c r="Z475" i="1"/>
  <c r="Z474" i="1"/>
  <c r="Z469" i="1"/>
  <c r="Z467" i="1"/>
  <c r="Z466" i="1"/>
  <c r="Y464" i="1"/>
  <c r="AA464" i="1" s="1"/>
  <c r="Z456" i="1"/>
  <c r="Y454" i="1"/>
  <c r="AA454" i="1" s="1"/>
  <c r="Y438" i="1"/>
  <c r="AA438" i="1" s="1"/>
  <c r="Y413" i="1"/>
  <c r="AA413" i="1" s="1"/>
  <c r="Y412" i="1"/>
  <c r="AA412" i="1" s="1"/>
  <c r="Y406" i="1"/>
  <c r="AA406" i="1" s="1"/>
  <c r="Y404" i="1"/>
  <c r="AA404" i="1" s="1"/>
  <c r="Z471" i="1"/>
  <c r="Z366" i="1"/>
  <c r="Z601" i="1"/>
  <c r="Z599" i="1"/>
  <c r="Z598" i="1"/>
  <c r="Y597" i="1"/>
  <c r="AA597" i="1" s="1"/>
  <c r="Z596" i="1"/>
  <c r="Y595" i="1"/>
  <c r="AA595" i="1" s="1"/>
  <c r="Z585" i="1"/>
  <c r="Z583" i="1"/>
  <c r="Z582" i="1"/>
  <c r="Y581" i="1"/>
  <c r="AA581" i="1" s="1"/>
  <c r="Z580" i="1"/>
  <c r="Y579" i="1"/>
  <c r="AA579" i="1" s="1"/>
  <c r="Z569" i="1"/>
  <c r="Z568" i="1"/>
  <c r="Z567" i="1"/>
  <c r="Z565" i="1"/>
  <c r="Y562" i="1"/>
  <c r="AA562" i="1" s="1"/>
  <c r="Y554" i="1"/>
  <c r="AA554" i="1" s="1"/>
  <c r="Y546" i="1"/>
  <c r="AA546" i="1" s="1"/>
  <c r="Y537" i="1"/>
  <c r="AA537" i="1" s="1"/>
  <c r="Y532" i="1"/>
  <c r="AA532" i="1" s="1"/>
  <c r="Z528" i="1"/>
  <c r="Z527" i="1"/>
  <c r="Z525" i="1"/>
  <c r="Z520" i="1"/>
  <c r="Z519" i="1"/>
  <c r="Z517" i="1"/>
  <c r="Z507" i="1"/>
  <c r="Y502" i="1"/>
  <c r="AA502" i="1" s="1"/>
  <c r="Z493" i="1"/>
  <c r="Y485" i="1"/>
  <c r="AA485" i="1" s="1"/>
  <c r="Z484" i="1"/>
  <c r="Y471" i="1"/>
  <c r="AA471" i="1" s="1"/>
  <c r="Z459" i="1"/>
  <c r="Y450" i="1"/>
  <c r="AA450" i="1" s="1"/>
  <c r="Y446" i="1"/>
  <c r="AA446" i="1" s="1"/>
  <c r="Y145" i="1"/>
  <c r="AA145" i="1" s="1"/>
  <c r="Y402" i="1"/>
  <c r="AA402" i="1" s="1"/>
  <c r="Y432" i="1"/>
  <c r="AA432" i="1" s="1"/>
  <c r="Z246" i="1"/>
  <c r="Z415" i="1"/>
  <c r="Z414" i="1"/>
  <c r="Z412" i="1"/>
  <c r="Z404" i="1"/>
  <c r="Z398" i="1"/>
  <c r="Z396" i="1"/>
  <c r="Z390" i="1"/>
  <c r="Z388" i="1"/>
  <c r="Z382" i="1"/>
  <c r="Z380" i="1"/>
  <c r="Z374" i="1"/>
  <c r="Z372" i="1"/>
  <c r="Z17" i="1"/>
  <c r="Y362" i="1"/>
  <c r="AA362" i="1" s="1"/>
  <c r="Y354" i="1"/>
  <c r="AA354" i="1" s="1"/>
  <c r="Y346" i="1"/>
  <c r="AA346" i="1" s="1"/>
  <c r="Y338" i="1"/>
  <c r="AA338" i="1" s="1"/>
  <c r="Y330" i="1"/>
  <c r="AA330" i="1" s="1"/>
  <c r="Y322" i="1"/>
  <c r="AA322" i="1" s="1"/>
  <c r="Y314" i="1"/>
  <c r="AA314" i="1" s="1"/>
  <c r="Y294" i="1"/>
  <c r="AA294" i="1" s="1"/>
  <c r="Y292" i="1"/>
  <c r="AA292" i="1" s="1"/>
  <c r="Z288" i="1"/>
  <c r="Y284" i="1"/>
  <c r="AA284" i="1" s="1"/>
  <c r="Y282" i="1"/>
  <c r="AA282" i="1" s="1"/>
  <c r="Z275" i="1"/>
  <c r="Z416" i="1"/>
  <c r="Z370" i="1"/>
  <c r="Z146" i="1"/>
  <c r="Z411" i="1"/>
  <c r="Z286" i="1"/>
  <c r="Z285" i="1"/>
  <c r="Z284" i="1"/>
  <c r="Z283" i="1"/>
  <c r="Z282" i="1"/>
  <c r="Y268" i="1"/>
  <c r="AA268" i="1" s="1"/>
  <c r="Y250" i="1"/>
  <c r="AA250" i="1" s="1"/>
  <c r="Y238" i="1"/>
  <c r="AA238" i="1" s="1"/>
  <c r="Y227" i="1"/>
  <c r="AA227" i="1" s="1"/>
  <c r="Y219" i="1"/>
  <c r="AA219" i="1" s="1"/>
  <c r="Y396" i="1"/>
  <c r="AA396" i="1" s="1"/>
  <c r="Y394" i="1"/>
  <c r="AA394" i="1" s="1"/>
  <c r="Y388" i="1"/>
  <c r="AA388" i="1" s="1"/>
  <c r="Y386" i="1"/>
  <c r="AA386" i="1" s="1"/>
  <c r="Y380" i="1"/>
  <c r="AA380" i="1" s="1"/>
  <c r="Y378" i="1"/>
  <c r="AA378" i="1" s="1"/>
  <c r="Y372" i="1"/>
  <c r="AA372" i="1" s="1"/>
  <c r="Y19" i="1"/>
  <c r="AA19" i="1" s="1"/>
  <c r="Z481" i="1"/>
  <c r="Y479" i="1"/>
  <c r="AA479" i="1" s="1"/>
  <c r="Y477" i="1"/>
  <c r="AA477" i="1" s="1"/>
  <c r="Z476" i="1"/>
  <c r="Y472" i="1"/>
  <c r="AA472" i="1" s="1"/>
  <c r="Z465" i="1"/>
  <c r="Y463" i="1"/>
  <c r="AA463" i="1" s="1"/>
  <c r="Y462" i="1"/>
  <c r="AA462" i="1" s="1"/>
  <c r="Z461" i="1"/>
  <c r="Y457" i="1"/>
  <c r="AA457" i="1" s="1"/>
  <c r="Z450" i="1"/>
  <c r="Y448" i="1"/>
  <c r="AA448" i="1" s="1"/>
  <c r="Z447" i="1"/>
  <c r="Y429" i="1"/>
  <c r="AA429" i="1" s="1"/>
  <c r="Y427" i="1"/>
  <c r="AA427" i="1" s="1"/>
  <c r="Z423" i="1"/>
  <c r="Z375" i="1"/>
  <c r="Z413" i="1"/>
  <c r="Y411" i="1"/>
  <c r="AA411" i="1" s="1"/>
  <c r="Z407" i="1"/>
  <c r="Z403" i="1"/>
  <c r="Z395" i="1"/>
  <c r="Z387" i="1"/>
  <c r="Z379" i="1"/>
  <c r="Z371" i="1"/>
  <c r="Z290" i="1"/>
  <c r="Z272" i="1"/>
  <c r="Y269" i="1"/>
  <c r="AA269" i="1" s="1"/>
  <c r="Z269" i="1"/>
  <c r="Z262" i="1"/>
  <c r="Y195" i="1"/>
  <c r="AA195" i="1" s="1"/>
  <c r="Z270" i="1"/>
  <c r="Z263" i="1"/>
  <c r="Y262" i="1"/>
  <c r="AA262" i="1" s="1"/>
  <c r="Y260" i="1"/>
  <c r="AA260" i="1" s="1"/>
  <c r="Y254" i="1"/>
  <c r="AA254" i="1" s="1"/>
  <c r="Y252" i="1"/>
  <c r="AA252" i="1" s="1"/>
  <c r="Z248" i="1"/>
  <c r="Z245" i="1"/>
  <c r="Z240" i="1"/>
  <c r="Z233" i="1"/>
  <c r="Y232" i="1"/>
  <c r="AA232" i="1" s="1"/>
  <c r="Z228" i="1"/>
  <c r="Z225" i="1"/>
  <c r="Z222" i="1"/>
  <c r="Z221" i="1"/>
  <c r="Y201" i="1"/>
  <c r="AA201" i="1" s="1"/>
  <c r="Z196" i="1"/>
  <c r="Z193" i="1"/>
  <c r="Z190" i="1"/>
  <c r="Z189" i="1"/>
  <c r="Z167" i="1"/>
  <c r="Y161" i="1"/>
  <c r="AA161" i="1" s="1"/>
  <c r="Z155" i="1"/>
  <c r="Y150" i="1"/>
  <c r="AA150" i="1" s="1"/>
  <c r="Z140" i="1"/>
  <c r="Y510" i="1"/>
  <c r="AA510" i="1" s="1"/>
  <c r="Y124" i="1"/>
  <c r="AA124" i="1" s="1"/>
  <c r="Y99" i="1"/>
  <c r="AA99" i="1" s="1"/>
  <c r="Z234" i="1"/>
  <c r="Z232" i="1"/>
  <c r="Z204" i="1"/>
  <c r="Z201" i="1"/>
  <c r="Z197" i="1"/>
  <c r="Z178" i="1"/>
  <c r="Y191" i="1"/>
  <c r="AA191" i="1" s="1"/>
  <c r="Y183" i="1"/>
  <c r="AA183" i="1" s="1"/>
  <c r="Y169" i="1"/>
  <c r="AA169" i="1" s="1"/>
  <c r="Y138" i="1"/>
  <c r="AA138" i="1" s="1"/>
  <c r="Y123" i="1"/>
  <c r="AA123" i="1" s="1"/>
  <c r="Y120" i="1"/>
  <c r="AA120" i="1" s="1"/>
  <c r="Y91" i="1"/>
  <c r="AA91" i="1" s="1"/>
  <c r="Y242" i="1"/>
  <c r="AA242" i="1" s="1"/>
  <c r="Z242" i="1"/>
  <c r="Y239" i="1"/>
  <c r="AA239" i="1" s="1"/>
  <c r="Z239" i="1"/>
  <c r="Y237" i="1"/>
  <c r="AA237" i="1" s="1"/>
  <c r="Z237" i="1"/>
  <c r="Y230" i="1"/>
  <c r="AA230" i="1" s="1"/>
  <c r="Y225" i="1"/>
  <c r="AA225" i="1" s="1"/>
  <c r="Z220" i="1"/>
  <c r="Z217" i="1"/>
  <c r="Y214" i="1"/>
  <c r="AA214" i="1" s="1"/>
  <c r="Z214" i="1"/>
  <c r="Z213" i="1"/>
  <c r="Y199" i="1"/>
  <c r="AA199" i="1" s="1"/>
  <c r="Y193" i="1"/>
  <c r="AA193" i="1" s="1"/>
  <c r="Z188" i="1"/>
  <c r="Y184" i="1"/>
  <c r="AA184" i="1" s="1"/>
  <c r="Z184" i="1"/>
  <c r="Z183" i="1"/>
  <c r="Y179" i="1"/>
  <c r="AA179" i="1" s="1"/>
  <c r="Y175" i="1"/>
  <c r="AA175" i="1" s="1"/>
  <c r="Y170" i="1"/>
  <c r="AA170" i="1" s="1"/>
  <c r="Z170" i="1"/>
  <c r="Y167" i="1"/>
  <c r="AA167" i="1" s="1"/>
  <c r="Z163" i="1"/>
  <c r="Z159" i="1"/>
  <c r="Z156" i="1"/>
  <c r="Y154" i="1"/>
  <c r="AA154" i="1" s="1"/>
  <c r="Z142" i="1"/>
  <c r="Z139" i="1"/>
  <c r="Y135" i="1"/>
  <c r="AA135" i="1" s="1"/>
  <c r="Z135" i="1"/>
  <c r="Z132" i="1"/>
  <c r="Z125" i="1"/>
  <c r="Z118" i="1"/>
  <c r="Z117" i="1"/>
  <c r="Y111" i="1"/>
  <c r="AA111" i="1" s="1"/>
  <c r="Y109" i="1"/>
  <c r="AA109" i="1" s="1"/>
  <c r="Z108" i="1"/>
  <c r="Y72" i="1"/>
  <c r="AA72" i="1" s="1"/>
  <c r="Z52" i="1"/>
  <c r="Y46" i="1"/>
  <c r="AA46" i="1" s="1"/>
  <c r="Z42" i="1"/>
  <c r="Y40" i="1"/>
  <c r="AA40" i="1" s="1"/>
  <c r="Z36" i="1"/>
  <c r="Z150" i="1"/>
  <c r="Y149" i="1"/>
  <c r="AA149" i="1" s="1"/>
  <c r="Z14" i="1"/>
  <c r="Y139" i="1"/>
  <c r="AA139" i="1" s="1"/>
  <c r="Z136" i="1"/>
  <c r="Y130" i="1"/>
  <c r="AA130" i="1" s="1"/>
  <c r="Y126" i="1"/>
  <c r="AA126" i="1" s="1"/>
  <c r="Z122" i="1"/>
  <c r="Z121" i="1"/>
  <c r="Z120" i="1"/>
  <c r="Y115" i="1"/>
  <c r="AA115" i="1" s="1"/>
  <c r="Z110" i="1"/>
  <c r="Z109" i="1"/>
  <c r="Y105" i="1"/>
  <c r="AA105" i="1" s="1"/>
  <c r="Z104" i="1"/>
  <c r="Y101" i="1"/>
  <c r="AA101" i="1" s="1"/>
  <c r="Z100" i="1"/>
  <c r="Z99" i="1"/>
  <c r="Y89" i="1"/>
  <c r="AA89" i="1" s="1"/>
  <c r="Z78" i="1"/>
  <c r="Z76" i="1"/>
  <c r="Z69" i="1"/>
  <c r="Y68" i="1"/>
  <c r="AA68" i="1" s="1"/>
  <c r="Z67" i="1"/>
  <c r="Y66" i="1"/>
  <c r="AA66" i="1" s="1"/>
  <c r="Z65" i="1"/>
  <c r="Y64" i="1"/>
  <c r="AA64" i="1" s="1"/>
  <c r="Z63" i="1"/>
  <c r="Z55" i="1"/>
  <c r="Z46" i="1"/>
  <c r="Z43" i="1"/>
  <c r="Y38" i="1"/>
  <c r="AA38" i="1" s="1"/>
  <c r="Z38" i="1"/>
  <c r="Z31" i="1"/>
  <c r="Y87" i="1"/>
  <c r="AA87" i="1" s="1"/>
  <c r="Z151" i="1"/>
  <c r="Z138" i="1"/>
  <c r="Z16" i="1"/>
  <c r="Z127" i="1"/>
  <c r="Z510" i="1"/>
  <c r="Y119" i="1"/>
  <c r="AA119" i="1" s="1"/>
  <c r="Y117" i="1"/>
  <c r="AA117" i="1" s="1"/>
  <c r="Z116" i="1"/>
  <c r="Z113" i="1"/>
  <c r="Y97" i="1"/>
  <c r="AA97" i="1" s="1"/>
  <c r="Z96" i="1"/>
  <c r="Y93" i="1"/>
  <c r="AA93" i="1" s="1"/>
  <c r="Z92" i="1"/>
  <c r="Z91" i="1"/>
  <c r="Z87" i="1"/>
  <c r="Y83" i="1"/>
  <c r="AA83" i="1" s="1"/>
  <c r="Z77" i="1"/>
  <c r="Y76" i="1"/>
  <c r="AA76" i="1" s="1"/>
  <c r="Z75" i="1"/>
  <c r="Z70" i="1"/>
  <c r="Z68" i="1"/>
  <c r="Z66" i="1"/>
  <c r="Z64" i="1"/>
  <c r="Z18" i="1"/>
  <c r="Z50" i="1"/>
  <c r="Z45" i="1"/>
  <c r="Z44" i="1"/>
  <c r="Z40" i="1"/>
  <c r="Z27" i="1"/>
  <c r="Y26" i="1"/>
  <c r="AA26" i="1" s="1"/>
  <c r="Y52" i="1"/>
  <c r="AA52" i="1" s="1"/>
  <c r="Y54" i="1"/>
  <c r="AA54" i="1" s="1"/>
  <c r="Y51" i="1"/>
  <c r="AA51" i="1" s="1"/>
  <c r="Y55" i="1"/>
  <c r="AA55" i="1" s="1"/>
  <c r="Y48" i="1"/>
  <c r="AA48" i="1" s="1"/>
  <c r="Y44" i="1"/>
  <c r="AA44" i="1" s="1"/>
  <c r="Y43" i="1"/>
  <c r="AA43" i="1" s="1"/>
  <c r="Y42" i="1"/>
  <c r="AA42" i="1" s="1"/>
  <c r="Z41" i="1"/>
  <c r="Z53" i="1"/>
  <c r="Z51" i="1"/>
  <c r="Z49" i="1"/>
  <c r="Z47" i="1"/>
  <c r="Z39" i="1"/>
  <c r="Y37" i="1"/>
  <c r="AA37" i="1" s="1"/>
  <c r="Y36" i="1"/>
  <c r="AA36" i="1" s="1"/>
  <c r="Y35" i="1"/>
  <c r="AA35" i="1" s="1"/>
  <c r="Y34" i="1"/>
  <c r="AA34" i="1" s="1"/>
  <c r="Z35" i="1"/>
  <c r="Y28" i="1"/>
  <c r="AA28" i="1" s="1"/>
  <c r="Y905" i="1"/>
  <c r="AA905" i="1" s="1"/>
  <c r="Y879" i="1"/>
  <c r="AA879" i="1" s="1"/>
  <c r="Y887" i="1"/>
  <c r="AA887" i="1" s="1"/>
  <c r="Y873" i="1"/>
  <c r="AA873" i="1" s="1"/>
  <c r="Y881" i="1"/>
  <c r="AA881" i="1" s="1"/>
  <c r="Y895" i="1"/>
  <c r="AA895" i="1" s="1"/>
  <c r="Y889" i="1"/>
  <c r="AA889" i="1" s="1"/>
  <c r="Z907" i="1"/>
  <c r="Z899" i="1"/>
  <c r="Z891" i="1"/>
  <c r="Z883" i="1"/>
  <c r="Z875" i="1"/>
  <c r="Z867" i="1"/>
  <c r="Y864" i="1"/>
  <c r="AA864" i="1" s="1"/>
  <c r="Z859" i="1"/>
  <c r="Y856" i="1"/>
  <c r="AA856" i="1" s="1"/>
  <c r="Z851" i="1"/>
  <c r="Y848" i="1"/>
  <c r="AA848" i="1" s="1"/>
  <c r="Z843" i="1"/>
  <c r="Y840" i="1"/>
  <c r="AA840" i="1" s="1"/>
  <c r="Z835" i="1"/>
  <c r="Y832" i="1"/>
  <c r="AA832" i="1" s="1"/>
  <c r="Z827" i="1"/>
  <c r="Y824" i="1"/>
  <c r="AA824" i="1" s="1"/>
  <c r="Z819" i="1"/>
  <c r="Y816" i="1"/>
  <c r="AA816" i="1" s="1"/>
  <c r="Z811" i="1"/>
  <c r="Y808" i="1"/>
  <c r="AA808" i="1" s="1"/>
  <c r="Z803" i="1"/>
  <c r="Y800" i="1"/>
  <c r="AA800" i="1" s="1"/>
  <c r="Z795" i="1"/>
  <c r="Y792" i="1"/>
  <c r="AA792" i="1" s="1"/>
  <c r="Z787" i="1"/>
  <c r="Y784" i="1"/>
  <c r="AA784" i="1" s="1"/>
  <c r="Z779" i="1"/>
  <c r="Y776" i="1"/>
  <c r="AA776" i="1" s="1"/>
  <c r="Z771" i="1"/>
  <c r="Y768" i="1"/>
  <c r="AA768" i="1" s="1"/>
  <c r="Z763" i="1"/>
  <c r="Y760" i="1"/>
  <c r="AA760" i="1" s="1"/>
  <c r="Z755" i="1"/>
  <c r="Y752" i="1"/>
  <c r="AA752" i="1" s="1"/>
  <c r="Z747" i="1"/>
  <c r="Y744" i="1"/>
  <c r="AA744" i="1" s="1"/>
  <c r="Z739" i="1"/>
  <c r="Y736" i="1"/>
  <c r="AA736" i="1" s="1"/>
  <c r="Z731" i="1"/>
  <c r="Y728" i="1"/>
  <c r="AA728" i="1" s="1"/>
  <c r="Z723" i="1"/>
  <c r="Y550" i="1"/>
  <c r="AA550" i="1" s="1"/>
  <c r="Z550" i="1"/>
  <c r="Y545" i="1"/>
  <c r="AA545" i="1" s="1"/>
  <c r="Y543" i="1"/>
  <c r="AA543" i="1" s="1"/>
  <c r="Y518" i="1"/>
  <c r="AA518" i="1" s="1"/>
  <c r="Z518" i="1"/>
  <c r="Y513" i="1"/>
  <c r="AA513" i="1" s="1"/>
  <c r="Y511" i="1"/>
  <c r="AA511" i="1" s="1"/>
  <c r="Y439" i="1"/>
  <c r="AA439" i="1" s="1"/>
  <c r="Y423" i="1"/>
  <c r="AA423" i="1" s="1"/>
  <c r="Y146" i="1"/>
  <c r="AA146" i="1" s="1"/>
  <c r="Z905" i="1"/>
  <c r="Z897" i="1"/>
  <c r="Z889" i="1"/>
  <c r="Z881" i="1"/>
  <c r="Z873" i="1"/>
  <c r="Z869" i="1"/>
  <c r="Y866" i="1"/>
  <c r="AA866" i="1" s="1"/>
  <c r="Z861" i="1"/>
  <c r="Y858" i="1"/>
  <c r="AA858" i="1" s="1"/>
  <c r="Z853" i="1"/>
  <c r="Y850" i="1"/>
  <c r="AA850" i="1" s="1"/>
  <c r="Z845" i="1"/>
  <c r="Y842" i="1"/>
  <c r="AA842" i="1" s="1"/>
  <c r="Z837" i="1"/>
  <c r="Y834" i="1"/>
  <c r="AA834" i="1" s="1"/>
  <c r="Z829" i="1"/>
  <c r="Y826" i="1"/>
  <c r="AA826" i="1" s="1"/>
  <c r="Z821" i="1"/>
  <c r="Y818" i="1"/>
  <c r="AA818" i="1" s="1"/>
  <c r="Z813" i="1"/>
  <c r="Y810" i="1"/>
  <c r="AA810" i="1" s="1"/>
  <c r="Z805" i="1"/>
  <c r="Y802" i="1"/>
  <c r="AA802" i="1" s="1"/>
  <c r="Z797" i="1"/>
  <c r="Y794" i="1"/>
  <c r="AA794" i="1" s="1"/>
  <c r="Z789" i="1"/>
  <c r="Y786" i="1"/>
  <c r="AA786" i="1" s="1"/>
  <c r="Z781" i="1"/>
  <c r="Y778" i="1"/>
  <c r="AA778" i="1" s="1"/>
  <c r="Z773" i="1"/>
  <c r="Y770" i="1"/>
  <c r="AA770" i="1" s="1"/>
  <c r="Z765" i="1"/>
  <c r="Y762" i="1"/>
  <c r="AA762" i="1" s="1"/>
  <c r="Z757" i="1"/>
  <c r="Y754" i="1"/>
  <c r="AA754" i="1" s="1"/>
  <c r="Z749" i="1"/>
  <c r="Y746" i="1"/>
  <c r="AA746" i="1" s="1"/>
  <c r="Z741" i="1"/>
  <c r="Y738" i="1"/>
  <c r="AA738" i="1" s="1"/>
  <c r="Z733" i="1"/>
  <c r="Y730" i="1"/>
  <c r="AA730" i="1" s="1"/>
  <c r="Z725" i="1"/>
  <c r="Y722" i="1"/>
  <c r="AA722" i="1" s="1"/>
  <c r="Y718" i="1"/>
  <c r="AA718" i="1" s="1"/>
  <c r="Y714" i="1"/>
  <c r="AA714" i="1" s="1"/>
  <c r="Y710" i="1"/>
  <c r="AA710" i="1" s="1"/>
  <c r="Y706" i="1"/>
  <c r="AA706" i="1" s="1"/>
  <c r="Y740" i="1"/>
  <c r="AA740" i="1" s="1"/>
  <c r="Y566" i="1"/>
  <c r="AA566" i="1" s="1"/>
  <c r="Z566" i="1"/>
  <c r="Y561" i="1"/>
  <c r="AA561" i="1" s="1"/>
  <c r="Y559" i="1"/>
  <c r="AA559" i="1" s="1"/>
  <c r="Y534" i="1"/>
  <c r="AA534" i="1" s="1"/>
  <c r="Z534" i="1"/>
  <c r="Y529" i="1"/>
  <c r="AA529" i="1" s="1"/>
  <c r="Y527" i="1"/>
  <c r="AA527" i="1" s="1"/>
  <c r="Y501" i="1"/>
  <c r="AA501" i="1" s="1"/>
  <c r="Z501" i="1"/>
  <c r="Y496" i="1"/>
  <c r="AA496" i="1" s="1"/>
  <c r="Y494" i="1"/>
  <c r="AA494" i="1" s="1"/>
  <c r="Y483" i="1"/>
  <c r="AA483" i="1" s="1"/>
  <c r="Y475" i="1"/>
  <c r="AA475" i="1" s="1"/>
  <c r="Y467" i="1"/>
  <c r="AA467" i="1" s="1"/>
  <c r="Y460" i="1"/>
  <c r="AA460" i="1" s="1"/>
  <c r="Z563" i="1"/>
  <c r="Z555" i="1"/>
  <c r="Z547" i="1"/>
  <c r="Z539" i="1"/>
  <c r="Z531" i="1"/>
  <c r="Z523" i="1"/>
  <c r="Z515" i="1"/>
  <c r="Z498" i="1"/>
  <c r="Z486" i="1"/>
  <c r="Y482" i="1"/>
  <c r="AA482" i="1" s="1"/>
  <c r="Z478" i="1"/>
  <c r="Y474" i="1"/>
  <c r="AA474" i="1" s="1"/>
  <c r="Z470" i="1"/>
  <c r="Y466" i="1"/>
  <c r="AA466" i="1" s="1"/>
  <c r="Z24" i="1"/>
  <c r="Y458" i="1"/>
  <c r="AA458" i="1" s="1"/>
  <c r="Z455" i="1"/>
  <c r="Y451" i="1"/>
  <c r="AA451" i="1" s="1"/>
  <c r="Z449" i="1"/>
  <c r="Y445" i="1"/>
  <c r="AA445" i="1" s="1"/>
  <c r="Z561" i="1"/>
  <c r="Z553" i="1"/>
  <c r="Z545" i="1"/>
  <c r="Z537" i="1"/>
  <c r="Z529" i="1"/>
  <c r="Z521" i="1"/>
  <c r="Z513" i="1"/>
  <c r="Z504" i="1"/>
  <c r="Z496" i="1"/>
  <c r="Y484" i="1"/>
  <c r="AA484" i="1" s="1"/>
  <c r="Z480" i="1"/>
  <c r="Y476" i="1"/>
  <c r="AA476" i="1" s="1"/>
  <c r="Z472" i="1"/>
  <c r="Y468" i="1"/>
  <c r="AA468" i="1" s="1"/>
  <c r="Z464" i="1"/>
  <c r="Y461" i="1"/>
  <c r="AA461" i="1" s="1"/>
  <c r="Z457" i="1"/>
  <c r="Y453" i="1"/>
  <c r="AA453" i="1" s="1"/>
  <c r="Y447" i="1"/>
  <c r="AA447" i="1" s="1"/>
  <c r="Y442" i="1"/>
  <c r="AA442" i="1" s="1"/>
  <c r="Y433" i="1"/>
  <c r="AA433" i="1" s="1"/>
  <c r="Y426" i="1"/>
  <c r="AA426" i="1" s="1"/>
  <c r="Z422" i="1"/>
  <c r="Y417" i="1"/>
  <c r="AA417" i="1" s="1"/>
  <c r="Z417" i="1"/>
  <c r="Y20" i="1"/>
  <c r="AA20" i="1" s="1"/>
  <c r="Z145" i="1"/>
  <c r="Z397" i="1"/>
  <c r="Z389" i="1"/>
  <c r="Z381" i="1"/>
  <c r="Z373" i="1"/>
  <c r="Y486" i="1"/>
  <c r="AA486" i="1" s="1"/>
  <c r="Y478" i="1"/>
  <c r="AA478" i="1" s="1"/>
  <c r="Y470" i="1"/>
  <c r="AA470" i="1" s="1"/>
  <c r="Y24" i="1"/>
  <c r="AA24" i="1" s="1"/>
  <c r="Y455" i="1"/>
  <c r="AA455" i="1" s="1"/>
  <c r="Y449" i="1"/>
  <c r="AA449" i="1" s="1"/>
  <c r="Z410" i="1"/>
  <c r="Z400" i="1"/>
  <c r="Y397" i="1"/>
  <c r="AA397" i="1" s="1"/>
  <c r="Z392" i="1"/>
  <c r="Y389" i="1"/>
  <c r="AA389" i="1" s="1"/>
  <c r="Z384" i="1"/>
  <c r="Y381" i="1"/>
  <c r="AA381" i="1" s="1"/>
  <c r="Z376" i="1"/>
  <c r="Y373" i="1"/>
  <c r="AA373" i="1" s="1"/>
  <c r="Z368" i="1"/>
  <c r="Y361" i="1"/>
  <c r="AA361" i="1" s="1"/>
  <c r="Y353" i="1"/>
  <c r="AA353" i="1" s="1"/>
  <c r="Y345" i="1"/>
  <c r="AA345" i="1" s="1"/>
  <c r="Y337" i="1"/>
  <c r="AA337" i="1" s="1"/>
  <c r="Y329" i="1"/>
  <c r="AA329" i="1" s="1"/>
  <c r="Y321" i="1"/>
  <c r="AA321" i="1" s="1"/>
  <c r="Y313" i="1"/>
  <c r="AA313" i="1" s="1"/>
  <c r="Y309" i="1"/>
  <c r="AA309" i="1" s="1"/>
  <c r="Y293" i="1"/>
  <c r="AA293" i="1" s="1"/>
  <c r="Z280" i="1"/>
  <c r="Y277" i="1"/>
  <c r="AA277" i="1" s="1"/>
  <c r="Z277" i="1"/>
  <c r="Z264" i="1"/>
  <c r="Y261" i="1"/>
  <c r="AA261" i="1" s="1"/>
  <c r="Z261" i="1"/>
  <c r="Z250" i="1"/>
  <c r="Y21" i="1"/>
  <c r="AA21" i="1" s="1"/>
  <c r="Z21" i="1"/>
  <c r="Y140" i="1"/>
  <c r="AA140" i="1" s="1"/>
  <c r="Z420" i="1"/>
  <c r="Z324" i="1"/>
  <c r="Z56" i="1"/>
  <c r="Z408" i="1"/>
  <c r="Z406" i="1"/>
  <c r="Z402" i="1"/>
  <c r="Y399" i="1"/>
  <c r="AA399" i="1" s="1"/>
  <c r="Z394" i="1"/>
  <c r="Y391" i="1"/>
  <c r="AA391" i="1" s="1"/>
  <c r="Z386" i="1"/>
  <c r="Y383" i="1"/>
  <c r="AA383" i="1" s="1"/>
  <c r="Z378" i="1"/>
  <c r="Y22" i="1"/>
  <c r="AA22" i="1" s="1"/>
  <c r="Z19" i="1"/>
  <c r="Y367" i="1"/>
  <c r="AA367" i="1" s="1"/>
  <c r="Y363" i="1"/>
  <c r="AA363" i="1" s="1"/>
  <c r="Y355" i="1"/>
  <c r="AA355" i="1" s="1"/>
  <c r="Y347" i="1"/>
  <c r="AA347" i="1" s="1"/>
  <c r="Y339" i="1"/>
  <c r="AA339" i="1" s="1"/>
  <c r="Y331" i="1"/>
  <c r="AA331" i="1" s="1"/>
  <c r="Y323" i="1"/>
  <c r="AA323" i="1" s="1"/>
  <c r="Y315" i="1"/>
  <c r="AA315" i="1" s="1"/>
  <c r="Y302" i="1"/>
  <c r="AA302" i="1" s="1"/>
  <c r="Y286" i="1"/>
  <c r="AA286" i="1" s="1"/>
  <c r="Y270" i="1"/>
  <c r="AA270" i="1" s="1"/>
  <c r="Y256" i="1"/>
  <c r="AA256" i="1" s="1"/>
  <c r="Y240" i="1"/>
  <c r="AA240" i="1" s="1"/>
  <c r="Y152" i="1"/>
  <c r="AA152" i="1" s="1"/>
  <c r="Z152" i="1"/>
  <c r="Y303" i="1"/>
  <c r="AA303" i="1" s="1"/>
  <c r="Y295" i="1"/>
  <c r="AA295" i="1" s="1"/>
  <c r="Y287" i="1"/>
  <c r="AA287" i="1" s="1"/>
  <c r="Y279" i="1"/>
  <c r="AA279" i="1" s="1"/>
  <c r="Z274" i="1"/>
  <c r="Y271" i="1"/>
  <c r="AA271" i="1" s="1"/>
  <c r="Z266" i="1"/>
  <c r="Y263" i="1"/>
  <c r="AA263" i="1" s="1"/>
  <c r="Z12" i="1"/>
  <c r="Y257" i="1"/>
  <c r="AA257" i="1" s="1"/>
  <c r="Z252" i="1"/>
  <c r="Y249" i="1"/>
  <c r="AA249" i="1" s="1"/>
  <c r="Z244" i="1"/>
  <c r="Y241" i="1"/>
  <c r="AA241" i="1" s="1"/>
  <c r="Z236" i="1"/>
  <c r="Y233" i="1"/>
  <c r="AA233" i="1" s="1"/>
  <c r="Y226" i="1"/>
  <c r="AA226" i="1" s="1"/>
  <c r="Z226" i="1"/>
  <c r="Y218" i="1"/>
  <c r="AA218" i="1" s="1"/>
  <c r="Z218" i="1"/>
  <c r="Y210" i="1"/>
  <c r="AA210" i="1" s="1"/>
  <c r="Z210" i="1"/>
  <c r="Y202" i="1"/>
  <c r="AA202" i="1" s="1"/>
  <c r="Z202" i="1"/>
  <c r="Y194" i="1"/>
  <c r="AA194" i="1" s="1"/>
  <c r="Z194" i="1"/>
  <c r="Y305" i="1"/>
  <c r="AA305" i="1" s="1"/>
  <c r="Y297" i="1"/>
  <c r="AA297" i="1" s="1"/>
  <c r="Y289" i="1"/>
  <c r="AA289" i="1" s="1"/>
  <c r="Y281" i="1"/>
  <c r="AA281" i="1" s="1"/>
  <c r="Z276" i="1"/>
  <c r="Y273" i="1"/>
  <c r="AA273" i="1" s="1"/>
  <c r="Z268" i="1"/>
  <c r="Y265" i="1"/>
  <c r="AA265" i="1" s="1"/>
  <c r="Z260" i="1"/>
  <c r="Y11" i="1"/>
  <c r="AA11" i="1" s="1"/>
  <c r="Z254" i="1"/>
  <c r="Y251" i="1"/>
  <c r="AA251" i="1" s="1"/>
  <c r="Y243" i="1"/>
  <c r="AA243" i="1" s="1"/>
  <c r="Z238" i="1"/>
  <c r="Y235" i="1"/>
  <c r="AA235" i="1" s="1"/>
  <c r="Y221" i="1"/>
  <c r="AA221" i="1" s="1"/>
  <c r="Y213" i="1"/>
  <c r="AA213" i="1" s="1"/>
  <c r="Y205" i="1"/>
  <c r="AA205" i="1" s="1"/>
  <c r="Y197" i="1"/>
  <c r="AA197" i="1" s="1"/>
  <c r="Y189" i="1"/>
  <c r="AA189" i="1" s="1"/>
  <c r="Y168" i="1"/>
  <c r="AA168" i="1" s="1"/>
  <c r="Z168" i="1"/>
  <c r="Y156" i="1"/>
  <c r="AA156" i="1" s="1"/>
  <c r="Y137" i="1"/>
  <c r="AA137" i="1" s="1"/>
  <c r="Z137" i="1"/>
  <c r="Y100" i="1"/>
  <c r="AA100" i="1" s="1"/>
  <c r="Y180" i="1"/>
  <c r="AA180" i="1" s="1"/>
  <c r="Z180" i="1"/>
  <c r="Y178" i="1"/>
  <c r="AA178" i="1" s="1"/>
  <c r="Y164" i="1"/>
  <c r="AA164" i="1" s="1"/>
  <c r="Z164" i="1"/>
  <c r="Y162" i="1"/>
  <c r="AA162" i="1" s="1"/>
  <c r="Y148" i="1"/>
  <c r="AA148" i="1" s="1"/>
  <c r="Z148" i="1"/>
  <c r="Y14" i="1"/>
  <c r="AA14" i="1" s="1"/>
  <c r="Y133" i="1"/>
  <c r="AA133" i="1" s="1"/>
  <c r="Z133" i="1"/>
  <c r="Y16" i="1"/>
  <c r="AA16" i="1" s="1"/>
  <c r="Y113" i="1"/>
  <c r="AA113" i="1" s="1"/>
  <c r="Y231" i="1"/>
  <c r="AA231" i="1" s="1"/>
  <c r="Y228" i="1"/>
  <c r="AA228" i="1" s="1"/>
  <c r="Y224" i="1"/>
  <c r="AA224" i="1" s="1"/>
  <c r="Y220" i="1"/>
  <c r="AA220" i="1" s="1"/>
  <c r="Y216" i="1"/>
  <c r="AA216" i="1" s="1"/>
  <c r="Y212" i="1"/>
  <c r="AA212" i="1" s="1"/>
  <c r="Y208" i="1"/>
  <c r="AA208" i="1" s="1"/>
  <c r="Y204" i="1"/>
  <c r="AA204" i="1" s="1"/>
  <c r="Y200" i="1"/>
  <c r="AA200" i="1" s="1"/>
  <c r="Y196" i="1"/>
  <c r="AA196" i="1" s="1"/>
  <c r="Y192" i="1"/>
  <c r="AA192" i="1" s="1"/>
  <c r="Y188" i="1"/>
  <c r="AA188" i="1" s="1"/>
  <c r="Y176" i="1"/>
  <c r="AA176" i="1" s="1"/>
  <c r="Z176" i="1"/>
  <c r="Y174" i="1"/>
  <c r="AA174" i="1" s="1"/>
  <c r="Y160" i="1"/>
  <c r="AA160" i="1" s="1"/>
  <c r="Z160" i="1"/>
  <c r="Y158" i="1"/>
  <c r="AA158" i="1" s="1"/>
  <c r="Y144" i="1"/>
  <c r="AA144" i="1" s="1"/>
  <c r="Z144" i="1"/>
  <c r="Y142" i="1"/>
  <c r="AA142" i="1" s="1"/>
  <c r="Y129" i="1"/>
  <c r="AA129" i="1" s="1"/>
  <c r="Z129" i="1"/>
  <c r="Y127" i="1"/>
  <c r="AA127" i="1" s="1"/>
  <c r="Y82" i="1"/>
  <c r="AA82" i="1" s="1"/>
  <c r="Y104" i="1"/>
  <c r="AA104" i="1" s="1"/>
  <c r="Z102" i="1"/>
  <c r="Y96" i="1"/>
  <c r="AA96" i="1" s="1"/>
  <c r="Z94" i="1"/>
  <c r="Y88" i="1"/>
  <c r="AA88" i="1" s="1"/>
  <c r="Z86" i="1"/>
  <c r="Y27" i="1"/>
  <c r="AA27" i="1" s="1"/>
  <c r="Y116" i="1"/>
  <c r="AA116" i="1" s="1"/>
  <c r="Y112" i="1"/>
  <c r="AA112" i="1" s="1"/>
  <c r="Y108" i="1"/>
  <c r="AA108" i="1" s="1"/>
  <c r="Y102" i="1"/>
  <c r="AA102" i="1" s="1"/>
  <c r="Y94" i="1"/>
  <c r="AA94" i="1" s="1"/>
  <c r="Z84" i="1"/>
  <c r="Z80" i="1"/>
  <c r="Y77" i="1"/>
  <c r="AA77" i="1" s="1"/>
  <c r="Y73" i="1"/>
  <c r="AA73" i="1" s="1"/>
  <c r="Y69" i="1"/>
  <c r="AA69" i="1" s="1"/>
  <c r="Y65" i="1"/>
  <c r="AA65" i="1" s="1"/>
  <c r="Y61" i="1"/>
  <c r="AA61" i="1" s="1"/>
  <c r="Y57" i="1"/>
  <c r="AA57" i="1" s="1"/>
  <c r="Y53" i="1"/>
  <c r="AA53" i="1" s="1"/>
  <c r="Y49" i="1"/>
  <c r="AA49" i="1" s="1"/>
  <c r="Y45" i="1"/>
  <c r="AA45" i="1" s="1"/>
  <c r="Y39" i="1"/>
  <c r="AA39" i="1" s="1"/>
  <c r="Y31" i="1"/>
  <c r="AA31" i="1" s="1"/>
  <c r="Z82" i="1"/>
  <c r="Y79" i="1"/>
  <c r="AA79" i="1" s="1"/>
  <c r="Y41" i="1"/>
  <c r="AA41" i="1" s="1"/>
  <c r="Y33" i="1"/>
  <c r="AA33" i="1" s="1"/>
  <c r="U947" i="1" l="1"/>
  <c r="X947" i="1"/>
  <c r="W25" i="1"/>
  <c r="X25" i="1" s="1"/>
  <c r="W910" i="1"/>
  <c r="X910" i="1" s="1"/>
  <c r="W911" i="1"/>
  <c r="X911" i="1" s="1"/>
  <c r="W912" i="1"/>
  <c r="X912" i="1" s="1"/>
  <c r="W913" i="1"/>
  <c r="X913" i="1" s="1"/>
  <c r="W914" i="1"/>
  <c r="X914" i="1" s="1"/>
  <c r="W915" i="1"/>
  <c r="X915" i="1" s="1"/>
  <c r="W916" i="1"/>
  <c r="X916" i="1" s="1"/>
  <c r="W917" i="1"/>
  <c r="X917" i="1" s="1"/>
  <c r="W918" i="1"/>
  <c r="X918" i="1" s="1"/>
  <c r="W919" i="1"/>
  <c r="X919" i="1" s="1"/>
  <c r="W920" i="1"/>
  <c r="X920" i="1" s="1"/>
  <c r="W921" i="1"/>
  <c r="X921" i="1" s="1"/>
  <c r="W922" i="1"/>
  <c r="X922" i="1" s="1"/>
  <c r="W923" i="1"/>
  <c r="X923" i="1" s="1"/>
  <c r="W924" i="1"/>
  <c r="X924" i="1" s="1"/>
  <c r="W925" i="1"/>
  <c r="X925" i="1" s="1"/>
  <c r="W926" i="1"/>
  <c r="X926" i="1" s="1"/>
  <c r="W927" i="1"/>
  <c r="X927" i="1" s="1"/>
  <c r="W928" i="1"/>
  <c r="X928" i="1" s="1"/>
  <c r="W929" i="1"/>
  <c r="X929" i="1" s="1"/>
  <c r="W930" i="1"/>
  <c r="X930" i="1" s="1"/>
  <c r="W931" i="1"/>
  <c r="X931" i="1" s="1"/>
  <c r="W932" i="1"/>
  <c r="X932" i="1" s="1"/>
  <c r="W933" i="1"/>
  <c r="X933" i="1" s="1"/>
  <c r="W934" i="1"/>
  <c r="X934" i="1" s="1"/>
  <c r="W935" i="1"/>
  <c r="X935" i="1" s="1"/>
  <c r="W936" i="1"/>
  <c r="X936" i="1" s="1"/>
  <c r="W937" i="1"/>
  <c r="X937" i="1" s="1"/>
  <c r="W938" i="1"/>
  <c r="X938" i="1" s="1"/>
  <c r="W939" i="1"/>
  <c r="X939" i="1" s="1"/>
  <c r="W940" i="1"/>
  <c r="X940" i="1" s="1"/>
  <c r="W941" i="1"/>
  <c r="X941" i="1" s="1"/>
  <c r="W942" i="1"/>
  <c r="X942" i="1" s="1"/>
  <c r="W943" i="1"/>
  <c r="X943" i="1" s="1"/>
  <c r="W944" i="1"/>
  <c r="X944" i="1" s="1"/>
  <c r="W945" i="1"/>
  <c r="X945" i="1" s="1"/>
  <c r="W946" i="1"/>
  <c r="X946" i="1" s="1"/>
  <c r="T25" i="1"/>
  <c r="U25" i="1" s="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D37" i="6"/>
  <c r="G86" i="2"/>
  <c r="G76" i="2"/>
  <c r="G70" i="2"/>
  <c r="G51" i="2"/>
  <c r="G45" i="2"/>
  <c r="G32" i="2"/>
  <c r="Z947" i="1" l="1"/>
  <c r="Y918" i="1"/>
  <c r="AA918" i="1" s="1"/>
  <c r="Y946" i="1"/>
  <c r="AA946" i="1" s="1"/>
  <c r="Y942" i="1"/>
  <c r="AA942" i="1" s="1"/>
  <c r="Y938" i="1"/>
  <c r="AA938" i="1" s="1"/>
  <c r="Y934" i="1"/>
  <c r="AA934" i="1" s="1"/>
  <c r="Y930" i="1"/>
  <c r="AA930" i="1" s="1"/>
  <c r="Y926" i="1"/>
  <c r="AA926" i="1" s="1"/>
  <c r="Y910" i="1"/>
  <c r="AA910" i="1" s="1"/>
  <c r="Z929" i="1"/>
  <c r="Z913" i="1"/>
  <c r="Y944" i="1"/>
  <c r="AA944" i="1" s="1"/>
  <c r="Y940" i="1"/>
  <c r="AA940" i="1" s="1"/>
  <c r="Z945" i="1"/>
  <c r="Z941" i="1"/>
  <c r="Z933" i="1"/>
  <c r="Z943" i="1"/>
  <c r="Z927" i="1"/>
  <c r="Y941" i="1"/>
  <c r="AA941" i="1" s="1"/>
  <c r="Y25" i="1"/>
  <c r="AA25" i="1" s="1"/>
  <c r="Z930" i="1"/>
  <c r="Y928" i="1"/>
  <c r="AA928" i="1" s="1"/>
  <c r="Y924" i="1"/>
  <c r="AA924" i="1" s="1"/>
  <c r="Y920" i="1"/>
  <c r="AA920" i="1" s="1"/>
  <c r="Y912" i="1"/>
  <c r="AA912" i="1" s="1"/>
  <c r="Y935" i="1"/>
  <c r="AA935" i="1" s="1"/>
  <c r="Y931" i="1"/>
  <c r="AA931" i="1" s="1"/>
  <c r="Y919" i="1"/>
  <c r="AA919" i="1" s="1"/>
  <c r="Y915" i="1"/>
  <c r="AA915" i="1" s="1"/>
  <c r="Z923" i="1"/>
  <c r="Z919" i="1"/>
  <c r="Z915" i="1"/>
  <c r="Z911" i="1"/>
  <c r="Z946" i="1"/>
  <c r="Z938" i="1"/>
  <c r="Z934" i="1"/>
  <c r="Z924" i="1"/>
  <c r="Z916" i="1"/>
  <c r="Y922" i="1"/>
  <c r="AA922" i="1" s="1"/>
  <c r="Z914" i="1"/>
  <c r="Z936" i="1"/>
  <c r="Z912" i="1"/>
  <c r="Y914" i="1"/>
  <c r="AA914" i="1" s="1"/>
  <c r="Y937" i="1"/>
  <c r="AA937" i="1" s="1"/>
  <c r="Z940" i="1"/>
  <c r="Z922" i="1"/>
  <c r="Z918" i="1"/>
  <c r="Z932" i="1"/>
  <c r="Z928" i="1"/>
  <c r="Z939" i="1"/>
  <c r="Z935" i="1"/>
  <c r="Z931" i="1"/>
  <c r="Z925" i="1"/>
  <c r="Z921" i="1"/>
  <c r="Z917" i="1"/>
  <c r="Z920" i="1"/>
  <c r="Y943" i="1"/>
  <c r="AA943" i="1" s="1"/>
  <c r="Y911" i="1"/>
  <c r="AA911" i="1" s="1"/>
  <c r="Z942" i="1"/>
  <c r="Z926" i="1"/>
  <c r="Z910" i="1"/>
  <c r="Y945" i="1"/>
  <c r="AA945" i="1" s="1"/>
  <c r="Y923" i="1"/>
  <c r="AA923" i="1" s="1"/>
  <c r="Z944" i="1"/>
  <c r="Z937" i="1"/>
  <c r="Y939" i="1"/>
  <c r="AA939" i="1" s="1"/>
  <c r="Y936" i="1"/>
  <c r="AA936" i="1" s="1"/>
  <c r="Y921" i="1"/>
  <c r="AA921" i="1" s="1"/>
  <c r="Y947" i="1"/>
  <c r="AA947" i="1" s="1"/>
  <c r="Y927" i="1"/>
  <c r="AA927" i="1" s="1"/>
  <c r="Y933" i="1"/>
  <c r="AA933" i="1" s="1"/>
  <c r="Z25" i="1"/>
  <c r="Y932" i="1"/>
  <c r="AA932" i="1" s="1"/>
  <c r="Y929" i="1"/>
  <c r="AA929" i="1" s="1"/>
  <c r="Y916" i="1"/>
  <c r="AA916" i="1" s="1"/>
  <c r="Y913" i="1"/>
  <c r="AA913" i="1" s="1"/>
  <c r="Y925" i="1"/>
  <c r="AA925" i="1" s="1"/>
  <c r="Y917" i="1"/>
  <c r="AA917" i="1" s="1"/>
  <c r="O6" i="1"/>
  <c r="R6" i="1" s="1"/>
</calcChain>
</file>

<file path=xl/sharedStrings.xml><?xml version="1.0" encoding="utf-8"?>
<sst xmlns="http://schemas.openxmlformats.org/spreadsheetml/2006/main" count="6970" uniqueCount="857">
  <si>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</si>
  <si>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</si>
  <si>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</si>
  <si>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</si>
  <si>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</si>
  <si>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</si>
  <si>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</si>
  <si>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</si>
  <si>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</si>
  <si>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</si>
  <si>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</si>
  <si>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</si>
  <si>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</si>
  <si>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</si>
  <si>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</si>
  <si>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</si>
  <si>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</si>
  <si>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</si>
  <si>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</si>
  <si>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</si>
  <si>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</si>
  <si>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</si>
  <si>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</si>
  <si>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</si>
  <si>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</si>
  <si>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</si>
  <si>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</si>
  <si>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</si>
  <si>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</si>
  <si>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</si>
  <si>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</si>
  <si>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</si>
  <si>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</si>
  <si>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</si>
  <si>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</si>
  <si>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</si>
  <si>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</si>
  <si>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</si>
  <si>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</si>
  <si>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</si>
  <si>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</si>
  <si>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</si>
  <si>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</si>
  <si>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</si>
  <si>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</si>
  <si>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</si>
  <si>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</si>
  <si>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</si>
  <si>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</si>
  <si>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</si>
  <si>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</si>
  <si>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</si>
  <si>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</si>
  <si>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</si>
  <si>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</si>
  <si>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</si>
  <si>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</si>
  <si>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</si>
  <si>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</si>
  <si>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</si>
  <si>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</si>
  <si>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</si>
  <si>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</si>
  <si>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</si>
  <si>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</si>
  <si>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</si>
  <si>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</si>
  <si>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</si>
  <si>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</si>
  <si>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</si>
  <si>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</si>
  <si>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</si>
  <si>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</si>
  <si>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</si>
  <si>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</si>
  <si>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</si>
  <si>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</si>
  <si>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</si>
  <si>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</si>
  <si>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</si>
  <si>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</si>
  <si>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</si>
  <si>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</si>
  <si>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</si>
  <si>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</si>
  <si>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</si>
  <si>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</si>
  <si>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</si>
  <si>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</si>
  <si>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</si>
  <si>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</si>
  <si>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</si>
  <si>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</si>
  <si>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</si>
  <si>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</si>
  <si>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</si>
  <si>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</si>
  <si>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</si>
  <si>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</si>
  <si>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</si>
  <si>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</si>
  <si>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</si>
  <si>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</si>
  <si>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</si>
  <si>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</si>
  <si>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</si>
  <si>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</si>
  <si>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</si>
  <si>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</si>
  <si>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</si>
  <si>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</si>
  <si>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</si>
  <si>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</si>
  <si>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</si>
  <si>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</si>
  <si>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</si>
  <si>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</si>
  <si>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</si>
  <si>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</si>
  <si>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</si>
  <si>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</si>
  <si>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</si>
  <si>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</si>
  <si>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</si>
  <si>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</si>
  <si>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</si>
  <si>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</si>
  <si>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</si>
  <si>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</si>
  <si>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</si>
  <si>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</si>
  <si>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</si>
  <si>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</si>
  <si>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</si>
  <si>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</si>
  <si>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</si>
  <si>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</si>
  <si>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</si>
  <si>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</si>
  <si>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</si>
  <si>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</si>
  <si>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</si>
  <si>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</si>
  <si>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</si>
  <si>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</si>
  <si>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</si>
  <si>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</si>
  <si>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</si>
  <si>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</si>
  <si>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</si>
  <si>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</si>
  <si>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</si>
  <si>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</si>
  <si>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</si>
  <si>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</si>
  <si>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</si>
  <si>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</si>
  <si>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</si>
  <si>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</si>
  <si>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</si>
  <si>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</si>
  <si>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</si>
  <si>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</si>
  <si>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</si>
  <si>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</si>
  <si>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</si>
  <si>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</si>
  <si>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</si>
  <si>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</si>
  <si>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</si>
  <si>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</si>
  <si>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</si>
  <si>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</si>
  <si>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</si>
  <si>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</si>
  <si>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</si>
  <si>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</si>
  <si>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</si>
  <si>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</si>
  <si>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</si>
  <si>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</si>
  <si>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</si>
  <si>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</si>
  <si>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</si>
  <si>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</si>
  <si>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</si>
  <si>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</si>
  <si>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</si>
  <si>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</si>
  <si>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</si>
  <si>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</si>
  <si>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</si>
  <si>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</si>
  <si>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</si>
  <si>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</si>
  <si>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</si>
  <si>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</si>
  <si>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</si>
  <si>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</si>
  <si>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</si>
  <si>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</si>
  <si>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</si>
  <si>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</si>
  <si>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</si>
  <si>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</si>
  <si>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</si>
  <si>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</si>
  <si>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</si>
  <si>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</si>
  <si>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</si>
  <si>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</si>
  <si>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</si>
  <si>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</si>
  <si>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</si>
  <si>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</si>
  <si>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</si>
  <si>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</si>
  <si>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</si>
  <si>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</si>
  <si>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</si>
  <si>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</si>
  <si>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</si>
  <si>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</si>
  <si>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</si>
  <si>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</si>
  <si>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</si>
  <si>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</si>
  <si>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</si>
  <si>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</si>
  <si>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</si>
  <si>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</si>
  <si>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</si>
  <si>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</si>
  <si>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</si>
  <si>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</si>
  <si>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</si>
  <si>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</si>
  <si>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</si>
  <si>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</si>
  <si>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</si>
  <si>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</si>
  <si>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</si>
  <si>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</si>
  <si>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</si>
  <si>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</si>
  <si>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</si>
  <si>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</si>
  <si>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</si>
  <si>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</si>
  <si>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</si>
  <si>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</si>
  <si>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</si>
  <si>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</si>
  <si>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</si>
  <si>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</si>
  <si>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</si>
  <si>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</si>
  <si>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</si>
  <si>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</si>
  <si>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</si>
  <si>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</si>
  <si>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</si>
  <si>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</si>
  <si>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</si>
  <si>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</si>
  <si>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</si>
  <si>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</si>
  <si>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</si>
  <si>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</si>
  <si>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</si>
  <si>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</si>
  <si>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</si>
  <si>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</si>
  <si>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</si>
  <si>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</si>
  <si>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</si>
  <si>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</si>
  <si>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</si>
  <si>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</si>
  <si>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</si>
  <si>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</si>
  <si>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</si>
  <si>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</si>
  <si>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</si>
  <si>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</si>
  <si>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</si>
  <si>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</si>
  <si>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</si>
  <si>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</si>
  <si>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</si>
  <si>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</si>
  <si>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</si>
  <si>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</si>
  <si>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</si>
  <si>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</si>
  <si>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</si>
  <si>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</si>
  <si>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</si>
  <si>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</si>
  <si>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</si>
  <si>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</si>
  <si>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</si>
  <si>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</si>
  <si>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</si>
  <si>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</si>
  <si>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</si>
  <si>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</si>
  <si>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</si>
  <si>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</si>
  <si>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</si>
  <si>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</si>
  <si>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</si>
  <si>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</si>
  <si>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</si>
  <si>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</si>
  <si>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</si>
  <si>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</si>
  <si>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</si>
  <si>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</si>
  <si>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</si>
  <si>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</si>
  <si>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</si>
  <si>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</si>
  <si>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</si>
  <si>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</si>
  <si>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</si>
  <si>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</si>
  <si>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</si>
  <si>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</si>
  <si>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</si>
  <si>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</si>
  <si>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</si>
  <si>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</si>
  <si>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</si>
  <si>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</si>
  <si>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</si>
  <si>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</si>
  <si>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</si>
  <si>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</si>
  <si>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</si>
  <si>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</si>
  <si>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</si>
  <si>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</si>
  <si>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</si>
  <si>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</si>
  <si>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</si>
  <si>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</si>
  <si>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</si>
  <si>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</si>
  <si>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</si>
  <si>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</si>
  <si>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</si>
  <si>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</si>
  <si>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</si>
  <si>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</si>
  <si>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</si>
  <si>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</si>
  <si>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</si>
  <si>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</si>
  <si>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</si>
  <si>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</si>
  <si>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</si>
  <si>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</si>
  <si>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</si>
  <si>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</si>
  <si>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</si>
  <si>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Prestar servicios profesionales a la Dirección General, con el fin de apoyar el seguimiento que coadyuven al cumplimiento de las metas establecidas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</si>
  <si>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</si>
  <si>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</si>
  <si>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</si>
  <si>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</si>
  <si>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</si>
  <si>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</si>
  <si>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</si>
  <si>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</si>
  <si>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</si>
  <si>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</si>
  <si>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</si>
  <si>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</si>
  <si>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</si>
  <si>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</si>
  <si>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</si>
  <si>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</si>
  <si>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</si>
  <si>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</si>
  <si>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</si>
  <si>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</si>
  <si>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Prestar servicios profesionales en las actividades de Programas y Campañas de Prevención para la Subdirección de Gestión del Riesgo._SGR</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</si>
  <si>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</si>
  <si>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</si>
  <si>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</si>
  <si>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</si>
  <si>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</si>
  <si>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</si>
  <si>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</si>
  <si>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</si>
  <si>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</si>
  <si>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</si>
  <si>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</si>
  <si>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</si>
  <si>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</si>
  <si>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</si>
  <si>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</si>
  <si>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</si>
  <si>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</si>
  <si>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</si>
  <si>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</si>
  <si>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</si>
  <si>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</si>
  <si>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</si>
  <si>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</si>
  <si>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</si>
  <si>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</si>
  <si>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</si>
  <si>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</si>
  <si>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</si>
  <si>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</si>
  <si>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</si>
  <si>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</si>
  <si>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</si>
  <si>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</si>
  <si>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</si>
  <si>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</si>
  <si>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Norma Cecilia Sanchez Sandino</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</si>
  <si>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</si>
  <si>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</si>
  <si>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</si>
  <si>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</si>
  <si>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</si>
  <si>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</si>
  <si>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</si>
  <si>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</si>
  <si>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</si>
  <si>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</si>
  <si>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</si>
  <si>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</si>
  <si>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</si>
  <si>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</si>
  <si>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</si>
  <si>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</si>
  <si>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</si>
  <si>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</si>
  <si>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</si>
  <si>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</si>
  <si>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</si>
  <si>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</si>
  <si>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</si>
  <si>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</si>
  <si>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</si>
  <si>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</si>
  <si>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</si>
  <si>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</si>
  <si>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</si>
  <si>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</si>
  <si>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Contratar la prestación de servicios para la transferencia de conocimientos en investigación de accidentes de transito en el marco de la implementación del PESV</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</si>
  <si>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</si>
  <si>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</si>
  <si>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</si>
  <si>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</si>
  <si>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81102200;86101808</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</si>
  <si>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</si>
  <si>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</si>
  <si>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</si>
  <si>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</si>
  <si>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</si>
  <si>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</si>
  <si>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</si>
  <si>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</si>
  <si>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</si>
  <si>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</si>
  <si>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</si>
  <si>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</si>
  <si>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</si>
  <si>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</si>
  <si>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</si>
  <si>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</si>
  <si>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</si>
  <si>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</si>
  <si>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</si>
  <si>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</si>
  <si>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</si>
  <si>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</si>
  <si>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</si>
  <si>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</si>
  <si>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</si>
  <si>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</si>
  <si>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</si>
  <si>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</si>
  <si>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</si>
  <si>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Pasivo de la Adquisición de vehículos operativos para la UAECOB.</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</si>
  <si>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</si>
  <si>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</si>
  <si>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</si>
  <si>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</si>
  <si>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</si>
  <si>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</si>
  <si>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</si>
  <si>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25101700;
25101900;
92101601;
92101603;
92101604</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</si>
  <si>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</si>
  <si>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</si>
  <si>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</si>
  <si>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49141503;
46182004;
49141500</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</si>
  <si>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</si>
  <si>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</si>
  <si>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</si>
  <si>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</si>
  <si>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</si>
  <si>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</si>
  <si>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</si>
  <si>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</si>
  <si>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</si>
  <si>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</si>
  <si>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</si>
  <si>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</si>
  <si>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</si>
  <si>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</si>
  <si>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</si>
  <si>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</si>
  <si>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</si>
  <si>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</si>
  <si>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</si>
  <si>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Adición y prórroga al contrato 226 de 2024 cuto objeto es: "Prestar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</si>
  <si>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</si>
  <si>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</si>
  <si>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</si>
  <si>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</si>
  <si>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 xml:space="preserve">SGH - Contratar la adecuacion e instalacion del escenario de Busqueda y rescate  </t>
  </si>
  <si>
    <t>SGH - Prestar el servicio de recolección y disposición final de los residuos sanitarios y aguas no tratadas en las instalaciones del centro de entrenamiento de la UAECOB.</t>
  </si>
  <si>
    <t>SGH - Mantenimiento preventivo y correctivo del sistema de simuladores para incendios y para materiales peligrosos.</t>
  </si>
  <si>
    <t>SGH - Prestar los servicios de capacitación, formación y entrenamiento en Buceo, para el personal operativo de la Unidad Administrativa Especial Cuerpo Oficial de Bomberos</t>
  </si>
  <si>
    <t>SGH - Contratar el suministro de recargas de cilindros de gas propano para el uso de cursos y talleres del área de capacitación y entrenamiento</t>
  </si>
  <si>
    <t>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</si>
  <si>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</si>
  <si>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</si>
  <si>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</si>
  <si>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</si>
  <si>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sus servicios profesionales en la Subdirección de Gestión Humana, en la administración de sistema de seguridad y salud en el trabajo</t>
  </si>
  <si>
    <t>SGH - Prestar servicios profesionales para la implementación y seguimiento del sistema de gestión de seguridad y salud en el trabajo en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</si>
  <si>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</si>
  <si>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</si>
  <si>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</si>
  <si>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sus servicios profesionales en la Subdirección de Gestión Humana, en los procesos contractuales y demás actividades relacionadas con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</si>
  <si>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</si>
  <si>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</si>
  <si>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musculoesqueléticos de la UAE Cuerpo Oficial de Bomberos de Bogotá.</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</si>
  <si>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</si>
  <si>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</si>
  <si>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</si>
  <si>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</si>
  <si>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</si>
  <si>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</si>
  <si>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</si>
  <si>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</si>
  <si>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</si>
  <si>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</si>
  <si>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</si>
  <si>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</si>
  <si>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</si>
  <si>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</si>
  <si>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</si>
  <si>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</si>
  <si>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</si>
  <si>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Ahorro del 10% para reducción del gasto en contratos de prestación deservicios profesionales y de apoyo a la gestión en cumplimiento delarticulo 6 del Decreto 062 del 2024</t>
  </si>
  <si>
    <t>23101512;23241629;27111508;27111559;46161707;46191605;46191609;27111604;46191603;30191501;46191614;27111702;46191620;46201002;41114408;46191510;46191511;42171610;46161715;42171612;27112813;27112120;30102409;26121634;41113630;25173107;25173108;52161518;46181504;46181537;46161714;41114501</t>
  </si>
  <si>
    <t>86101600;86101700;86101800;86111600;86141500;86121800</t>
  </si>
  <si>
    <t>46201000;46201002</t>
  </si>
  <si>
    <t>80101500;80111500;86132000;93151500</t>
  </si>
  <si>
    <t>N/A</t>
  </si>
  <si>
    <t>Hernando Ibague Rodriguez</t>
  </si>
  <si>
    <t>Pago de pasivos exigibles - Caobos salazar</t>
  </si>
  <si>
    <t>Adición y prórroga No. 1 al contrato 017 de 2024 que tiene como objeto “Contratar la prestación del servicio de aseo y cafetería incluido insumos para la UAE Cuerpo Oficial de Bomberos -SGC</t>
  </si>
  <si>
    <t xml:space="preserve">Prestar los servicios profesionales para la elaboración de los lineamiento y documentos técnicos para la construcción de estaciones de bomberos - SGC </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</si>
  <si>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</si>
  <si>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</si>
  <si>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</si>
  <si>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</si>
  <si>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</si>
  <si>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</si>
  <si>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</si>
  <si>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</si>
  <si>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</si>
  <si>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</si>
  <si>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</si>
  <si>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</si>
  <si>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</si>
  <si>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</si>
  <si>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</si>
  <si>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</si>
  <si>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</si>
  <si>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</si>
  <si>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</si>
  <si>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</si>
  <si>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</si>
  <si>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</si>
  <si>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</si>
  <si>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</si>
  <si>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Realizar la interventoría técnica, administrativa, legal, financiera, contable, seguridad y salud en el trabajo, social y ambiental del contrato con objeto es "realizar la adecuación del espacio de entrenamiento de la estación de bomberos B-05 kennedy – SGC</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</si>
  <si>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</si>
  <si>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</si>
  <si>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</si>
  <si>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</si>
  <si>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</si>
  <si>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</si>
  <si>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</si>
  <si>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</si>
  <si>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</si>
  <si>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</si>
  <si>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</si>
  <si>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</si>
  <si>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Prestar los servicios de Custodia, Consulta y Traslado Documental de Acuerdo a las especificaciones Técnicas  y requisitos contemplados en la normatividad Archivística Vigente-SGC</t>
  </si>
  <si>
    <t>Adición y prórroga No. 1 al contrato 345 de 2024 que tiene como objeto “ Contratar el servicio de saneamiento ambiental, corte de césped, jardinería, poda y tala de árboles para las sedes (predios y/o estaciones) de la UAECOB-SGC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</si>
  <si>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</si>
  <si>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</si>
  <si>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</si>
  <si>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</si>
  <si>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</si>
  <si>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</si>
  <si>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</si>
  <si>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</si>
  <si>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40151510;
40151531;
40151721;
72121402;
72151800;
72154103;
72154108;
72154109;
73152108;</t>
  </si>
  <si>
    <t>72121400;
72151700;
72154109;
95121700;</t>
  </si>
  <si>
    <t>76121502;</t>
  </si>
  <si>
    <t>47131800;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</si>
  <si>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</si>
  <si>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</si>
  <si>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</si>
  <si>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</si>
  <si>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</si>
  <si>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</si>
  <si>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</si>
  <si>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el servicio para el control de acceso de visitantes del edificio comando de la UAECOB</t>
  </si>
  <si>
    <t>Adición y prórroga al contrato 382 de l2024 cuyo objeto es la  "Contratar la renovación del licenciamiento y soporte de las plataformas de seguridad perimetral Fortinet, firewalls y WAF del edificio comando y estaciones para la U.A.E. Cuerpo Oficial de Bomberos de Bogotá - TIC"</t>
  </si>
  <si>
    <t>Contratar la renovación y soporte de licenciamiento del antivirus de la U.A.E. Cuerpo Oficial de Bomberos de Bogotá - TIC</t>
  </si>
  <si>
    <t>Adición y prórroga al contrato 343 y  347 del 2024 cuyo objeto es la " Contratar el alquiler de equipos tecnológicos, periféricos y servicios complementarios para la U.A.E. Cuerpo Oficial de Bomberos de Bogotá. - TIC"</t>
  </si>
  <si>
    <t>Adición y prórroga al contrato 350 del 2024 cuyo objeto es la "Contratar el servicio de soporte y mantenimiento del sistema de gestión documental  para la U.A.E. Cuerpo Oficial de Bomberos de Bogotá- TIC"</t>
  </si>
  <si>
    <t>Contratar el soporte y mantenimiento de la solución de control de acceso con reconocimiento facial para la U.A.E. Cuerpo Oficial Bomberos de Bogotá</t>
  </si>
  <si>
    <t>Contratar el servicio de nube publica para la U.A.E Cuerpo Oficial de Bomberos de Bogotá -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</si>
  <si>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</si>
  <si>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</si>
  <si>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</si>
  <si>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</si>
  <si>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Adición y prórroga al contrato No. 658 2023  cuyo objeto es "Contratar el servicio de mantenimiento preventivo y correctivo de ups y aires acondicionados con suministro de repuestos para todas las sedes de la.U.A.E. Cuerpo Oficial de Bomberos de Bogotá."</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</si>
  <si>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</si>
  <si>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</si>
  <si>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Contratar el servicio de Mantenimiento correctivo, adecuación e instalación de cableado estructurado de voz, datos y eléctrico con suministro de repuestos para todas las sedes de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</si>
  <si>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</si>
  <si>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</si>
  <si>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</si>
  <si>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</si>
  <si>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</si>
  <si>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</si>
  <si>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</si>
  <si>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</si>
  <si>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</si>
  <si>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</si>
  <si>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</si>
  <si>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</si>
  <si>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</si>
  <si>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</si>
  <si>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</si>
  <si>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</si>
  <si>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</si>
  <si>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</si>
  <si>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</si>
  <si>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</si>
  <si>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</si>
  <si>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Contratar los servicios de canales de datos dedicados para la UAE Cuerpo Oficial de Bomberos de Bogotá-TIC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</si>
  <si>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</si>
  <si>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</si>
  <si>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</si>
  <si>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</si>
  <si>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81111508;81111809;81161501;43231500;43231513</t>
  </si>
  <si>
    <t>43233200;43222500</t>
  </si>
  <si>
    <t>43233000;81112200</t>
  </si>
  <si>
    <t>81112204;81112501</t>
  </si>
  <si>
    <t>32131023;39121011;43232300</t>
  </si>
  <si>
    <t>72151607;72103302</t>
  </si>
  <si>
    <t>72151500;72101500;73152100</t>
  </si>
  <si>
    <t>83121700;83111600;43221700</t>
  </si>
  <si>
    <t>72151600; 43223300;
39131700</t>
  </si>
  <si>
    <t>81112501;43232102;43232103;43231512</t>
  </si>
  <si>
    <t>81112100;81111500</t>
  </si>
  <si>
    <t>Programado</t>
  </si>
  <si>
    <t>DISTRIBUCIÓN PPTAL PROYECTADA PAA VR 0</t>
  </si>
  <si>
    <t xml:space="preserve">proyecto </t>
  </si>
  <si>
    <t>Diferencia</t>
  </si>
  <si>
    <t>Uniformes de trabajo</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</si>
  <si>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</si>
  <si>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</si>
  <si>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</si>
  <si>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</si>
  <si>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</si>
  <si>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</si>
  <si>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</si>
  <si>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</si>
  <si>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</si>
  <si>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</si>
  <si>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</si>
  <si>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</si>
  <si>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</si>
  <si>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</si>
  <si>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</si>
  <si>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Ahorro del 10% para reducción del gasto en contratos de prestación de servicios profesionales y de apoyo a la gestión en cumplimiento delarticulo 6 del Decreto 062 del 2024</t>
  </si>
  <si>
    <t>ARMONIZACION</t>
  </si>
  <si>
    <t>O23202020088714199 Servicio de mantenimiento y reparación de vehículos automotores n.c.p. MTTO VEHICULOS (3.850.000.000)
O23201010030208 Otra maquinaria para usos especiales y sus partes y piezas (600.000.000) FOX - ALINEACIÓN Y BALAN</t>
  </si>
  <si>
    <t>Prestar los servicios profesionales para los realizar gestión de tramites y actividades que se requieran en los diferentes procesos disciplinarios propios de la etapa de juzgamiento de la Oficina Jurídica en la UAECOB</t>
  </si>
  <si>
    <t>Prestación de servicios profesionales para apoyar a la Subdirección Operativa en el analisis de información y elaboración de productos relacionados con la estrategia de preparativos de la UAE Cuerpo Oficial de Bomberos de Bogotá SO</t>
  </si>
  <si>
    <t>Prestación de servicios profesionales para apoyar a la Subdirección Operativa en la consolidación y reporte de la información técnica para la estructuración del documento estrategia de preparativos de la UAE Cuerpo Oficial de Bomberos de Bogotá SO</t>
  </si>
  <si>
    <t>Prestación de servicios profesionales para acompañar a la Subdirección Operativa en la elaboración de documentos, reportes, productos y analisis de información relacionada con los procesos a cargo.</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</si>
  <si>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</si>
  <si>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</si>
  <si>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</si>
  <si>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</si>
  <si>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especializados para apoyar las actividades técnicas del Área de Infraestructura de la Subdirección de Gestión Corporativa-SGC</t>
  </si>
  <si>
    <t>Prestación de servicios profesionales para adelantar actividades técnicas y trámites administrativos del Área de Infraestructura de la Subdirección de Gestión Corporativa-SGC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</si>
  <si>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</si>
  <si>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</si>
  <si>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</si>
  <si>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</si>
  <si>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para acompañar jurídicamente los procesos y procedimientos del área de infraestructura de la Subdirección de Gestión Corporativa. 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</si>
  <si>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</si>
  <si>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</si>
  <si>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</si>
  <si>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Suministro  de implementos  de  papelería y oficina para las dependencias de la UAE Cuerpo  Oficial de Bomberos-SGC</t>
  </si>
  <si>
    <t>Seleccionar un promotor y/o intermediario público o privado, para que tramite, gestione y lidere la venta en subasta pública de los bienes muebles obsoletos, servibles no utilizables e inservibles de propiedad de la U.A.E. Cuerpo Oficial de Bomberos Bogotá- SGC</t>
  </si>
  <si>
    <t>80101500;80141700;80141600;80151500;84121500</t>
  </si>
  <si>
    <t xml:space="preserve">Adición al contrato 573 del 2023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t>
  </si>
  <si>
    <t>Prestar el servicio de mantenimiento preventivo y correctivo, de latonería y pintura, incluyendo el suministro de repuestos, insumos y mano de obra especializada para los vehículos livianos pertenecientes al parque automotor de la UAE Cuerpo Oficial de Bomberos de Bogotá DC</t>
  </si>
  <si>
    <t>Prestación de servicios profesionales técnicos, administrativos y operativos en la gestión de mantenimientos a cargo de la subdirección logística. SBGL</t>
  </si>
  <si>
    <t>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t>
  </si>
  <si>
    <t>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t>
  </si>
  <si>
    <t>Prestar servicios de apoyo en la gestión documental, física y digital, administrando y diligenciando las bases de datos, y demás documentos a cargo de la Subdirección logística. -SBLG, en el marco del modelo integrado de planeación y gestión.</t>
  </si>
  <si>
    <t>Prestar servicios de apoyo a la gestión para la organización, clasificación, foliación, digitalización e indexación de documentos de la Subdirección Logística - SBLG, en el marco del modelo integrado de planeación y gestión.</t>
  </si>
  <si>
    <t>Prestar servicios profesionales para realizar seguimiento y control de los diferentes procesos administrativos a cargo de la Subdirección Logística - SBLG, en el marco del modelo integrado de planeación y gestión.</t>
  </si>
  <si>
    <t>Prestar servicios profesionales, en apoyo a la política de Compras y Contratación Pública del Modelo Integrado de Planeación y Gestión, para la gestión de los aspectos jurídicos de la Subdirección Logística -SBLG.</t>
  </si>
  <si>
    <t>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t>
  </si>
  <si>
    <t>Prestación de servicios de apoyo a la gestión administrativa, en el marco del MIPG, en especial a lo concerniente al parque automotor a cargo de la Subdirección Logística - SBLG.</t>
  </si>
  <si>
    <t>Prestar el servicio de instalación, alineación, balanceo y conexos, incluyendo el suministro de llantas a los vehículos del parque automotor de la U.A.E. Cuerpo Oficial de Bomberos de Bogotá - SBLG.</t>
  </si>
  <si>
    <t xml:space="preserve">10121801;10121802;10121602 </t>
  </si>
  <si>
    <t>Adición y prórroga del contrato 580/23 cuyo objeto es "Suministro de concentrado de espuma y extintores y el mantenimiento, recarga de extintores, cilindros y tanques de las maquinas extintoras - SBLG" - LOTE I</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</si>
  <si>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</si>
  <si>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</si>
  <si>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</si>
  <si>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72101500;72154200</t>
  </si>
  <si>
    <t xml:space="preserve">31261500; 31161500; 31161600; 31162300; 31162800; 31171500; 31171700; 39121600; 27121600 </t>
  </si>
  <si>
    <t>70122002; 70122005; 70122006; 70122007; 70122008; 70122009; 70122010</t>
  </si>
  <si>
    <t>Adición y prórroga del Contrato 581/23 cuyo objeto es "Suministro de concentrado de espuma y extintores y el mantenimiento, recarga de extintores, cilindros y tanques de las maquinas extintoras"</t>
  </si>
  <si>
    <t xml:space="preserve">Prestar servicios profesionales para acompañar a la Subdirección logística, en el diseño, implementación, reporte y monitoreo de los diferentes planes, programas, proyectos administrativos, financieros, y funciones a cargo de la subdirección - SBLG </t>
  </si>
  <si>
    <t>Prestación de servicios profesionales para la gestión administrativa de las herramientas tecnológicas de la Subdirección Logística asociados a la mesa logística - SBLG</t>
  </si>
  <si>
    <t>Prestación de servicios profesionales técnicos y administrativos en el seguimiento y control en los diferentes procesos y procedimiemtos incluyendo el sistema de Gestión ambiental de la Subdirección Logística . -SBGL</t>
  </si>
  <si>
    <t>Prestar servicios profesionales en la definición y gestión de procedimientos, lineamientos ambientales y de SST de los procesos, así como del sistema de Gestión de Calidad . – SBGL</t>
  </si>
  <si>
    <t>Prestar servicios de apoyo a la gestión en el manejo de las herramientas tecnológicas a cargo de la Subdirección Logística, y en diligenciamiento, seguimiento y control de las herramientas de gestión asociadas a la mesa logística. – SBLG</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</si>
  <si>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</si>
  <si>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SGH - Prestar servicios profesionales en la Subdirección de Gestión Humana en los diferentes procesos y procedimientos propios del área de nómina de la Unidad Administrativa del Cuerpo oficial de Bomberos.</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</si>
  <si>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</si>
  <si>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</si>
  <si>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en la Subdirección de Gestión Corporativa en lo relacionado con los procesos de inventarios, almacén y bajas-SGC</t>
  </si>
  <si>
    <t>Prestar servicios profesionales en la Subdirección de Gestión Corporativa para aplicar los procesos y procedimientos a los inventarios a cargo de la UAECOB-SGC</t>
  </si>
  <si>
    <t>Prestación de servicios profesionales al área Financiera de la Subdirección de Gestión Corporativa-SGC</t>
  </si>
  <si>
    <t>Prestar servicios profesionales para desarrollar e implementar sistemas de información, brindar soporte, mantenimiento y generar interoperabilidad con BOGDATA, en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</si>
  <si>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</si>
  <si>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</si>
  <si>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</si>
  <si>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</si>
  <si>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</si>
  <si>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en la implementación, 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</si>
  <si>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</si>
  <si>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Prestar los servicios profesionales para la gestión administrativa y operativa de la Subdirección de Gestión Corporativa en el proceso de adquisición de bienes y servicios - 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</si>
  <si>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</si>
  <si>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 xml:space="preserve">Recursos destinados a cubrir el pago a cargo de Pago de pasivos exigibles correspondientes a la Subdirección de Gestión Corporativa </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</si>
  <si>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</si>
  <si>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</si>
  <si>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la Dirección General, en Comunicaciones y Prensa, para la divulgación, difusión y socialización de los procesos misionales de la UAECOB de manera interna y externa.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</si>
  <si>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</si>
  <si>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Contratar la adquisición de un (1) equipo de aire acondicionado para la U.A.E. Cuerpo Oficial de Bomberos de Bogotá</t>
  </si>
  <si>
    <t xml:space="preserve">Prestación de servicios profesionales en la planificación, control y seguimiento de los insumos y suministros para la atención de emergencias </t>
  </si>
  <si>
    <t xml:space="preserve">SGH - Prestar servicios profesionales juridicos para desarrollar actividades en la Subdireccion de Gestion Humana y el area de academia. </t>
  </si>
  <si>
    <t>Prestación de servicios profesionales para apoyar las actividades jurídicas y gestión predial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</si>
  <si>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</si>
  <si>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con el fin de gestionar trámites de carácter técnico, administrativo y operativamente en el desarrollo de los proyectos de inversión  de la entidad-SGC</t>
  </si>
  <si>
    <t>Prestar servicios profesionales en la Oficina Asesora de Planeación, 
para liderar las actividades necesarias que permiten la 
consolidación de la infraestructura tecnológica de la UAECOB en 
una herramienta para el cumplimiento del plan estratégico 
institucional.</t>
  </si>
  <si>
    <t>Prestar servicios profesionales a la Oficina Asesora de Planeación, en el marco de los procesos y procedimientos que adelanta la dependencia.</t>
  </si>
  <si>
    <t>Contratar servicio de integración, compatibilidad y puesta en funcionamiento de los dispositivos pistolas de toma físico de inventarios al sistema de control y registros inventarios de la U.A.E. Cuerpo Oficial de Bomberos de Bogotá - TIC"</t>
  </si>
  <si>
    <t>Prestar servicios profesionales en los procesos de análisis y diseño de las herramientas tecnológicas desarrolladas para el funcionamiento de las áreas de la entidad - TIC.</t>
  </si>
  <si>
    <t>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t>
  </si>
  <si>
    <t>81111811;72151600; 43223300;
39131700</t>
  </si>
  <si>
    <t xml:space="preserve">Prestar servicios técnicos administrativos en las actividades de Programas y Campañas de Prevención para la Subdirección de Gestión del Riesgo.SGR  </t>
  </si>
  <si>
    <t>Adquirir elementos para el funcionamiento del grupo de apoyo operacional_SGR”</t>
  </si>
  <si>
    <t>“Adquisición de carpas de uso institucional para puesto de mando unificado, actividades de bienestar, logistica, campañas y apoyo a operaciones_SGR</t>
  </si>
  <si>
    <t>Dirección Tic - reduccion</t>
  </si>
  <si>
    <t>Sub. Gestión Humana - reduccion</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</si>
  <si>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</si>
  <si>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</si>
  <si>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</si>
  <si>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</si>
  <si>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</si>
  <si>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Realizar el mantenimiento, recoleccion y disposición final de los residuos de las trampas de grasas en las estaciones de la UAE – Cuerpo oficial de Bomberos de Bogotá- SGC</t>
  </si>
  <si>
    <t xml:space="preserve">Adquisición de mobiliario para la dotación de las estaciónes y sede comando de la UAE Cuerpo Oficial de Bomberos Bogotá- SGC </t>
  </si>
  <si>
    <t>Adición y prórroga No. 1 al contrato 041 de 2024 que tiene como objeto “Prestación de servicios profesionales para apoyar las actividades técnicas del Área de Infraestructura de la Subdirección de Gestión Corporativa-SGC</t>
  </si>
  <si>
    <t>Adición y prórroga al  Contrato 047 de 2024 con objeto "Prestar servicios profesionales en el desarrollo de las actividades y de los diferentes procesos que tiene a su cargo y bajo su seguimiento la Dirección General de la UAE Cuerpo Oficial de Bomberos de Bogotá"</t>
  </si>
  <si>
    <t xml:space="preserve">Prestación de servicios profesionales especializados para apoyar las actividades técnicas del Área de Infraestructura de la Subdirección de Gestión Corporativa-SGC </t>
  </si>
  <si>
    <t>Etiquetas de fila</t>
  </si>
  <si>
    <t>Total general</t>
  </si>
  <si>
    <t>Suma de Valor Programado</t>
  </si>
  <si>
    <t>43232300
43232500
43233700
86141500
81111800
81112500
86141700</t>
  </si>
  <si>
    <t>11000000
53101800
53101802
53101804</t>
  </si>
  <si>
    <t>Adquisición de elementos de identificación institucional para el personal que desarrolla actividades misionales de la UAECOB _SGR.</t>
  </si>
  <si>
    <t xml:space="preserve">Prestar servicios profesionales para el seguimiento de los proyectos de inversión de la UAECOB. _SGR </t>
  </si>
  <si>
    <t>49121500
49121600</t>
  </si>
  <si>
    <t>SGH - Prestar servicios profesionales en la Subdirección de Gestión Humana de la UAE Cuerpo Oficial de Bomberos de Bogotá D.C. en lo relacionado con los diferentes procesos de archivo y trámites administrativos.</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</si>
  <si>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</si>
  <si>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</si>
  <si>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</si>
  <si>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Adición y prórroga al contrato 450-24cuyo objeto es prestar servicios profesionales en la seguimiento,verificación y control administrativo financiero de los procesos contractuales en la etapa de ejecución a cargo de la Subdirección Logistica – SBLG.</t>
  </si>
  <si>
    <t>Adición y prórroga al contrato 474-24, cuyo objeto es prestación de servicios profesionales en la administración, gestión integral y mantenimiento del equipo menor a cargo de la Subdirección Logística -SBLG.</t>
  </si>
  <si>
    <t>Adición y prórroga del contrato 465-24 cuyo objeto es prestación de servicios profesionales como residente de talleres para gestionar y garantizar el funcionamiento y operación del parque automotor asignado a la  Subdirección Logística - SBLG.</t>
  </si>
  <si>
    <t>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</si>
  <si>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Prestar servicios profesionales para apoyar en los diferentes trámites administrativos, documental e inventario de la Subdirección Logística – SBLG. </t>
  </si>
  <si>
    <t>Prestar servicios profesionales para la planeación y definición de aspectos técnicos y financieros para la adquisición de bienes y servicios de insumos y suministros de la SBLG</t>
  </si>
  <si>
    <t xml:space="preserve">Adición y prorroga del contrato 527-24 cuyo objeto es prestación de servicios profesionales en la planificación, control y seguimiento de los insumos y suministros para la atención de emergencias. </t>
  </si>
  <si>
    <t>Adición y prorroga del Contrato 412-24 cuyo objeto es prestar servicios de apoyo a la gestión en el seguimiento y control de los suministros y consumibles garantizando la disponibilidad para la atención de emergencias  -SBLG.</t>
  </si>
  <si>
    <t>Pago de pasivo exigible contrato 517-22 Ingenieria contra Incendio y Seguridad Industrial Incoldext SAS</t>
  </si>
  <si>
    <t>Prestar los servicios profesionales para la gestión, financiera de los   proyectos y procesos de la Subdirección - SBLG, en el marco del modelo integrado de planeación y gestión.</t>
  </si>
  <si>
    <t>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</si>
  <si>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</si>
  <si>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</si>
  <si>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</si>
  <si>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</si>
  <si>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Adición No.5 y prórroga No.6 al contrato 409 de 2021 que tiene como objeto "Prestar los servicios de Custodia, Consulta y Traslado Documental de Acuerdo a las especificaciones Técnicas  y requisitos contemplados en la normatividad Archivística Vigente-SGC</t>
  </si>
  <si>
    <t>Prestar los servicios profesionales en la Subdirección de Gestión Corporativa en las actividades asociadas a procesos jurídicos relacionados con la gestión administrativa.- SGC</t>
  </si>
  <si>
    <t>Prestar el servicio de recolección y diposición final de los residuos sanitarios y aguas no tratadas de las instalaciones de la Unidad Administrativa Especial Cuerpo Oficial de Bomberos Bogotá -SGC</t>
  </si>
  <si>
    <t>Prestación de servicios de apoyo a la gestión en la ejecución de los planes y programas de servicio al ciudadano a cargo de la Subdirección de Gestión Corporativa.-SGC</t>
  </si>
  <si>
    <t>81141807;
40151517;
76121701;
83101506;</t>
  </si>
  <si>
    <t>Prestar los servicios profesionales para apoyar  a la Dirección en la gestión de procesor juridicos y contractuales relacionados con los proyectos de inversion y funcionamiento de la U.A.E. Cuerpo Oficial de Bomberos de Bogotá - TIC</t>
  </si>
  <si>
    <t>Prestar servicios tecnicos de apoyo a la gestión para el desarrollo de actividades administrativas y procesos de gestión documental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</si>
  <si>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</si>
  <si>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</si>
  <si>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Adquirir de hardware y software de gestión de para el sistema de atención de turnos de la U.A.E. Cuerpo Oficial de Bomberos de Bogotá - TIC</t>
  </si>
  <si>
    <t>Prestar servicios profesionales en los procesos de análisis, levantamiento de información, parametrización y diseño de las herramientas tecnológicas desarrolladas para el funcionamiento de la U.A.E. Cuerpo Oficial de Bomberos de Bogotá - TIC</t>
  </si>
  <si>
    <t>pago de pasivo exigible del contrato No. 624-2020, cuyo objeto es; "Prestar servicios profesionales en la Oficina Asesora de Planeación para elaborar, ejecutar y poner en marcha sistemas de información de la entidad".</t>
  </si>
  <si>
    <t>pago pasivo exigible del contrato No. 149 de 2021, cuyo objeto es: "Prestar Servicios profesionales como gestor de servicios Tecnológicos para apoyar los procesos relacionados con la gestión de la capacidad continuidad, disponibilidad, y seguridad de la infraestructura tecnológica de la UAECOB".</t>
  </si>
  <si>
    <t>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t>
  </si>
  <si>
    <t>Adición y prórroga al contrato 390 de 2024 cuto objeto es: "Prestar los servicios profesionales  jurídicos para apoyar las actividades propias de la gestión contractual que adelanta la Oficina Jurídica"</t>
  </si>
  <si>
    <t>Prestar los servicios profesionales juridicos especializados en el desarrollo de las funciones de la Oficina Juridica</t>
  </si>
  <si>
    <t>Prestación de servicios profesionales en el desarrollo de las actividades que se designen para el seguimiento y la implementación de las políticas del Modelo Integrado de Planeación y Gestión MIPG que lidera la Oficina Asesora de Planeación.</t>
  </si>
  <si>
    <t>Adición y prorroga Implementación del modelo integrado de planeación y gestión</t>
  </si>
  <si>
    <t>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t>
  </si>
  <si>
    <t>Adquisición de Dron- UAS para el grupo especializado SART de la UAECOB, para apoyar las operaciones de búsqueda, rescate, control de incendios y otras emergencias misionales a cargo de la Entidad</t>
  </si>
  <si>
    <t>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</si>
  <si>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Prestar los servicios profesionales para el acompañamiento y seguimiento de los planes y proyectos de la Subdireccion de Gestión Corporativa-SGC</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</si>
  <si>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</si>
  <si>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de apoyo a la gestión en asuntos de comunicaciones y prensa para detectar las necesidades de la Entidad y facilitar la inserción de nuevas estrategias de comunicación</t>
  </si>
  <si>
    <t>Prestación de servicios profesionales en asuntos de comunicaciones y prensa para apoyar las labores de divulgación de la información en las redes sociales, pagina web e intranet, de acuerdo con la misionalidad de la UAECOB.</t>
  </si>
  <si>
    <t>Suministro de elementos para la adecuacion de escenarios practicos y simulados para cursos especializados, entrenamiento misional y capacitación en el puesto de trabajo en el marco de los programas de capacitación formación y entrenamiento</t>
  </si>
  <si>
    <t>86101600, 86101700, 86101800, 86111600, 86141500,  86121800, 80111500</t>
  </si>
  <si>
    <t>Versión No. 5 - PLAN DISTRITAL DE DESARROLLO "BOGOTÁ CAMINA SEGURA"</t>
  </si>
  <si>
    <t>Javier Andres Ponce Caicedo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</si>
</sst>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7">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0"/>
      <color theme="1"/>
      <name val="Tahoma"/>
      <family val="2"/>
    </font>
  </fonts>
  <fills count="5">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177">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2" fontId="3" fillId="0" borderId="1" xfId="4" applyNumberFormat="1" applyFont="1" applyFill="1" applyBorder="1" applyAlignment="1" applyProtection="1">
      <alignment horizontal="center" vertical="center" wrapText="1"/>
      <protection locked="0"/>
    </xf>
    <xf numFmtId="0" fontId="3" fillId="0" borderId="1"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0" fontId="0" fillId="0" borderId="0" xfId="0" pivotButton="1"/>
    <xf numFmtId="43" fontId="0" fillId="0" borderId="0" xfId="2" applyFont="1"/>
    <xf numFmtId="165" fontId="3" fillId="0" borderId="0" xfId="2" applyNumberFormat="1" applyFont="1" applyAlignment="1" applyProtection="1">
      <alignment vertical="center" wrapText="1"/>
      <protection locked="0"/>
    </xf>
    <xf numFmtId="165" fontId="3" fillId="0" borderId="0" xfId="0" applyNumberFormat="1" applyFont="1" applyAlignment="1">
      <alignment vertical="center" wrapText="1"/>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43" fontId="0" fillId="0" borderId="0" xfId="2" pivotButton="1" applyFont="1"/>
    <xf numFmtId="14" fontId="16" fillId="0" borderId="0" xfId="2" applyNumberFormat="1" applyFont="1" applyFill="1" applyBorder="1" applyAlignment="1" applyProtection="1">
      <alignment horizontal="center" vertical="center" wrapText="1"/>
      <protection locked="0"/>
    </xf>
    <xf numFmtId="0" fontId="3" fillId="4" borderId="7" xfId="2" applyNumberFormat="1" applyFont="1" applyFill="1" applyBorder="1" applyAlignment="1" applyProtection="1">
      <alignment horizontal="center" vertical="center" wrapText="1"/>
      <protection locked="0"/>
    </xf>
    <xf numFmtId="0" fontId="3" fillId="4" borderId="1" xfId="2" applyNumberFormat="1"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1" xfId="5" applyFont="1" applyFill="1" applyBorder="1" applyAlignment="1" applyProtection="1">
      <alignment horizontal="center" vertical="center" wrapText="1"/>
      <protection locked="0"/>
    </xf>
    <xf numFmtId="1" fontId="3" fillId="4" borderId="1" xfId="4" applyNumberFormat="1" applyFont="1" applyFill="1" applyBorder="1" applyAlignment="1" applyProtection="1">
      <alignment horizontal="center" vertical="center" wrapText="1"/>
      <protection locked="0"/>
    </xf>
    <xf numFmtId="1" fontId="3" fillId="4" borderId="1" xfId="0" applyNumberFormat="1" applyFont="1" applyFill="1" applyBorder="1" applyAlignment="1" applyProtection="1">
      <alignment horizontal="center" vertical="center" wrapText="1"/>
      <protection locked="0"/>
    </xf>
    <xf numFmtId="1" fontId="3" fillId="4" borderId="1" xfId="2" applyNumberFormat="1" applyFont="1" applyFill="1" applyBorder="1" applyAlignment="1" applyProtection="1">
      <alignment horizontal="center" vertical="center"/>
      <protection locked="0"/>
    </xf>
    <xf numFmtId="165" fontId="3" fillId="4" borderId="1" xfId="2" applyNumberFormat="1" applyFont="1" applyFill="1" applyBorder="1" applyAlignment="1" applyProtection="1">
      <alignment horizontal="center" vertical="center" wrapText="1"/>
      <protection locked="0"/>
    </xf>
    <xf numFmtId="0" fontId="3" fillId="4" borderId="1" xfId="5" applyFont="1" applyFill="1" applyBorder="1" applyAlignment="1">
      <alignment horizontal="center" vertical="center" wrapText="1"/>
    </xf>
    <xf numFmtId="0" fontId="3" fillId="4" borderId="6" xfId="5" applyFont="1" applyFill="1" applyBorder="1" applyAlignment="1" applyProtection="1">
      <alignment horizontal="center" vertical="center" wrapText="1"/>
      <protection locked="0"/>
    </xf>
    <xf numFmtId="0" fontId="15" fillId="0" borderId="1"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cellXfs>
  <cellStyles count="7">
    <cellStyle name="Currency" xfId="1"/>
    <cellStyle name="Millares" xfId="2" builtinId="3"/>
    <cellStyle name="Millares 2" xfId="3"/>
    <cellStyle name="Moneda" xfId="4" builtinId="4"/>
    <cellStyle name="Normal" xfId="0" builtinId="0"/>
    <cellStyle name="Normal 2" xfId="5"/>
    <cellStyle name="Normal 2 10" xfId="6"/>
  </cellStyles>
  <dxfs count="78">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FF8181"/>
      <color rgb="FF00FF00"/>
      <color rgb="FF66FFCC"/>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proyecto%20PAA%20Vr%203%20UAECOB%202024%20-%20BCS%20aprobado%20juridica%20-%20copia.xlsm?FE935E0A" TargetMode="External"/><Relationship Id="rId2" Type="http://schemas.openxmlformats.org/officeDocument/2006/relationships/externalLinkPath" Target="file:///\\FE935E0A\proyecto%20PAA%20Vr%203%20UAECOB%202024%20-%20BCS%20aprobado%20juridica%20-%20copia.xlsm"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proyecto%20PAA%20Vr%204%20UAECOB%202024%20-%20BCS%20trabajo.xlsm?FE935E0A" TargetMode="External"/><Relationship Id="rId2" Type="http://schemas.openxmlformats.org/officeDocument/2006/relationships/externalLinkPath" Target="file:///\\FE935E0A\proyecto%20PAA%20Vr%204%20UAECOB%202024%20-%20BCS%20trabajo.xlsm"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Usuario" refreshedDate="45537.621033217591" createdVersion="8" refreshedVersion="8" minRefreshableVersion="3" recordCount="941">
  <cacheSource type="worksheet">
    <worksheetSource name="PAA" r:id="rId2"/>
  </cacheSource>
  <cacheFields count="28">
    <cacheField name="Id" numFmtId="0">
      <sharedItems containsString="0" containsBlank="1" containsNumber="1" containsInteger="1" minValue="20240037" maxValue="20241256"/>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4487154052"/>
    </cacheField>
    <cacheField name="Fuente de Recursos" numFmtId="0">
      <sharedItems containsBlank="1"/>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165">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5542.901870833331" createdVersion="8" refreshedVersion="8" minRefreshableVersion="3" recordCount="941">
  <cacheSource type="worksheet">
    <worksheetSource name="PAA" r:id="rId2"/>
  </cacheSource>
  <cacheFields count="28">
    <cacheField name="Id" numFmtId="0">
      <sharedItems containsString="0" containsBlank="1" containsNumber="1" containsInteger="1" minValue="20240037" maxValue="20241263"/>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3208404052"/>
    </cacheField>
    <cacheField name="Fuente de Recursos" numFmtId="0">
      <sharedItems containsBlank="1" count="4">
        <s v="1-100-F001 VA-Recursos distrito"/>
        <s v="NA"/>
        <s v="1-601-F001 PAS-Otros distrito"/>
        <m/>
      </sharedItems>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ount="19">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   "/>
        <s v="O23011745992024020708007" u="1"/>
      </sharedItems>
    </cacheField>
    <cacheField name="codigo PEP" numFmtId="0">
      <sharedItems count="18">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 "/>
      </sharedItems>
    </cacheField>
    <cacheField name="POSPRE" numFmtId="165">
      <sharedItems containsBlank="1" count="15">
        <s v="No Aplica"/>
        <s v="O23201010030208 Otra maquinaria para usos especiales y sus partes y piezas"/>
        <s v="O23202020088714199 Servicio de mantenimiento y reparación de vehículos automotores n.c.p."/>
        <s v="O232020200883132 Servicios de soporte en tecnologías de la información (TI)"/>
        <s v="O232020200883990 Otros servicios profesionales, técnicos y empresariales n.c.p."/>
        <s v="O2320202005040554590 Otros servicios especializados de la construcción"/>
        <s v="O2320201003083899997 Artículos n.c.p. para protección"/>
        <s v="O232020200663393 Otros servicios de comidas contratadas"/>
        <s v="O232020200883590 Otros servicios veterinarios"/>
        <s v="O2320201003053543003 Aditivos para gasolina, aceites minerales y combustible en general"/>
        <s v="O232020200885330 Servicios de limpieza general"/>
        <s v="O232020200882199 Otros servicios jurídicos n.c.p."/>
        <s v="O23202020088715999 Servicio de mantenimiento y reparación de otros equipos n.c.p."/>
        <s v="O232020200883159 Otros servicios de alojamiento y suministro de infraestructura en tecnología de la información (TI)"/>
        <m/>
      </sharedItems>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s v="1-100-F001 VA-Recursos distrito"/>
    <s v="04 - contratación mínima cuantía"/>
    <s v="No aplica"/>
    <s v="NA"/>
    <s v="NA"/>
    <s v="NA"/>
    <s v="N/A"/>
    <s v="N/A"/>
    <s v="N/A-N/A"/>
    <s v="N/A"/>
    <s v="N/A"/>
    <s v="N/A_N/A"/>
    <s v="N/A-N/A N/A_N/A"/>
    <s v="NANANAN/AN/A"/>
    <s v="N/A"/>
    <s v="No Aplica"/>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s v="1-100-F001 VA-Recursos distrito"/>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s v="NA"/>
    <s v="02 - selec. abrev. menor cuantía"/>
    <s v="No aplica"/>
    <s v="NA"/>
    <s v="NA"/>
    <s v="NA"/>
    <s v="N/A"/>
    <s v="N/A"/>
    <s v="N/A-N/A"/>
    <s v="N/A"/>
    <s v="N/A"/>
    <s v="N/A_N/A"/>
    <s v="N/A-N/A N/A_N/A"/>
    <s v="NANANAN/AN/A"/>
    <s v="N/A"/>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4487154052"/>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622609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3164416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491501227"/>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n v="80111600"/>
    <n v="8"/>
    <n v="3"/>
    <n v="0"/>
    <n v="20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9"/>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40880"/>
    <x v="1"/>
    <x v="1"/>
    <s v="Norma Cecilia Sanchez Sandino"/>
    <s v="Contratar el suministro de raciones para la atención de emergencias"/>
    <s v="08 - contrato de suministro"/>
    <n v="50192700"/>
    <n v="7"/>
    <n v="1"/>
    <n v="0"/>
    <n v="35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40890"/>
    <x v="1"/>
    <x v="1"/>
    <s v="Norma Cecilia Sanchez Sandino"/>
    <s v="Suministro de aceites y lubricantes para los equipos de propiedad de la UAECOB. – SBLG"/>
    <s v="08 - contrato de suministro"/>
    <n v="15121500"/>
    <n v="7"/>
    <n v="3"/>
    <n v="0"/>
    <n v="8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5"/>
    <x v="2"/>
    <x v="10"/>
    <s v="Monica Perez Barragan"/>
    <s v="Prestar servicios profesionales para apoyar las diferentes actuaciones jurídicas que adelanta la UAECOB"/>
    <s v="25 - contrato de prestacion de servicios profesionales"/>
    <n v="80111600"/>
    <n v="8"/>
    <n v="3"/>
    <n v="20"/>
    <n v="2181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1"/>
    <x v="1"/>
    <x v="4"/>
    <s v="Mauricio Ayala Vasquez"/>
    <s v="Pasivo de la Adquisición de vehículos operativos para la UAECOB."/>
    <s v="10 - licitacion publica"/>
    <s v="25101700;_x000a_25101900;_x000a_92101601;_x000a_92101603;_x000a_92101604"/>
    <n v="12"/>
    <n v="0"/>
    <n v="0"/>
    <n v="211230099"/>
    <s v="1-601-F001 PAS-Otros distrito"/>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s v="1-100-F001 VA-Recursos distrito"/>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1010030208 Otra maquinaria para usos especiales y sus partes y piezas"/>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8"/>
    <x v="1"/>
    <x v="4"/>
    <s v="Mauricio Ayala Vasquez"/>
    <s v="Adquisición de elementos para atención de IEGA para la UAECOB."/>
    <s v="06 - contrato de compraventa"/>
    <n v="27112100"/>
    <n v="8"/>
    <n v="3"/>
    <n v="0"/>
    <n v="125711555"/>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5040554590 Otros servicios especializados de la construcción"/>
    <s v="Si Secop "/>
  </r>
  <r>
    <n v="20241000"/>
    <x v="1"/>
    <x v="11"/>
    <s v="Monica Perez Barragan"/>
    <s v="SGH - Suministro de elementos logísticos  necesarios para el desarrollo de entrenamiento en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86101600;86101700;86101800;86111600;86141500;86121800"/>
    <n v="8"/>
    <n v="6"/>
    <n v="0"/>
    <n v="89445522"/>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2"/>
    <x v="1"/>
    <x v="11"/>
    <s v="Monica Perez Barragan"/>
    <s v="SGH - Mantenimiento preventivo y correctivo del sistema de simuladores para incendios y para materiales peligrosos."/>
    <s v="08 - contrato de suministro"/>
    <s v="46201000;46201002"/>
    <n v="8"/>
    <n v="8"/>
    <n v="0"/>
    <n v="29244392"/>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500"/>
    <n v="8"/>
    <n v="6"/>
    <n v="0"/>
    <n v="300446657"/>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1003053543003 Aditivos para gasolina, aceites minerales y combustible en general"/>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6"/>
    <x v="1"/>
    <x v="11"/>
    <s v="Monica Perez Barragan"/>
    <s v="SGH - Garantizar los recursos para viáticos y tiquetes del personal"/>
    <s v="03 - contrato de prestacion de servicios"/>
    <n v="90121800"/>
    <n v="7"/>
    <n v="6"/>
    <n v="0"/>
    <n v="22326269"/>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7"/>
    <x v="1"/>
    <x v="11"/>
    <s v="Monica Perez Barragan"/>
    <s v="SGH - Garantizar los Recursos para movilización del Personal para emergencias"/>
    <s v="03 - contrato de prestacion de servicios"/>
    <n v="90121800"/>
    <n v="7"/>
    <n v="6"/>
    <n v="0"/>
    <n v="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9"/>
    <x v="1"/>
    <x v="11"/>
    <s v="Monica Perez Barragan"/>
    <s v="SGH - Prestar servicios para soportar las actividades de la dependencia"/>
    <s v="26 - contrato de prestacion de servicios de apoyo a la gestion"/>
    <n v="80111600"/>
    <n v="9"/>
    <n v="5"/>
    <n v="0"/>
    <n v="67632055"/>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s v="1-100-F001 VA-Recursos distrito"/>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041"/>
    <x v="1"/>
    <x v="0"/>
    <s v="Hernando Ibague Rodriguez"/>
    <s v="Pago de pasivos exigibles - Caobos salazar"/>
    <s v="12 - resolucion"/>
    <s v="N/A"/>
    <n v="0"/>
    <n v="0"/>
    <n v="0"/>
    <n v="100198868"/>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s v="1-100-F001 VA-Recursos distrito"/>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5"/>
    <x v="1"/>
    <x v="0"/>
    <s v="Hernando Ibague Rodriguez"/>
    <s v="Pago de pasivos exigibles - INTERVENTORIA  caobos salazar"/>
    <s v="12 - resolucion"/>
    <s v="N/A"/>
    <n v="0"/>
    <n v="0"/>
    <n v="0"/>
    <n v="14385153"/>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5"/>
    <x v="2"/>
    <x v="0"/>
    <s v="Hernando Ibague Rodriguez"/>
    <s v="Prestar los servicios como conductor de la Subdirección de Gestión Corporativa -SGC"/>
    <s v="26 - contrato de prestacion de servicios de apoyo a la gestion"/>
    <s v="80111600;"/>
    <n v="8"/>
    <n v="5"/>
    <n v="0"/>
    <n v="15836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9"/>
    <x v="2"/>
    <x v="0"/>
    <s v="Hernando Ibague Rodriguez"/>
    <s v="Pago pasivo exigible"/>
    <s v="12 - resolucion"/>
    <s v="N/A"/>
    <n v="0"/>
    <n v="0"/>
    <n v="0"/>
    <n v="388045"/>
    <s v="1-601-F001 PAS-Otros distrito"/>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2"/>
    <x v="2"/>
    <x v="0"/>
    <s v="Hernando Ibague Rodriguez"/>
    <s v="Recursos destinados a cubrir el pago a cargo de Pago de pasivos exigibles correspondientes a la Subdirección de Gestión Corporativa "/>
    <s v="12 - resolucion"/>
    <s v="N/A"/>
    <n v="0"/>
    <n v="0"/>
    <n v="0"/>
    <n v="34816349"/>
    <s v="1-601-F001 PAS-Otros distrito"/>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s v="1-100-F001 VA-Recursos distrito"/>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80"/>
    <x v="2"/>
    <x v="0"/>
    <s v="Hernando Ibague Rodriguez"/>
    <s v="Adquisición de mobiliario para la dotación de las estaciónes y sede comando de la UAE Cuerpo Oficial de Bomberos Bogotá- SGC "/>
    <s v="08 - contrato de suministro"/>
    <s v="47131800;"/>
    <n v="8"/>
    <n v="8"/>
    <n v="0"/>
    <n v="80000000"/>
    <s v="1-100-F001 VA-Recursos distrito"/>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s v="1-601-F001 PAS-Otr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s v="1-100-F001 VA-Recursos distrito"/>
    <s v="17 - acuerdo marco de precios"/>
    <s v="No aplica"/>
    <s v="NA"/>
    <s v="NA"/>
    <s v="NA"/>
    <s v="N/A"/>
    <s v="N/A"/>
    <s v="N/A-N/A"/>
    <s v="N/A"/>
    <s v="N/A"/>
    <s v="N/A_N/A"/>
    <s v="N/A-N/A N/A_N/A"/>
    <s v="NANANAN/AN/A"/>
    <s v="N/A"/>
    <s v="No Aplica"/>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s v="No aplica"/>
    <s v="NA"/>
    <s v="NA"/>
    <s v="NA"/>
    <s v="N/A"/>
    <s v="N/A"/>
    <s v="N/A-N/A"/>
    <s v="N/A"/>
    <s v="N/A"/>
    <s v="N/A_N/A"/>
    <s v="N/A-N/A N/A_N/A"/>
    <s v="NANANAN/AN/A"/>
    <s v="N/A"/>
    <s v="No Aplica"/>
    <s v="No Secop"/>
  </r>
  <r>
    <n v="20241107"/>
    <x v="0"/>
    <x v="0"/>
    <s v="Hernando Ibague Rodriguez"/>
    <s v="Adición y prórroga No. 1 al contrato 026 de 2024 que tiene como objeto “Arrendamiento de instalaciones estación Ferias--SGC"/>
    <s v="07 - contrato de arrendamiento"/>
    <s v="80131502;"/>
    <n v="10"/>
    <n v="1"/>
    <n v="0"/>
    <n v="11470000"/>
    <s v="1-100-F001 VA-Recursos distrito"/>
    <s v="09 - contratación directa"/>
    <s v="No aplica"/>
    <s v="NA"/>
    <s v="NA"/>
    <s v="NA"/>
    <s v="N/A"/>
    <s v="N/A"/>
    <s v="N/A-N/A"/>
    <s v="N/A"/>
    <s v="N/A"/>
    <s v="N/A_N/A"/>
    <s v="N/A-N/A N/A_N/A"/>
    <s v="NANANAN/AN/A"/>
    <s v="N/A"/>
    <s v="No Aplica"/>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s v="No aplica"/>
    <s v="NA"/>
    <s v="NA"/>
    <s v="NA"/>
    <s v="N/A"/>
    <s v="N/A"/>
    <s v="N/A-N/A"/>
    <s v="N/A"/>
    <s v="N/A"/>
    <s v="N/A_N/A"/>
    <s v="N/A-N/A N/A_N/A"/>
    <s v="NANANAN/AN/A"/>
    <s v="N/A"/>
    <s v="No Aplica"/>
    <s v="No Secop"/>
  </r>
  <r>
    <n v="20241109"/>
    <x v="0"/>
    <x v="0"/>
    <s v="Hernando Ibague Rodriguez"/>
    <s v="Prestación de servicios profesionales al área Financiera de la Subdirección de Gestión Corporativa--SGC"/>
    <s v="25 - contrato de prestacion de servicios profesionales"/>
    <s v="80111600;"/>
    <n v="8"/>
    <n v="5"/>
    <n v="0"/>
    <n v="21775600"/>
    <s v="1-100-F001 VA-Recursos distrito"/>
    <s v="09 - contratación directa"/>
    <s v="No aplica"/>
    <s v="NA"/>
    <s v="NA"/>
    <s v="NA"/>
    <s v="N/A"/>
    <s v="N/A"/>
    <s v="N/A-N/A"/>
    <s v="N/A"/>
    <s v="N/A"/>
    <s v="N/A_N/A"/>
    <s v="N/A-N/A N/A_N/A"/>
    <s v="NANANAN/AN/A"/>
    <s v="N/A"/>
    <s v="No Aplica"/>
    <s v="Si Secop "/>
  </r>
  <r>
    <n v="20241110"/>
    <x v="0"/>
    <x v="0"/>
    <s v="Hernando Ibague Rodriguez"/>
    <s v="Prestación de servicios profesionales al área Financiera de la Subdirección de Gestión Corporativa--SGC"/>
    <s v="25 - contrato de prestacion de servicios profesionales"/>
    <s v="80111600;"/>
    <n v="8"/>
    <n v="5"/>
    <n v="0"/>
    <n v="25452000"/>
    <s v="1-100-F001 VA-Recursos distrito"/>
    <s v="09 - contratación directa"/>
    <s v="No aplica"/>
    <s v="NA"/>
    <s v="NA"/>
    <s v="NA"/>
    <s v="N/A"/>
    <s v="N/A"/>
    <s v="N/A-N/A"/>
    <s v="N/A"/>
    <s v="N/A"/>
    <s v="N/A_N/A"/>
    <s v="N/A-N/A N/A_N/A"/>
    <s v="NANANAN/AN/A"/>
    <s v="N/A"/>
    <s v="No Aplica"/>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s v="No aplica"/>
    <s v="NA"/>
    <s v="NA"/>
    <s v="NA"/>
    <s v="N/A"/>
    <s v="N/A"/>
    <s v="N/A-N/A"/>
    <s v="N/A"/>
    <s v="N/A"/>
    <s v="N/A_N/A"/>
    <s v="N/A-N/A N/A_N/A"/>
    <s v="NANANAN/AN/A"/>
    <s v="N/A"/>
    <s v="No Aplica"/>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s v="1-100-F001 VA-Recursos distrito"/>
    <s v="09 - contratación directa"/>
    <s v="No aplica"/>
    <s v="NA"/>
    <s v="NA"/>
    <s v="NA"/>
    <s v="N/A"/>
    <s v="N/A"/>
    <s v="N/A-N/A"/>
    <s v="N/A"/>
    <s v="N/A"/>
    <s v="N/A_N/A"/>
    <s v="N/A-N/A N/A_N/A"/>
    <s v="NANANAN/AN/A"/>
    <s v="N/A"/>
    <s v="No Aplica"/>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s v="1-100-F001 VA-Recursos distrito"/>
    <s v="04 - contratación mínima cuantía"/>
    <s v="No aplica"/>
    <s v="NA"/>
    <s v="NA"/>
    <s v="NA"/>
    <s v="N/A"/>
    <s v="N/A"/>
    <s v="N/A-N/A"/>
    <s v="N/A"/>
    <s v="N/A"/>
    <s v="N/A_N/A"/>
    <s v="N/A-N/A N/A_N/A"/>
    <s v="NANANAN/AN/A"/>
    <s v="N/A"/>
    <s v="No Aplica"/>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s v="1-100-F001 VA-Recursos distrito"/>
    <s v="02 - selec. abrev. menor cuantía"/>
    <s v="No aplica"/>
    <s v="NA"/>
    <s v="NA"/>
    <s v="NA"/>
    <s v="N/A"/>
    <s v="N/A"/>
    <s v="N/A-N/A"/>
    <s v="N/A"/>
    <s v="N/A"/>
    <s v="N/A_N/A"/>
    <s v="N/A-N/A N/A_N/A"/>
    <s v="NANANAN/AN/A"/>
    <s v="N/A"/>
    <s v="No Aplica"/>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s v="1-100-F001 VA-Recursos distrito"/>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7"/>
    <x v="2"/>
    <x v="2"/>
    <s v="Paula Ximena Henao Escobar"/>
    <s v="Contratar el servicio para el control de acceso de visitantes del edificio comando de la UAECOB"/>
    <s v="24 - contrato de servicio"/>
    <s v="81111508;81111809;81161501;43231500;43231513"/>
    <n v="9"/>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s v="1-100-F001 VA-Recursos distrito"/>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3"/>
    <x v="2"/>
    <x v="2"/>
    <s v="Paula Ximena Henao Escobar"/>
    <s v="Contratar el servicio de nube publica para la U.A.E Cuerpo Oficial de Bomberos de Bogotá - TIC"/>
    <s v="24 - contrato de servicio"/>
    <n v="81112006"/>
    <n v="10"/>
    <n v="12"/>
    <n v="0"/>
    <n v="0"/>
    <s v="1-100-F001 VA-Recursos distrito"/>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s v="1-100-F001 VA-Recursos distrito"/>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s v="1-100-F001 VA-Recursos distrito"/>
    <s v="03 - selec. abrev. subasta inversa"/>
    <s v="No aplica"/>
    <s v="NA"/>
    <s v="NA"/>
    <s v="NA"/>
    <s v="N/A"/>
    <s v="N/A"/>
    <s v="N/A-N/A"/>
    <s v="N/A"/>
    <s v="N/A"/>
    <s v="N/A_N/A"/>
    <s v="N/A-N/A N/A_N/A"/>
    <s v="NANANAN/AN/A"/>
    <s v="N/A"/>
    <s v="O232020200883132 Servicios de soporte en tecnologías de la información (TI)"/>
    <s v="Si Secop "/>
  </r>
  <r>
    <n v="20241160"/>
    <x v="0"/>
    <x v="2"/>
    <s v="Paula Ximena Henao Escobar"/>
    <s v="Contratar los servicios de canales de datos dedicados para la UAE Cuerpo Oficial de Bomberos de Bogotá-TIC"/>
    <s v="24 - contrato de servicio"/>
    <n v="81112100"/>
    <n v="10"/>
    <n v="5"/>
    <n v="0"/>
    <n v="159500000"/>
    <s v="1-100-F001 VA-Recursos distrito"/>
    <s v="09 - contratación directa"/>
    <s v="No aplica"/>
    <s v="NA"/>
    <s v="NA"/>
    <s v="NA"/>
    <s v="N/A"/>
    <s v="N/A"/>
    <s v="N/A-N/A"/>
    <s v="N/A"/>
    <s v="N/A"/>
    <s v="N/A_N/A"/>
    <s v="N/A-N/A N/A_N/A"/>
    <s v="NANANAN/AN/A"/>
    <s v="N/A"/>
    <s v="O232020200883132 Servicios de soporte en tecnologías de la información (TI)"/>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s v="1-100-F001 VA-Recursos distrito"/>
    <s v="04 - contratación mínima cuantía"/>
    <s v="No aplica"/>
    <s v="NA"/>
    <s v="NA"/>
    <s v="NA"/>
    <s v="N/A"/>
    <s v="N/A"/>
    <s v="N/A-N/A"/>
    <s v="N/A"/>
    <s v="N/A"/>
    <s v="N/A_N/A"/>
    <s v="N/A-N/A N/A_N/A"/>
    <s v="NANANAN/AN/A"/>
    <s v="N/A"/>
    <s v="O232020200883132 Servicios de soporte en tecnologías de la información (TI)"/>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s v="1-100-F001 VA-Recursos distrito"/>
    <s v="17 - acuerdo marco de precios"/>
    <s v="No aplica"/>
    <s v="NA"/>
    <s v="NA"/>
    <s v="NA"/>
    <s v="N/A"/>
    <s v="N/A"/>
    <s v="N/A-N/A"/>
    <s v="N/A"/>
    <s v="N/A"/>
    <s v="N/A_N/A"/>
    <s v="N/A-N/A N/A_N/A"/>
    <s v="NANANAN/AN/A"/>
    <s v="N/A"/>
    <s v="O232020200883132 Servicios de soporte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s v="No aplica"/>
    <s v="NA"/>
    <s v="NA"/>
    <s v="NA"/>
    <s v="N/A"/>
    <s v="N/A"/>
    <s v="N/A-N/A"/>
    <s v="N/A"/>
    <s v="N/A"/>
    <s v="N/A_N/A"/>
    <s v="N/A-N/A N/A_N/A"/>
    <s v="NANANAN/AN/A"/>
    <s v="N/A"/>
    <s v="O232020200883132 Servicios de soporte en tecnologías de la información (TI)"/>
    <s v="Si Secop "/>
  </r>
  <r>
    <n v="20241164"/>
    <x v="0"/>
    <x v="4"/>
    <s v="Mauricio Ayala Vasquez"/>
    <s v="Uniformes de trabajo"/>
    <s v="06 - contrato de compraventa"/>
    <n v="53102710"/>
    <n v="8"/>
    <n v="3"/>
    <n v="0"/>
    <n v="250000000"/>
    <s v="1-100-F001 VA-Recursos distrito"/>
    <s v="03 - selec. abrev. subasta inversa"/>
    <s v="No aplica"/>
    <s v="NA"/>
    <s v="NA"/>
    <s v="NA"/>
    <s v="N/A"/>
    <s v="N/A"/>
    <s v="N/A-N/A"/>
    <s v="N/A"/>
    <s v="N/A"/>
    <s v="N/A_N/A"/>
    <s v="N/A-N/A N/A_N/A"/>
    <s v="NANANAN/AN/A"/>
    <s v="N/A"/>
    <s v="No Aplica"/>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7"/>
    <x v="0"/>
    <x v="11"/>
    <s v="Monica Perez Barragan"/>
    <s v="Incentivos "/>
    <s v="03 - contrato de prestacion de servicios"/>
    <s v="N/A"/>
    <n v="9"/>
    <n v="0"/>
    <n v="0"/>
    <n v="170000000"/>
    <s v="1-100-F001 VA-Recursos distrito"/>
    <s v="91 - n/a acto administrativo (resolución, decreto, acuerdo, etc.)"/>
    <s v="No aplica"/>
    <s v="NA"/>
    <s v="NA"/>
    <s v="NA"/>
    <s v="N/A"/>
    <s v="N/A"/>
    <s v="N/A-N/A"/>
    <s v="N/A"/>
    <s v="N/A"/>
    <s v="N/A_N/A"/>
    <s v="N/A-N/A N/A_N/A"/>
    <s v="NANANAN/AN/A"/>
    <s v="N/A"/>
    <s v="No Aplica"/>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5"/>
    <x v="2"/>
    <x v="0"/>
    <s v="Hernando Ibague Rodriguez"/>
    <s v="Prestación de servicios profesionales al área Financiera de la Subdirección de Gestión Corporativa-SGC"/>
    <s v="25 - contrato de prestacion de servicios profesionales"/>
    <n v="80111600"/>
    <n v="8"/>
    <n v="5"/>
    <n v="0"/>
    <n v="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3"/>
    <x v="1"/>
    <x v="3"/>
    <s v="William Alfonso Tovar Segura"/>
    <s v="Adquirir elementos para el funcionamiento del grupo de apoyo operacional_SGR”"/>
    <s v="06 - contrato de compraventa"/>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6"/>
    <x v="2"/>
    <x v="2"/>
    <s v="Paula Ximena Henao Escobar"/>
    <s v="Contratar la renovación y soporte de licenciamiento del antivirus de la U.A.E. Cuerpo Oficial de Bomberos de Bogotá - TIC"/>
    <s v="24 - contrato de servicio"/>
    <n v="43233205"/>
    <n v="9"/>
    <n v="1"/>
    <n v="0"/>
    <n v="48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3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2"/>
    <x v="1"/>
    <x v="1"/>
    <s v="Norma Cecilia Sanchez Sandino"/>
    <s v="Pago de pasivo exigible contrato 517-22 Ingenieria contra Incendio y Seguridad Industrial Incoldext SAS"/>
    <s v="12 - resolucion"/>
    <s v="N/A"/>
    <n v="0"/>
    <n v="0"/>
    <n v="0"/>
    <n v="11556312"/>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715999 Servicio de mantenimiento y reparación de otros equipos n.c.p."/>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s v="1-100-F001 VA-Recursos distrito"/>
    <s v="04 - contratación mínima cuantía"/>
    <s v="No aplica"/>
    <s v="NA"/>
    <s v="NA"/>
    <s v="NA"/>
    <s v="N/A"/>
    <s v="N/A"/>
    <s v="N/A-N/A"/>
    <s v="N/A"/>
    <s v="N/A"/>
    <s v="N/A_N/A"/>
    <s v="N/A-N/A N/A_N/A"/>
    <s v="NANANAN/AN/A"/>
    <s v="N/A"/>
    <s v="No Aplica"/>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3"/>
    <x v="2"/>
    <x v="0"/>
    <s v="Hernando Ibague Rodriguez"/>
    <s v="Prestar los servicios como conductor de la Subdirección de Gestión Corporativa -SGC"/>
    <s v="26 - contrato de prestacion de servicios de apoyo a la gestion"/>
    <s v="80111600;"/>
    <n v="9"/>
    <n v="4"/>
    <n v="0"/>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07"/>
    <s v="PM/0131/0108/45990160207"/>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6178734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x v="0"/>
    <s v="04 - contratación mínima cuantía"/>
    <s v="No aplica"/>
    <s v="NA"/>
    <s v="NA"/>
    <s v="NA"/>
    <s v="N/A"/>
    <s v="N/A"/>
    <s v="N/A-N/A"/>
    <s v="N/A"/>
    <s v="N/A"/>
    <s v="N/A_N/A"/>
    <s v="N/A-N/A N/A_N/A"/>
    <x v="0"/>
    <x v="0"/>
    <x v="0"/>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s v="No aplica"/>
    <s v="NA"/>
    <s v="NA"/>
    <s v="NA"/>
    <s v="N/A"/>
    <s v="N/A"/>
    <s v="N/A-N/A"/>
    <s v="N/A"/>
    <s v="N/A"/>
    <s v="N/A_N/A"/>
    <s v="N/A-N/A N/A_N/A"/>
    <x v="0"/>
    <x v="0"/>
    <x v="0"/>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3208404052"/>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28575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7"/>
    <x v="2"/>
    <x v="8"/>
    <s v="Paula Ximena Henao Escobar"/>
    <s v="Prestar apoyo en la Dirección, en asuntos de comunicaciones y prensa"/>
    <s v="26 - contrato de prestacion de servicios de apoyo a la gestion"/>
    <n v="80111600"/>
    <n v="9"/>
    <n v="3"/>
    <n v="0"/>
    <n v="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846501227"/>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9"/>
    <x v="1"/>
    <x v="3"/>
    <s v="William Alfonso Tovar Segura"/>
    <s v="Adquisición de insumos y materias primas para la producción de impresos de artes gráficas_ SGR."/>
    <s v="08 - contrato de suministro"/>
    <n v="80111600"/>
    <n v="8"/>
    <n v="3"/>
    <n v="0"/>
    <n v="20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x v="0"/>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9"/>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6"/>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No Secop"/>
  </r>
  <r>
    <n v="20240880"/>
    <x v="1"/>
    <x v="1"/>
    <s v="Norma Cecilia Sanchez Sandino"/>
    <s v="Contratar el suministro de raciones para la atención de emergencias"/>
    <s v="08 - contrato de suministro"/>
    <n v="50192700"/>
    <n v="7"/>
    <n v="1"/>
    <n v="0"/>
    <n v="3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No Secop"/>
  </r>
  <r>
    <n v="20240890"/>
    <x v="1"/>
    <x v="1"/>
    <s v="Norma Cecilia Sanchez Sandino"/>
    <s v="Suministro de aceites y lubricantes para los equipos de propiedad de la UAECOB. – SBLG"/>
    <s v="08 - contrato de suministro"/>
    <n v="15121500"/>
    <n v="7"/>
    <n v="3"/>
    <n v="0"/>
    <n v="8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9"/>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5"/>
    <x v="2"/>
    <x v="10"/>
    <s v="Monica Perez Barragan"/>
    <s v="Prestar servicios profesionales para apoyar las diferentes actuaciones jurídicas que adelanta la UAECOB"/>
    <s v="25 - contrato de prestacion de servicios profesionales"/>
    <n v="80111600"/>
    <n v="8"/>
    <n v="3"/>
    <n v="20"/>
    <n v="218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1"/>
    <x v="1"/>
    <x v="4"/>
    <s v="Mauricio Ayala Vasquez"/>
    <s v="Pasivo de la Adquisición de vehículos operativos para la UAECOB."/>
    <s v="10 - licitacion publica"/>
    <s v="25101700;_x000a_25101900;_x000a_92101601;_x000a_92101603;_x000a_92101604"/>
    <n v="12"/>
    <n v="0"/>
    <n v="0"/>
    <n v="411230099"/>
    <x v="2"/>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1"/>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8"/>
    <x v="1"/>
    <x v="4"/>
    <s v="Mauricio Ayala Vasquez"/>
    <s v="Adquisición de elementos para atención de IEGA para la UAECOB."/>
    <s v="06 - contrato de compraventa"/>
    <n v="27112100"/>
    <n v="8"/>
    <n v="3"/>
    <n v="0"/>
    <n v="125711555"/>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5"/>
    <s v="Si Secop "/>
  </r>
  <r>
    <n v="20241000"/>
    <x v="1"/>
    <x v="11"/>
    <s v="Monica Perez Barragan"/>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2"/>
    <x v="1"/>
    <x v="11"/>
    <s v="Monica Perez Barragan"/>
    <s v="SGH - Mantenimiento preventivo y correctivo del sistema de simuladores para incendios y para materiales peligrosos."/>
    <s v="08 - contrato de suministro"/>
    <s v="46201000;46201002"/>
    <n v="8"/>
    <n v="8"/>
    <n v="0"/>
    <n v="29244392"/>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00446657"/>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9"/>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6"/>
    <x v="1"/>
    <x v="11"/>
    <s v="Monica Perez Barragan"/>
    <s v="SGH - Garantizar los recursos para viáticos y tiquetes del personal"/>
    <s v="03 - contrato de prestacion de servicios"/>
    <n v="90121800"/>
    <n v="7"/>
    <n v="6"/>
    <n v="0"/>
    <n v="2232626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7"/>
    <x v="1"/>
    <x v="11"/>
    <s v="Monica Perez Barragan"/>
    <s v="SGH - Garantizar los Recursos para movilización del Personal para emergencias"/>
    <s v="03 - contrato de prestacion de servicios"/>
    <n v="90121800"/>
    <n v="7"/>
    <n v="6"/>
    <n v="0"/>
    <n v="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9"/>
    <x v="1"/>
    <x v="11"/>
    <s v="Monica Perez Barragan"/>
    <s v="SGH - Prestar servicios para soportar las actividades de la dependencia"/>
    <s v="26 - contrato de prestacion de servicios de apoyo a la gestion"/>
    <n v="80111600"/>
    <n v="9"/>
    <n v="5"/>
    <n v="0"/>
    <n v="27367205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x v="0"/>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No Secop"/>
  </r>
  <r>
    <n v="20241041"/>
    <x v="1"/>
    <x v="0"/>
    <s v="Hernando Ibague Rodriguez"/>
    <s v="Pago de pasivos exigibles - Caobos salazar"/>
    <s v="12 - resolucion"/>
    <s v="N/A"/>
    <n v="0"/>
    <n v="0"/>
    <n v="0"/>
    <n v="100198868"/>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0"/>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5"/>
    <x v="1"/>
    <x v="0"/>
    <s v="Hernando Ibague Rodriguez"/>
    <s v="Pago de pasivos exigibles - INTERVENTORIA  caobos salazar"/>
    <s v="12 - resolucion"/>
    <s v="N/A"/>
    <n v="0"/>
    <n v="0"/>
    <n v="0"/>
    <n v="1438515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5"/>
    <x v="2"/>
    <x v="0"/>
    <s v="Hernando Ibague Rodriguez"/>
    <s v="Prestar los servicios como conductor de la Subdirección de Gestión Corporativa -SGC"/>
    <s v="26 - contrato de prestacion de servicios de apoyo a la gestion"/>
    <s v="80111600;"/>
    <n v="8"/>
    <n v="5"/>
    <n v="0"/>
    <n v="15836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9"/>
    <x v="2"/>
    <x v="0"/>
    <s v="Hernando Ibague Rodriguez"/>
    <s v="Pago pasivo exigible"/>
    <s v="12 - resolucion"/>
    <s v="N/A"/>
    <n v="0"/>
    <n v="0"/>
    <n v="0"/>
    <n v="388045"/>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2"/>
    <x v="2"/>
    <x v="0"/>
    <s v="Hernando Ibague Rodriguez"/>
    <s v="Recursos destinados a cubrir el pago a cargo de Pago de pasivos exigibles correspondientes a la Subdirección de Gestión Corporativa "/>
    <s v="12 - resolucion"/>
    <s v="N/A"/>
    <n v="0"/>
    <n v="0"/>
    <n v="0"/>
    <n v="34816349"/>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80"/>
    <x v="2"/>
    <x v="0"/>
    <s v="Hernando Ibague Rodriguez"/>
    <s v="Adquisición de mobiliario para la dotación de las estaciónes y sede comando de la UAE Cuerpo Oficial de Bomberos Bogotá- SGC "/>
    <s v="08 - contrato de suministro"/>
    <s v="47131800;"/>
    <n v="8"/>
    <n v="8"/>
    <n v="0"/>
    <n v="8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x v="0"/>
    <s v="17 - acuerdo marco de precios"/>
    <s v="No aplica"/>
    <s v="NA"/>
    <s v="NA"/>
    <s v="NA"/>
    <s v="N/A"/>
    <s v="N/A"/>
    <s v="N/A-N/A"/>
    <s v="N/A"/>
    <s v="N/A"/>
    <s v="N/A_N/A"/>
    <s v="N/A-N/A N/A_N/A"/>
    <x v="0"/>
    <x v="0"/>
    <x v="0"/>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s v="No aplica"/>
    <s v="NA"/>
    <s v="NA"/>
    <s v="NA"/>
    <s v="N/A"/>
    <s v="N/A"/>
    <s v="N/A-N/A"/>
    <s v="N/A"/>
    <s v="N/A"/>
    <s v="N/A_N/A"/>
    <s v="N/A-N/A N/A_N/A"/>
    <x v="0"/>
    <x v="0"/>
    <x v="0"/>
    <s v="No Secop"/>
  </r>
  <r>
    <n v="20241107"/>
    <x v="0"/>
    <x v="0"/>
    <s v="Hernando Ibague Rodriguez"/>
    <s v="Adición y prórroga No. 1 al contrato 026 de 2024 que tiene como objeto “Arrendamiento de instalaciones estación Ferias--SGC"/>
    <s v="07 - contrato de arrendamiento"/>
    <s v="80131502;"/>
    <n v="10"/>
    <n v="1"/>
    <n v="0"/>
    <n v="11470000"/>
    <x v="0"/>
    <s v="09 - contratación directa"/>
    <s v="No aplica"/>
    <s v="NA"/>
    <s v="NA"/>
    <s v="NA"/>
    <s v="N/A"/>
    <s v="N/A"/>
    <s v="N/A-N/A"/>
    <s v="N/A"/>
    <s v="N/A"/>
    <s v="N/A_N/A"/>
    <s v="N/A-N/A N/A_N/A"/>
    <x v="0"/>
    <x v="0"/>
    <x v="0"/>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s v="No aplica"/>
    <s v="NA"/>
    <s v="NA"/>
    <s v="NA"/>
    <s v="N/A"/>
    <s v="N/A"/>
    <s v="N/A-N/A"/>
    <s v="N/A"/>
    <s v="N/A"/>
    <s v="N/A_N/A"/>
    <s v="N/A-N/A N/A_N/A"/>
    <x v="0"/>
    <x v="0"/>
    <x v="0"/>
    <s v="No Secop"/>
  </r>
  <r>
    <n v="20241109"/>
    <x v="0"/>
    <x v="0"/>
    <s v="Hernando Ibague Rodriguez"/>
    <s v="Prestación de servicios profesionales al área Financiera de la Subdirección de Gestión Corporativa--SGC"/>
    <s v="25 - contrato de prestacion de servicios profesionales"/>
    <s v="80111600;"/>
    <n v="8"/>
    <n v="5"/>
    <n v="0"/>
    <n v="21775600"/>
    <x v="0"/>
    <s v="09 - contratación directa"/>
    <s v="No aplica"/>
    <s v="NA"/>
    <s v="NA"/>
    <s v="NA"/>
    <s v="N/A"/>
    <s v="N/A"/>
    <s v="N/A-N/A"/>
    <s v="N/A"/>
    <s v="N/A"/>
    <s v="N/A_N/A"/>
    <s v="N/A-N/A N/A_N/A"/>
    <x v="0"/>
    <x v="0"/>
    <x v="0"/>
    <s v="Si Secop "/>
  </r>
  <r>
    <n v="20241110"/>
    <x v="0"/>
    <x v="0"/>
    <s v="Hernando Ibague Rodriguez"/>
    <s v="Prestación de servicios profesionales al área Financiera de la Subdirección de Gestión Corporativa--SGC"/>
    <s v="25 - contrato de prestacion de servicios profesionales"/>
    <s v="80111600;"/>
    <n v="8"/>
    <n v="5"/>
    <n v="0"/>
    <n v="25452000"/>
    <x v="0"/>
    <s v="09 - contratación directa"/>
    <s v="No aplica"/>
    <s v="NA"/>
    <s v="NA"/>
    <s v="NA"/>
    <s v="N/A"/>
    <s v="N/A"/>
    <s v="N/A-N/A"/>
    <s v="N/A"/>
    <s v="N/A"/>
    <s v="N/A_N/A"/>
    <s v="N/A-N/A N/A_N/A"/>
    <x v="0"/>
    <x v="0"/>
    <x v="0"/>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x v="0"/>
    <s v="09 - contratación directa"/>
    <s v="No aplica"/>
    <s v="NA"/>
    <s v="NA"/>
    <s v="NA"/>
    <s v="N/A"/>
    <s v="N/A"/>
    <s v="N/A-N/A"/>
    <s v="N/A"/>
    <s v="N/A"/>
    <s v="N/A_N/A"/>
    <s v="N/A-N/A N/A_N/A"/>
    <x v="0"/>
    <x v="0"/>
    <x v="0"/>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x v="0"/>
    <s v="09 - contratación directa"/>
    <s v="No aplica"/>
    <s v="NA"/>
    <s v="NA"/>
    <s v="NA"/>
    <s v="N/A"/>
    <s v="N/A"/>
    <s v="N/A-N/A"/>
    <s v="N/A"/>
    <s v="N/A"/>
    <s v="N/A_N/A"/>
    <s v="N/A-N/A N/A_N/A"/>
    <x v="0"/>
    <x v="0"/>
    <x v="0"/>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x v="0"/>
    <s v="04 - contratación mínima cuantía"/>
    <s v="No aplica"/>
    <s v="NA"/>
    <s v="NA"/>
    <s v="NA"/>
    <s v="N/A"/>
    <s v="N/A"/>
    <s v="N/A-N/A"/>
    <s v="N/A"/>
    <s v="N/A"/>
    <s v="N/A_N/A"/>
    <s v="N/A-N/A N/A_N/A"/>
    <x v="0"/>
    <x v="0"/>
    <x v="0"/>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x v="0"/>
    <s v="02 - selec. abrev. menor cuantía"/>
    <s v="No aplica"/>
    <s v="NA"/>
    <s v="NA"/>
    <s v="NA"/>
    <s v="N/A"/>
    <s v="N/A"/>
    <s v="N/A-N/A"/>
    <s v="N/A"/>
    <s v="N/A"/>
    <s v="N/A_N/A"/>
    <s v="N/A-N/A N/A_N/A"/>
    <x v="0"/>
    <x v="0"/>
    <x v="0"/>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x v="0"/>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7"/>
    <x v="2"/>
    <x v="2"/>
    <s v="Paula Ximena Henao Escobar"/>
    <s v="Contratar el servicio para el control de acceso de visitantes del edificio comando de la UAECOB"/>
    <s v="24 - contrato de servicio"/>
    <s v="81111508;81111809;81161501;43231500;43231513"/>
    <n v="9"/>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3"/>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3"/>
    <x v="2"/>
    <x v="2"/>
    <s v="Paula Ximena Henao Escobar"/>
    <s v="Contratar el servicio de nube publica para la U.A.E Cuerpo Oficial de Bomberos de Bogotá - TIC"/>
    <s v="24 - contrato de servicio"/>
    <n v="81112006"/>
    <n v="10"/>
    <n v="12"/>
    <n v="0"/>
    <n v="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x v="0"/>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s v="No aplica"/>
    <s v="NA"/>
    <s v="NA"/>
    <s v="NA"/>
    <s v="N/A"/>
    <s v="N/A"/>
    <s v="N/A-N/A"/>
    <s v="N/A"/>
    <s v="N/A"/>
    <s v="N/A_N/A"/>
    <s v="N/A-N/A N/A_N/A"/>
    <x v="0"/>
    <x v="0"/>
    <x v="3"/>
    <s v="Si Secop "/>
  </r>
  <r>
    <n v="20241160"/>
    <x v="0"/>
    <x v="2"/>
    <s v="Paula Ximena Henao Escobar"/>
    <s v="Contratar los servicios de canales de datos dedicados para la UAE Cuerpo Oficial de Bomberos de Bogotá-TIC"/>
    <s v="24 - contrato de servicio"/>
    <n v="81112100"/>
    <n v="10"/>
    <n v="5"/>
    <n v="0"/>
    <n v="159500000"/>
    <x v="0"/>
    <s v="09 - contratación directa"/>
    <s v="No aplica"/>
    <s v="NA"/>
    <s v="NA"/>
    <s v="NA"/>
    <s v="N/A"/>
    <s v="N/A"/>
    <s v="N/A-N/A"/>
    <s v="N/A"/>
    <s v="N/A"/>
    <s v="N/A_N/A"/>
    <s v="N/A-N/A N/A_N/A"/>
    <x v="0"/>
    <x v="0"/>
    <x v="3"/>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x v="0"/>
    <s v="04 - contratación mínima cuantía"/>
    <s v="No aplica"/>
    <s v="NA"/>
    <s v="NA"/>
    <s v="NA"/>
    <s v="N/A"/>
    <s v="N/A"/>
    <s v="N/A-N/A"/>
    <s v="N/A"/>
    <s v="N/A"/>
    <s v="N/A_N/A"/>
    <s v="N/A-N/A N/A_N/A"/>
    <x v="0"/>
    <x v="0"/>
    <x v="3"/>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s v="No aplica"/>
    <s v="NA"/>
    <s v="NA"/>
    <s v="NA"/>
    <s v="N/A"/>
    <s v="N/A"/>
    <s v="N/A-N/A"/>
    <s v="N/A"/>
    <s v="N/A"/>
    <s v="N/A_N/A"/>
    <s v="N/A-N/A N/A_N/A"/>
    <x v="0"/>
    <x v="0"/>
    <x v="3"/>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s v="No aplica"/>
    <s v="NA"/>
    <s v="NA"/>
    <s v="NA"/>
    <s v="N/A"/>
    <s v="N/A"/>
    <s v="N/A-N/A"/>
    <s v="N/A"/>
    <s v="N/A"/>
    <s v="N/A_N/A"/>
    <s v="N/A-N/A N/A_N/A"/>
    <x v="0"/>
    <x v="0"/>
    <x v="3"/>
    <s v="Si Secop "/>
  </r>
  <r>
    <n v="20241164"/>
    <x v="0"/>
    <x v="4"/>
    <s v="Mauricio Ayala Vasquez"/>
    <s v="Uniformes de trabajo"/>
    <s v="06 - contrato de compraventa"/>
    <n v="53102710"/>
    <n v="8"/>
    <n v="3"/>
    <n v="0"/>
    <n v="250000000"/>
    <x v="0"/>
    <s v="03 - selec. abrev. subasta inversa"/>
    <s v="No aplica"/>
    <s v="NA"/>
    <s v="NA"/>
    <s v="NA"/>
    <s v="N/A"/>
    <s v="N/A"/>
    <s v="N/A-N/A"/>
    <s v="N/A"/>
    <s v="N/A"/>
    <s v="N/A_N/A"/>
    <s v="N/A-N/A N/A_N/A"/>
    <x v="0"/>
    <x v="0"/>
    <x v="0"/>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x v="0"/>
    <s v="02 - selec. abrev. menor cuantía"/>
    <s v="No aplica"/>
    <s v="NA"/>
    <s v="NA"/>
    <s v="NA"/>
    <s v="N/A"/>
    <s v="N/A"/>
    <s v="N/A-N/A"/>
    <s v="N/A"/>
    <s v="N/A"/>
    <s v="N/A_N/A"/>
    <s v="N/A-N/A N/A_N/A"/>
    <x v="0"/>
    <x v="0"/>
    <x v="4"/>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x v="0"/>
    <s v="04 - contratación mínima cuantía"/>
    <s v="No aplica"/>
    <s v="NA"/>
    <s v="NA"/>
    <s v="NA"/>
    <s v="N/A"/>
    <s v="N/A"/>
    <s v="N/A-N/A"/>
    <s v="N/A"/>
    <s v="N/A"/>
    <s v="N/A_N/A"/>
    <s v="N/A-N/A N/A_N/A"/>
    <x v="0"/>
    <x v="0"/>
    <x v="4"/>
    <s v="Si Secop "/>
  </r>
  <r>
    <n v="20241167"/>
    <x v="0"/>
    <x v="11"/>
    <s v="Monica Perez Barragan"/>
    <s v="Incentivos "/>
    <s v="03 - contrato de prestacion de servicios"/>
    <s v="N/A"/>
    <n v="9"/>
    <n v="0"/>
    <n v="0"/>
    <n v="170000000"/>
    <x v="0"/>
    <s v="91 - n/a acto administrativo (resolución, decreto, acuerdo, etc.)"/>
    <s v="No aplica"/>
    <s v="NA"/>
    <s v="NA"/>
    <s v="NA"/>
    <s v="N/A"/>
    <s v="N/A"/>
    <s v="N/A-N/A"/>
    <s v="N/A"/>
    <s v="N/A"/>
    <s v="N/A_N/A"/>
    <s v="N/A-N/A N/A_N/A"/>
    <x v="0"/>
    <x v="0"/>
    <x v="0"/>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x v="0"/>
    <s v="04 - contratación mínima cuantía"/>
    <s v="No aplica"/>
    <s v="NA"/>
    <s v="NA"/>
    <s v="NA"/>
    <s v="N/A"/>
    <s v="N/A"/>
    <s v="N/A-N/A"/>
    <s v="N/A"/>
    <s v="N/A"/>
    <s v="N/A_N/A"/>
    <s v="N/A-N/A N/A_N/A"/>
    <x v="0"/>
    <x v="0"/>
    <x v="4"/>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53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5"/>
    <x v="2"/>
    <x v="0"/>
    <s v="Hernando Ibague Rodriguez"/>
    <s v="Prestación de servicios profesionales al área Financiera de la Subdirección de Gestión Corporativa-SGC"/>
    <s v="25 - contrato de prestacion de servicios profesionales"/>
    <n v="80111600"/>
    <n v="8"/>
    <n v="5"/>
    <n v="0"/>
    <n v="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3"/>
    <x v="1"/>
    <x v="3"/>
    <s v="William Alfonso Tovar Segura"/>
    <s v="Adquirir elementos para el funcionamiento del grupo de apoyo operacional_SGR”"/>
    <s v="06 - contrato de compraventa"/>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6"/>
    <x v="2"/>
    <x v="2"/>
    <s v="Paula Ximena Henao Escobar"/>
    <s v="Contratar la renovación y soporte de licenciamiento del antivirus de la U.A.E. Cuerpo Oficial de Bomberos de Bogotá - TIC"/>
    <s v="24 - contrato de servicio"/>
    <n v="43233205"/>
    <n v="9"/>
    <n v="1"/>
    <n v="0"/>
    <n v="48000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7"/>
    <x v="1"/>
    <x v="3"/>
    <s v="William Alfonso Tovar Segura"/>
    <s v="Prestar servicios profesionales para el seguimiento de los proyectos de inversión de la UAECOB. _SGR "/>
    <s v="25 - contrato de prestacion de servicios profesionales"/>
    <n v="80111600"/>
    <n v="9"/>
    <n v="4"/>
    <n v="0"/>
    <n v="3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5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2"/>
    <x v="1"/>
    <x v="1"/>
    <s v="Norma Cecilia Sanchez Sandino"/>
    <s v="Pago de pasivo exigible contrato 517-22 Ingenieria contra Incendio y Seguridad Industrial Incoldext SAS"/>
    <s v="12 - resolucion"/>
    <s v="N/A"/>
    <n v="0"/>
    <n v="0"/>
    <n v="0"/>
    <n v="11556312"/>
    <x v="2"/>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2"/>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s v="No aplica"/>
    <s v="NA"/>
    <s v="NA"/>
    <s v="NA"/>
    <s v="N/A"/>
    <s v="N/A"/>
    <s v="N/A-N/A"/>
    <s v="N/A"/>
    <s v="N/A"/>
    <s v="N/A_N/A"/>
    <s v="N/A-N/A N/A_N/A"/>
    <x v="0"/>
    <x v="0"/>
    <x v="0"/>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3"/>
    <x v="2"/>
    <x v="0"/>
    <s v="Hernando Ibague Rodriguez"/>
    <s v="Prestar los servicios como conductor de la Subdirección de Gestión Corporativa -SGC"/>
    <s v="26 - contrato de prestacion de servicios de apoyo a la gestion"/>
    <s v="80111600;"/>
    <n v="9"/>
    <n v="4"/>
    <n v="0"/>
    <n v="12669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56"/>
    <x v="2"/>
    <x v="9"/>
    <s v="Manuel Eduardo Castillo Guzman"/>
    <s v="Adición y prorroga Implementación del modelo integrado de planeación y gestión"/>
    <s v="25 - contrato de prestacion de servicios profesionales"/>
    <n v="80111600"/>
    <n v="9"/>
    <n v="4"/>
    <n v="0"/>
    <n v="4178734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30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1259"/>
    <x v="1"/>
    <x v="0"/>
    <s v="Hernando Ibague Rodrigu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5" firstHeaderRow="1" firstDataRow="1" firstDataCol="1" rowPageCount="1" colPageCount="1"/>
  <pivotFields count="28">
    <pivotField showAll="0"/>
    <pivotField axis="axisPage" outline="0" multipleItemSelectionAllowed="1" showAll="0" defaultSubtotal="0">
      <items count="5">
        <item h="1" x="0"/>
        <item x="2"/>
        <item h="1" x="1"/>
        <item h="1" x="3"/>
        <item h="1" x="4"/>
      </items>
      <extLst>
        <ext xmlns:x14="http://schemas.microsoft.com/office/spreadsheetml/2009/9/main" uri="{2946ED86-A175-432a-8AC1-64E0C546D7DE}">
          <x14:pivotField fillDownLabels="1"/>
        </ext>
      </extLst>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multipleItemSelectionAllowed="1"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12">
    <i>
      <x/>
    </i>
    <i>
      <x v="1"/>
    </i>
    <i>
      <x v="2"/>
    </i>
    <i>
      <x v="3"/>
    </i>
    <i>
      <x v="4"/>
    </i>
    <i>
      <x v="5"/>
    </i>
    <i>
      <x v="6"/>
    </i>
    <i>
      <x v="7"/>
    </i>
    <i>
      <x v="8"/>
    </i>
    <i>
      <x v="9"/>
    </i>
    <i>
      <x v="12"/>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0" firstHeaderRow="1" firstDataRow="1" firstDataCol="1" rowPageCount="1" colPageCount="1"/>
  <pivotFields count="28">
    <pivotField showAll="0"/>
    <pivotField axis="axisPage" multipleItemSelectionAllowed="1" showAll="0">
      <items count="6">
        <item h="1" x="0"/>
        <item h="1" x="2"/>
        <item x="1"/>
        <item h="1" x="3"/>
        <item h="1" x="4"/>
        <item t="default"/>
      </items>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items count="4">
        <item x="0"/>
        <item x="2"/>
        <item x="1"/>
        <item x="3"/>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19">
        <item x="17"/>
        <item x="0"/>
        <item x="13"/>
        <item x="10"/>
        <item x="3"/>
        <item x="9"/>
        <item x="15"/>
        <item x="5"/>
        <item x="16"/>
        <item x="1"/>
        <item x="4"/>
        <item x="8"/>
        <item x="14"/>
        <item m="1" x="18"/>
        <item x="6"/>
        <item x="2"/>
        <item x="7"/>
        <item x="12"/>
        <item x="11"/>
      </items>
      <extLst>
        <ext xmlns:x14="http://schemas.microsoft.com/office/spreadsheetml/2009/9/main" uri="{2946ED86-A175-432a-8AC1-64E0C546D7DE}">
          <x14:pivotField fillDownLabels="1"/>
        </ext>
      </extLst>
    </pivotField>
    <pivotField showAll="0">
      <items count="19">
        <item x="17"/>
        <item x="0"/>
        <item x="13"/>
        <item x="10"/>
        <item x="3"/>
        <item x="9"/>
        <item x="15"/>
        <item x="5"/>
        <item x="16"/>
        <item x="6"/>
        <item x="1"/>
        <item x="4"/>
        <item x="8"/>
        <item x="2"/>
        <item x="14"/>
        <item x="7"/>
        <item x="12"/>
        <item x="11"/>
        <item t="default"/>
      </items>
    </pivotField>
    <pivotField outline="0" showAll="0" defaultSubtotal="0">
      <items count="15">
        <item x="0"/>
        <item x="1"/>
        <item x="9"/>
        <item x="6"/>
        <item x="5"/>
        <item x="7"/>
        <item x="11"/>
        <item x="3"/>
        <item x="13"/>
        <item x="8"/>
        <item x="4"/>
        <item x="10"/>
        <item x="2"/>
        <item x="12"/>
        <item x="14"/>
      </items>
      <extLst>
        <ext xmlns:x14="http://schemas.microsoft.com/office/spreadsheetml/2009/9/main" uri="{2946ED86-A175-432a-8AC1-64E0C546D7DE}">
          <x14:pivotField fillDownLabels="1"/>
        </ext>
      </extLst>
    </pivotField>
    <pivotField showAll="0"/>
  </pivotFields>
  <rowFields count="1">
    <field x="2"/>
  </rowFields>
  <rowItems count="7">
    <i>
      <x v="8"/>
    </i>
    <i>
      <x v="9"/>
    </i>
    <i>
      <x v="10"/>
    </i>
    <i>
      <x v="11"/>
    </i>
    <i>
      <x v="12"/>
    </i>
    <i>
      <x v="13"/>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PAA" displayName="PAA" ref="B10:AC951" totalsRowShown="0" dataDxfId="31" headerRowBorderDxfId="32" tableBorderDxfId="30" totalsRowBorderDxfId="29">
  <autoFilter ref="B10:AC951"/>
  <sortState ref="B11:AC951">
    <sortCondition sortBy="cellColor" ref="B10:B951" dxfId="28"/>
  </sortState>
  <tableColumns count="28">
    <tableColumn id="1" name="Id" dataDxfId="27" dataCellStyle="Millares"/>
    <tableColumn id="2" name="Proyecto y nombre " dataDxfId="26" dataCellStyle="Millares"/>
    <tableColumn id="3" name="Dependencia " dataDxfId="25"/>
    <tableColumn id="4" name="Responsable" dataDxfId="24" dataCellStyle="Normal 2"/>
    <tableColumn id="5" name="Objeto" dataDxfId="23"/>
    <tableColumn id="6" name="Tipo de Contratación" dataDxfId="22"/>
    <tableColumn id="7" name="Código UNSPSC (cada código separado por ;)" dataDxfId="21" dataCellStyle="Moneda"/>
    <tableColumn id="8" name="Mes inicio de ejecución" dataDxfId="20"/>
    <tableColumn id="9" name="plazo ejec Meses" dataDxfId="19"/>
    <tableColumn id="10" name="mas plazo ejec Días (si aplica)" dataDxfId="18" dataCellStyle="Millares"/>
    <tableColumn id="11" name="Valor Programado" dataDxfId="17" dataCellStyle="Millares"/>
    <tableColumn id="12" name="Fuente de Recursos" dataDxfId="16"/>
    <tableColumn id="13" name="Modalidad de Selección" dataDxfId="15" dataCellStyle="Millares"/>
    <tableColumn id="14" name="Meta Proyecto de Inversión" dataDxfId="14" dataCellStyle="Normal 2"/>
    <tableColumn id="15" name="Bogotá camina segura" dataDxfId="13" dataCellStyle="Normal 2">
      <calculatedColumnFormula>IFERROR(VLOOKUP(C11,TD!$B$32:$F$36,2,0)," ")</calculatedColumnFormula>
    </tableColumn>
    <tableColumn id="16" name="Sector_Programa MGA" dataDxfId="12" dataCellStyle="Normal 2">
      <calculatedColumnFormula>IFERROR(VLOOKUP(C11,TD!$B$32:$F$36,3,0)," ")</calculatedColumnFormula>
    </tableColumn>
    <tableColumn id="17" name="BPIN (AÑO+COD_PROYECTO)" dataDxfId="11" dataCellStyle="Normal 2">
      <calculatedColumnFormula>IFERROR(VLOOKUP(C11,TD!$B$32:$F$36,4,0)," ")</calculatedColumnFormula>
    </tableColumn>
    <tableColumn id="18" name="Producto PMR" dataDxfId="10" dataCellStyle="Normal 2"/>
    <tableColumn id="19" name="Descripción Producto PMR" dataDxfId="9" dataCellStyle="Normal 2"/>
    <tableColumn id="20" name="PMR conca" dataDxfId="8" dataCellStyle="Normal 2">
      <calculatedColumnFormula>CONCATENATE(S11,"-",T11)</calculatedColumnFormula>
    </tableColumn>
    <tableColumn id="21" name="Producto MGA" dataDxfId="7" dataCellStyle="Normal 2"/>
    <tableColumn id="22" name="Descripción Producto MGA" dataDxfId="6" dataCellStyle="Normal 2"/>
    <tableColumn id="23" name="concatenarMGA" dataDxfId="5" dataCellStyle="Normal 2">
      <calculatedColumnFormula>CONCATENATE(V11,"_",W11)</calculatedColumnFormula>
    </tableColumn>
    <tableColumn id="24" name="PM MGA conca" dataDxfId="4" dataCellStyle="Normal 2">
      <calculatedColumnFormula>CONCATENATE(U11," ",X11)</calculatedColumnFormula>
    </tableColumn>
    <tableColumn id="25" name="Código de proyecto de inversión, asociado a productos PMR y MGA" dataDxfId="3" dataCellStyle="Normal 2">
      <calculatedColumnFormula>CONCATENATE(P11,Q11,R11,S11,V11)</calculatedColumnFormula>
    </tableColumn>
    <tableColumn id="26" name="codigo PEP" dataDxfId="2" dataCellStyle="Normal 2">
      <calculatedColumnFormula>IFERROR(VLOOKUP(Y11,TD!$K$46:$L$64,2,0)," ")</calculatedColumnFormula>
    </tableColumn>
    <tableColumn id="27" name="POSPRE" dataDxfId="1" dataCellStyle="Millares"/>
    <tableColumn id="28" name="Si Secop / No Secop" dataDxfId="0"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workbookViewId="0">
      <selection activeCell="A3" sqref="A3:B15"/>
    </sheetView>
  </sheetViews>
  <sheetFormatPr baseColWidth="10" defaultRowHeight="15"/>
  <cols>
    <col min="1" max="1" width="33.42578125" bestFit="1" customWidth="1"/>
    <col min="2" max="2" width="27.5703125" style="126" customWidth="1"/>
    <col min="3" max="4" width="26.5703125" style="126" customWidth="1"/>
    <col min="5" max="5" width="17.42578125" style="126" bestFit="1" customWidth="1"/>
  </cols>
  <sheetData>
    <row r="1" spans="1:5">
      <c r="A1" s="125" t="s">
        <v>297</v>
      </c>
      <c r="B1" s="126" t="s">
        <v>209</v>
      </c>
    </row>
    <row r="3" spans="1:5">
      <c r="A3" s="125" t="s">
        <v>801</v>
      </c>
      <c r="B3" s="126" t="s">
        <v>803</v>
      </c>
      <c r="C3"/>
      <c r="D3"/>
      <c r="E3"/>
    </row>
    <row r="4" spans="1:5">
      <c r="A4" t="s">
        <v>46</v>
      </c>
      <c r="B4" s="126">
        <v>246035960</v>
      </c>
      <c r="C4"/>
      <c r="D4"/>
      <c r="E4"/>
    </row>
    <row r="5" spans="1:5">
      <c r="A5" t="s">
        <v>162</v>
      </c>
      <c r="B5" s="126">
        <v>415705960</v>
      </c>
      <c r="C5"/>
      <c r="D5"/>
      <c r="E5"/>
    </row>
    <row r="6" spans="1:5">
      <c r="A6" t="s">
        <v>163</v>
      </c>
      <c r="B6" s="126">
        <v>1205499392</v>
      </c>
      <c r="C6"/>
      <c r="D6"/>
      <c r="E6"/>
    </row>
    <row r="7" spans="1:5">
      <c r="A7" t="s">
        <v>789</v>
      </c>
      <c r="B7" s="126">
        <v>208000000</v>
      </c>
      <c r="C7"/>
      <c r="D7"/>
      <c r="E7"/>
    </row>
    <row r="8" spans="1:5">
      <c r="A8" t="s">
        <v>37</v>
      </c>
      <c r="B8" s="126">
        <v>599418440</v>
      </c>
      <c r="C8"/>
      <c r="D8"/>
      <c r="E8"/>
    </row>
    <row r="9" spans="1:5">
      <c r="A9" t="s">
        <v>47</v>
      </c>
      <c r="B9" s="126">
        <v>206558000</v>
      </c>
      <c r="C9"/>
      <c r="D9"/>
      <c r="E9"/>
    </row>
    <row r="10" spans="1:5">
      <c r="A10" t="s">
        <v>164</v>
      </c>
      <c r="B10" s="126">
        <v>171068294</v>
      </c>
      <c r="C10"/>
      <c r="D10"/>
      <c r="E10"/>
    </row>
    <row r="11" spans="1:5">
      <c r="A11" t="s">
        <v>165</v>
      </c>
      <c r="B11" s="126">
        <v>435111788</v>
      </c>
      <c r="C11"/>
      <c r="D11"/>
      <c r="E11"/>
    </row>
    <row r="12" spans="1:5">
      <c r="A12" t="s">
        <v>167</v>
      </c>
      <c r="B12" s="126">
        <v>1488472224</v>
      </c>
      <c r="C12"/>
      <c r="D12"/>
      <c r="E12"/>
    </row>
    <row r="13" spans="1:5">
      <c r="A13" t="s">
        <v>166</v>
      </c>
      <c r="B13" s="126">
        <v>100000000</v>
      </c>
      <c r="C13"/>
      <c r="D13"/>
      <c r="E13"/>
    </row>
    <row r="14" spans="1:5">
      <c r="A14" t="s">
        <v>169</v>
      </c>
      <c r="B14" s="126">
        <v>162000000</v>
      </c>
      <c r="C14"/>
      <c r="D14"/>
      <c r="E14"/>
    </row>
    <row r="15" spans="1:5">
      <c r="A15" t="s">
        <v>802</v>
      </c>
      <c r="B15" s="126">
        <v>5237870058</v>
      </c>
      <c r="C15"/>
      <c r="D15"/>
      <c r="E15"/>
    </row>
    <row r="16" spans="1:5">
      <c r="C16"/>
      <c r="D16"/>
      <c r="E16"/>
    </row>
    <row r="17" spans="3:5">
      <c r="C17"/>
      <c r="D17"/>
      <c r="E17"/>
    </row>
    <row r="18" spans="3:5">
      <c r="C18"/>
      <c r="D18"/>
      <c r="E18"/>
    </row>
    <row r="19" spans="3:5">
      <c r="C19"/>
      <c r="D19"/>
      <c r="E19"/>
    </row>
    <row r="20" spans="3:5">
      <c r="C20"/>
      <c r="D20"/>
      <c r="E20"/>
    </row>
    <row r="21" spans="3:5">
      <c r="C21"/>
      <c r="D21"/>
      <c r="E21"/>
    </row>
    <row r="22" spans="3:5">
      <c r="C22"/>
      <c r="D22"/>
      <c r="E22"/>
    </row>
    <row r="23" spans="3:5">
      <c r="C23"/>
      <c r="D23"/>
      <c r="E23"/>
    </row>
    <row r="24" spans="3:5">
      <c r="C24"/>
      <c r="D24"/>
      <c r="E24"/>
    </row>
    <row r="25" spans="3:5">
      <c r="C25"/>
      <c r="D25"/>
      <c r="E25"/>
    </row>
    <row r="26" spans="3:5">
      <c r="C26"/>
      <c r="D26"/>
      <c r="E26"/>
    </row>
    <row r="27" spans="3:5">
      <c r="C27"/>
      <c r="D27"/>
      <c r="E27"/>
    </row>
    <row r="28" spans="3:5">
      <c r="D28"/>
      <c r="E28"/>
    </row>
    <row r="29" spans="3:5">
      <c r="D29"/>
      <c r="E29"/>
    </row>
    <row r="30" spans="3:5">
      <c r="D30"/>
      <c r="E30"/>
    </row>
    <row r="31" spans="3:5">
      <c r="D31"/>
      <c r="E31"/>
    </row>
    <row r="32" spans="3:5">
      <c r="D32"/>
      <c r="E32"/>
    </row>
    <row r="33" spans="4:5">
      <c r="D33"/>
      <c r="E33"/>
    </row>
    <row r="34" spans="4:5">
      <c r="D34"/>
      <c r="E34"/>
    </row>
    <row r="35" spans="4:5">
      <c r="D35"/>
      <c r="E35"/>
    </row>
    <row r="36" spans="4:5">
      <c r="D36"/>
      <c r="E36"/>
    </row>
    <row r="37" spans="4:5">
      <c r="D37"/>
      <c r="E37"/>
    </row>
    <row r="38" spans="4:5">
      <c r="D38"/>
      <c r="E38"/>
    </row>
    <row r="39" spans="4:5">
      <c r="D39"/>
      <c r="E39"/>
    </row>
    <row r="40" spans="4:5">
      <c r="D40"/>
      <c r="E40"/>
    </row>
    <row r="41" spans="4:5">
      <c r="D41"/>
      <c r="E41"/>
    </row>
    <row r="42" spans="4:5">
      <c r="D42"/>
      <c r="E42"/>
    </row>
    <row r="43" spans="4:5">
      <c r="D43"/>
      <c r="E43"/>
    </row>
    <row r="44" spans="4:5">
      <c r="D44"/>
      <c r="E44"/>
    </row>
    <row r="45" spans="4:5">
      <c r="D45"/>
      <c r="E45"/>
    </row>
    <row r="46" spans="4:5">
      <c r="D46"/>
      <c r="E46"/>
    </row>
    <row r="47" spans="4:5">
      <c r="D47"/>
      <c r="E47"/>
    </row>
    <row r="48" spans="4:5">
      <c r="D48"/>
      <c r="E48"/>
    </row>
    <row r="49" spans="4:5">
      <c r="D49"/>
      <c r="E49"/>
    </row>
    <row r="50" spans="4:5">
      <c r="D50"/>
      <c r="E50"/>
    </row>
    <row r="51" spans="4:5">
      <c r="D51"/>
      <c r="E51"/>
    </row>
    <row r="52" spans="4:5">
      <c r="D52"/>
      <c r="E52"/>
    </row>
    <row r="53" spans="4:5">
      <c r="D53"/>
      <c r="E53"/>
    </row>
    <row r="54" spans="4:5">
      <c r="D54"/>
      <c r="E54"/>
    </row>
    <row r="55" spans="4:5">
      <c r="D55"/>
      <c r="E55"/>
    </row>
    <row r="56" spans="4:5">
      <c r="D56"/>
      <c r="E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B5" sqref="B5:B6"/>
    </sheetView>
  </sheetViews>
  <sheetFormatPr baseColWidth="10" defaultColWidth="28.5703125" defaultRowHeight="15"/>
  <cols>
    <col min="2" max="3" width="28.5703125" style="126"/>
    <col min="6" max="6" width="28.5703125" style="126"/>
  </cols>
  <sheetData>
    <row r="1" spans="1:6">
      <c r="A1" s="125" t="s">
        <v>297</v>
      </c>
      <c r="B1" t="s">
        <v>210</v>
      </c>
    </row>
    <row r="3" spans="1:6">
      <c r="A3" s="140" t="s">
        <v>801</v>
      </c>
      <c r="B3" s="126" t="s">
        <v>803</v>
      </c>
      <c r="C3"/>
      <c r="F3"/>
    </row>
    <row r="4" spans="1:6">
      <c r="A4" s="126" t="s">
        <v>167</v>
      </c>
      <c r="B4" s="126">
        <v>1128039187</v>
      </c>
      <c r="C4"/>
      <c r="F4"/>
    </row>
    <row r="5" spans="1:6">
      <c r="A5" s="126" t="s">
        <v>166</v>
      </c>
      <c r="B5" s="126">
        <v>1690171895</v>
      </c>
      <c r="C5"/>
      <c r="F5"/>
    </row>
    <row r="6" spans="1:6">
      <c r="A6" s="126" t="s">
        <v>790</v>
      </c>
      <c r="B6" s="126">
        <v>1545072622</v>
      </c>
      <c r="C6"/>
      <c r="F6"/>
    </row>
    <row r="7" spans="1:6">
      <c r="A7" s="126" t="s">
        <v>168</v>
      </c>
      <c r="B7" s="126">
        <v>1939805079</v>
      </c>
      <c r="C7"/>
      <c r="F7"/>
    </row>
    <row r="8" spans="1:6">
      <c r="A8" s="126" t="s">
        <v>169</v>
      </c>
      <c r="B8" s="126">
        <v>5641405909</v>
      </c>
      <c r="C8"/>
      <c r="F8"/>
    </row>
    <row r="9" spans="1:6">
      <c r="A9" s="126" t="s">
        <v>170</v>
      </c>
      <c r="B9" s="126">
        <v>6325050267</v>
      </c>
      <c r="C9"/>
      <c r="F9"/>
    </row>
    <row r="10" spans="1:6">
      <c r="A10" s="126" t="s">
        <v>802</v>
      </c>
      <c r="B10" s="126">
        <v>18269544959</v>
      </c>
      <c r="C10"/>
      <c r="F10"/>
    </row>
    <row r="11" spans="1:6">
      <c r="A11" s="126"/>
      <c r="C11"/>
      <c r="F11"/>
    </row>
    <row r="12" spans="1:6">
      <c r="A12" s="126"/>
      <c r="C12"/>
      <c r="F12"/>
    </row>
    <row r="13" spans="1:6">
      <c r="A13" s="126"/>
      <c r="C13"/>
      <c r="F13"/>
    </row>
    <row r="14" spans="1:6">
      <c r="A14" s="126"/>
      <c r="C14"/>
      <c r="F14"/>
    </row>
    <row r="15" spans="1:6">
      <c r="A15" s="126"/>
      <c r="C15"/>
      <c r="F15"/>
    </row>
    <row r="16" spans="1:6">
      <c r="C16"/>
      <c r="F16"/>
    </row>
    <row r="17" spans="6:6">
      <c r="F17"/>
    </row>
    <row r="18" spans="6:6">
      <c r="F18"/>
    </row>
    <row r="19" spans="6:6">
      <c r="F19"/>
    </row>
    <row r="20" spans="6:6">
      <c r="F20"/>
    </row>
    <row r="21" spans="6:6">
      <c r="F21"/>
    </row>
    <row r="22" spans="6:6">
      <c r="F22"/>
    </row>
    <row r="23" spans="6:6">
      <c r="F23"/>
    </row>
    <row r="24" spans="6:6">
      <c r="F24"/>
    </row>
    <row r="25" spans="6:6">
      <c r="F25"/>
    </row>
    <row r="26" spans="6:6">
      <c r="F26"/>
    </row>
    <row r="27" spans="6:6">
      <c r="F27"/>
    </row>
    <row r="28" spans="6:6">
      <c r="F28"/>
    </row>
    <row r="29" spans="6:6">
      <c r="F29"/>
    </row>
    <row r="30" spans="6:6">
      <c r="F30"/>
    </row>
    <row r="31" spans="6:6">
      <c r="F3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1:AC951"/>
  <sheetViews>
    <sheetView showGridLines="0" tabSelected="1" zoomScale="70" zoomScaleNormal="70" zoomScaleSheetLayoutView="55" workbookViewId="0">
      <selection activeCell="A4" sqref="A4"/>
    </sheetView>
  </sheetViews>
  <sheetFormatPr baseColWidth="10" defaultColWidth="29.85546875" defaultRowHeight="14.25"/>
  <cols>
    <col min="1" max="1" width="3.42578125" style="78" customWidth="1"/>
    <col min="2" max="2" width="12.85546875" style="123" customWidth="1"/>
    <col min="3" max="3" width="49.140625" style="77" customWidth="1"/>
    <col min="4" max="4" width="17.42578125" style="78" customWidth="1"/>
    <col min="5" max="5" width="20.42578125" style="78" customWidth="1"/>
    <col min="6" max="6" width="66.85546875" style="78" customWidth="1"/>
    <col min="7" max="7" width="17" style="78" customWidth="1"/>
    <col min="8" max="8" width="31.7109375" style="78" customWidth="1"/>
    <col min="9" max="9" width="15.28515625" style="78" customWidth="1"/>
    <col min="10" max="10" width="15.28515625" style="79" customWidth="1"/>
    <col min="11" max="11" width="15.5703125" style="79" customWidth="1"/>
    <col min="12" max="12" width="22.42578125" style="124" customWidth="1"/>
    <col min="13" max="13" width="24.5703125" style="78" customWidth="1"/>
    <col min="14" max="14" width="26.42578125" style="124" customWidth="1"/>
    <col min="15" max="15" width="52.28515625" style="78" customWidth="1"/>
    <col min="16" max="16" width="21.7109375" style="81" customWidth="1"/>
    <col min="17" max="17" width="28.5703125" style="81" customWidth="1"/>
    <col min="18" max="18" width="19.85546875" style="81" customWidth="1"/>
    <col min="19" max="19" width="19.5703125" style="78" customWidth="1"/>
    <col min="20" max="20" width="38.7109375" style="81" bestFit="1" customWidth="1"/>
    <col min="21" max="21" width="34.42578125" style="78" bestFit="1" customWidth="1"/>
    <col min="22" max="22" width="17.7109375" style="78" customWidth="1"/>
    <col min="23" max="23" width="29.7109375" style="81" customWidth="1"/>
    <col min="24" max="24" width="26.85546875" style="78" hidden="1" customWidth="1"/>
    <col min="25" max="25" width="38.5703125" style="78" hidden="1" customWidth="1"/>
    <col min="26" max="26" width="47.140625" style="81" hidden="1" customWidth="1"/>
    <col min="27" max="27" width="29.85546875" style="81"/>
    <col min="28" max="28" width="37.140625" style="124" customWidth="1"/>
    <col min="29" max="16384" width="29.85546875" style="78"/>
  </cols>
  <sheetData>
    <row r="1" spans="2:29">
      <c r="B1" s="76"/>
      <c r="L1" s="80"/>
      <c r="N1" s="80"/>
      <c r="AB1" s="80"/>
    </row>
    <row r="2" spans="2:29" s="28" customFormat="1">
      <c r="B2" s="155"/>
      <c r="C2" s="155"/>
      <c r="D2" s="27"/>
      <c r="F2" s="27"/>
      <c r="G2" s="27"/>
      <c r="H2" s="27"/>
      <c r="I2" s="27"/>
      <c r="J2" s="83"/>
      <c r="K2" s="27"/>
      <c r="L2" s="58"/>
      <c r="M2" s="27"/>
      <c r="N2" s="27"/>
      <c r="O2" s="27"/>
      <c r="P2" s="29"/>
      <c r="Q2" s="29"/>
      <c r="R2" s="29"/>
      <c r="T2" s="30"/>
      <c r="W2" s="30"/>
      <c r="Z2" s="30"/>
      <c r="AA2" s="30"/>
      <c r="AB2" s="27"/>
    </row>
    <row r="3" spans="2:29" s="28" customFormat="1" ht="18">
      <c r="C3" s="27"/>
      <c r="D3" s="27"/>
      <c r="E3" s="156" t="s">
        <v>67</v>
      </c>
      <c r="F3" s="156"/>
      <c r="G3" s="156"/>
      <c r="H3" s="156"/>
      <c r="I3" s="156"/>
      <c r="J3" s="156"/>
      <c r="K3" s="156"/>
      <c r="L3" s="75"/>
      <c r="M3" s="73"/>
      <c r="N3" s="31" t="s">
        <v>68</v>
      </c>
      <c r="O3" s="32">
        <v>2024</v>
      </c>
      <c r="P3" s="30"/>
      <c r="Q3" s="33"/>
      <c r="R3" s="29"/>
      <c r="T3" s="30"/>
      <c r="W3" s="30"/>
      <c r="Z3" s="30"/>
      <c r="AA3" s="30"/>
    </row>
    <row r="4" spans="2:29" s="28" customFormat="1" ht="18">
      <c r="C4" s="27"/>
      <c r="D4" s="27"/>
      <c r="E4" s="156" t="s">
        <v>0</v>
      </c>
      <c r="F4" s="156"/>
      <c r="G4" s="156"/>
      <c r="H4" s="156"/>
      <c r="I4" s="156"/>
      <c r="J4" s="156"/>
      <c r="K4" s="156"/>
      <c r="L4" s="154" t="s">
        <v>300</v>
      </c>
      <c r="M4" s="154"/>
      <c r="N4" s="154"/>
      <c r="O4" s="122">
        <f>IFERROR(SUMIF($C$11:$C$951,"8126-Fortalecimiento institucional de la UAECOB para un gobierno confiable Bogotá D.C.",$L$11:$L$951),0)</f>
        <v>5237870058</v>
      </c>
      <c r="P4" s="30"/>
      <c r="Q4" s="82" t="s">
        <v>303</v>
      </c>
      <c r="R4" s="121">
        <f>IFERROR(SUMIF($C$11:$C$951,"131- Funcionamiento",$L$11:$L$951),0)</f>
        <v>1704174342</v>
      </c>
      <c r="S4" s="127"/>
      <c r="T4" s="128"/>
      <c r="W4" s="30"/>
      <c r="Z4" s="30"/>
      <c r="AA4" s="30"/>
    </row>
    <row r="5" spans="2:29" s="28" customFormat="1" ht="18">
      <c r="B5" s="35"/>
      <c r="C5" s="36"/>
      <c r="D5" s="36"/>
      <c r="E5" s="156" t="s">
        <v>855</v>
      </c>
      <c r="F5" s="156"/>
      <c r="G5" s="156"/>
      <c r="H5" s="156"/>
      <c r="I5" s="156"/>
      <c r="J5" s="156"/>
      <c r="K5" s="156"/>
      <c r="L5" s="154" t="s">
        <v>301</v>
      </c>
      <c r="M5" s="154"/>
      <c r="N5" s="154"/>
      <c r="O5" s="122">
        <f>IFERROR(SUMIF($C$11:$C$951,"8173-Modernización de las capacidades del Cuerpo Oficial de Bomberos Bogotá D.C.",$L$11:$L$951),0)</f>
        <v>18269544959</v>
      </c>
      <c r="P5" s="30"/>
      <c r="Q5" s="30"/>
      <c r="R5" s="34"/>
      <c r="S5" s="127"/>
      <c r="T5" s="128"/>
      <c r="W5" s="30"/>
      <c r="Z5" s="30"/>
      <c r="AA5" s="30"/>
    </row>
    <row r="6" spans="2:29" s="28" customFormat="1">
      <c r="B6" s="35"/>
      <c r="C6" s="36"/>
      <c r="D6" s="36"/>
      <c r="E6" s="37"/>
      <c r="F6" s="36"/>
      <c r="G6" s="36"/>
      <c r="H6" s="36"/>
      <c r="I6" s="38"/>
      <c r="J6" s="39"/>
      <c r="K6" s="39"/>
      <c r="L6" s="154" t="s">
        <v>302</v>
      </c>
      <c r="M6" s="154"/>
      <c r="N6" s="154"/>
      <c r="O6" s="36">
        <f>+O4+O5</f>
        <v>23507415017</v>
      </c>
      <c r="P6" s="30"/>
      <c r="Q6" s="82" t="s">
        <v>304</v>
      </c>
      <c r="R6" s="40">
        <f>+R4+O6</f>
        <v>25211589359</v>
      </c>
      <c r="T6" s="30"/>
      <c r="W6" s="30"/>
      <c r="Z6" s="30"/>
      <c r="AA6" s="30"/>
    </row>
    <row r="7" spans="2:29" s="28" customFormat="1">
      <c r="B7" s="35"/>
      <c r="C7" s="36"/>
      <c r="D7" s="36"/>
      <c r="E7" s="37"/>
      <c r="F7" s="36"/>
      <c r="G7" s="61"/>
      <c r="H7" s="36"/>
      <c r="I7" s="38"/>
      <c r="J7" s="39"/>
      <c r="K7" s="39"/>
      <c r="L7" s="59"/>
      <c r="N7" s="74" t="s">
        <v>79</v>
      </c>
      <c r="O7" s="141">
        <v>45547</v>
      </c>
      <c r="P7" s="43"/>
      <c r="Q7" s="72"/>
      <c r="R7" s="29"/>
      <c r="T7" s="30"/>
      <c r="W7" s="30"/>
      <c r="Z7" s="30"/>
      <c r="AA7" s="30"/>
    </row>
    <row r="8" spans="2:29" s="28" customFormat="1">
      <c r="B8" s="35"/>
      <c r="C8" s="36"/>
      <c r="D8" s="36"/>
      <c r="E8" s="37"/>
      <c r="F8" s="36"/>
      <c r="G8" s="61"/>
      <c r="H8" s="36"/>
      <c r="I8" s="38"/>
      <c r="J8" s="39"/>
      <c r="K8" s="39"/>
      <c r="L8" s="59"/>
      <c r="O8" s="41"/>
      <c r="P8" s="42"/>
      <c r="Q8" s="42"/>
      <c r="R8" s="29"/>
      <c r="T8" s="30"/>
      <c r="W8" s="30"/>
      <c r="Z8" s="30"/>
      <c r="AA8" s="30"/>
      <c r="AB8" s="36"/>
    </row>
    <row r="9" spans="2:29" s="28" customFormat="1">
      <c r="B9" s="35"/>
      <c r="C9" s="44"/>
      <c r="D9" s="45"/>
      <c r="E9" s="26"/>
      <c r="H9" s="46"/>
      <c r="I9" s="47"/>
      <c r="J9" s="84"/>
      <c r="K9" s="48"/>
      <c r="L9" s="60"/>
      <c r="O9" s="49"/>
      <c r="P9" s="50"/>
      <c r="Q9" s="50"/>
      <c r="R9" s="50"/>
      <c r="S9" s="51"/>
      <c r="T9" s="30"/>
      <c r="W9" s="30"/>
      <c r="Z9" s="30"/>
      <c r="AA9" s="30"/>
    </row>
    <row r="10" spans="2:29" s="52" customFormat="1" ht="42.75">
      <c r="B10" s="86" t="s">
        <v>69</v>
      </c>
      <c r="C10" s="87" t="s">
        <v>297</v>
      </c>
      <c r="D10" s="88" t="s">
        <v>75</v>
      </c>
      <c r="E10" s="89" t="s">
        <v>76</v>
      </c>
      <c r="F10" s="90" t="s">
        <v>70</v>
      </c>
      <c r="G10" s="90" t="s">
        <v>83</v>
      </c>
      <c r="H10" s="89" t="s">
        <v>2</v>
      </c>
      <c r="I10" s="91" t="s">
        <v>73</v>
      </c>
      <c r="J10" s="91" t="s">
        <v>74</v>
      </c>
      <c r="K10" s="92" t="s">
        <v>380</v>
      </c>
      <c r="L10" s="93" t="s">
        <v>71</v>
      </c>
      <c r="M10" s="94" t="s">
        <v>72</v>
      </c>
      <c r="N10" s="92" t="s">
        <v>77</v>
      </c>
      <c r="O10" s="89" t="s">
        <v>3</v>
      </c>
      <c r="P10" s="95" t="s">
        <v>196</v>
      </c>
      <c r="Q10" s="95" t="s">
        <v>197</v>
      </c>
      <c r="R10" s="95" t="s">
        <v>175</v>
      </c>
      <c r="S10" s="87" t="s">
        <v>80</v>
      </c>
      <c r="T10" s="95" t="s">
        <v>81</v>
      </c>
      <c r="U10" s="87" t="s">
        <v>299</v>
      </c>
      <c r="V10" s="87" t="s">
        <v>82</v>
      </c>
      <c r="W10" s="95" t="s">
        <v>245</v>
      </c>
      <c r="X10" s="87" t="s">
        <v>276</v>
      </c>
      <c r="Y10" s="87" t="s">
        <v>298</v>
      </c>
      <c r="Z10" s="95" t="s">
        <v>207</v>
      </c>
      <c r="AA10" s="95" t="s">
        <v>232</v>
      </c>
      <c r="AB10" s="92" t="s">
        <v>85</v>
      </c>
      <c r="AC10" s="96" t="s">
        <v>78</v>
      </c>
    </row>
    <row r="11" spans="2:29" s="28" customFormat="1" ht="63" customHeight="1">
      <c r="B11" s="142">
        <v>20241006</v>
      </c>
      <c r="C11" s="143" t="s">
        <v>210</v>
      </c>
      <c r="D11" s="144" t="s">
        <v>166</v>
      </c>
      <c r="E11" s="145" t="s">
        <v>856</v>
      </c>
      <c r="F11" s="144" t="s">
        <v>532</v>
      </c>
      <c r="G11" s="144" t="s">
        <v>97</v>
      </c>
      <c r="H11" s="146">
        <v>90121800</v>
      </c>
      <c r="I11" s="147">
        <v>7</v>
      </c>
      <c r="J11" s="147">
        <v>6</v>
      </c>
      <c r="K11" s="148">
        <v>0</v>
      </c>
      <c r="L11" s="149">
        <f>22326269+25000000-25000000</f>
        <v>22326269</v>
      </c>
      <c r="M11" s="144" t="s">
        <v>173</v>
      </c>
      <c r="N11" s="149" t="s">
        <v>114</v>
      </c>
      <c r="O11" s="145" t="s">
        <v>230</v>
      </c>
      <c r="P11" s="150" t="str">
        <f>IFERROR(VLOOKUP(C11,TD!$B$32:$F$36,2,0)," ")</f>
        <v>O230117</v>
      </c>
      <c r="Q11" s="150" t="str">
        <f>IFERROR(VLOOKUP(C11,TD!$B$32:$F$36,3,0)," ")</f>
        <v>4503</v>
      </c>
      <c r="R11" s="150">
        <f>IFERROR(VLOOKUP(C11,TD!$B$32:$F$36,4,0)," ")</f>
        <v>20240255</v>
      </c>
      <c r="S11" s="145" t="s">
        <v>184</v>
      </c>
      <c r="T11" s="150" t="str">
        <f>IFERROR(VLOOKUP(S11,TD!$J$33:$K$43,2,0)," ")</f>
        <v>Servicio de formación en gestión del riesgo de incendios para el personal UAECOB</v>
      </c>
      <c r="U11" s="145" t="str">
        <f t="shared" ref="U11:U74" si="0">CONCATENATE(S11,"-",T11)</f>
        <v>07-Servicio de formación en gestión del riesgo de incendios para el personal UAECOB</v>
      </c>
      <c r="V11" s="145" t="s">
        <v>234</v>
      </c>
      <c r="W11" s="150" t="str">
        <f>IFERROR(VLOOKUP(V11,TD!$N$33:$O$45,2,0)," ")</f>
        <v>Servicio de educación informal</v>
      </c>
      <c r="X11" s="54" t="str">
        <f t="shared" ref="X11:X74" si="1">CONCATENATE(V11,"_",W11)</f>
        <v>002_Servicio de educación informal</v>
      </c>
      <c r="Y11" s="54" t="str">
        <f t="shared" ref="Y11:Y74" si="2">CONCATENATE(U11," ",X11)</f>
        <v>07-Servicio de formación en gestión del riesgo de incendios para el personal UAECOB 002_Servicio de educación informal</v>
      </c>
      <c r="Z11" s="131" t="str">
        <f t="shared" ref="Z11:Z74" si="3">CONCATENATE(P11,Q11,R11,S11,V11)</f>
        <v>O23011745032024025507002</v>
      </c>
      <c r="AA11" s="150" t="str">
        <f>IFERROR(VLOOKUP(Y11,TD!$K$46:$L$64,2,0)," ")</f>
        <v>PM/0131/0107/45030020255</v>
      </c>
      <c r="AB11" s="149" t="s">
        <v>139</v>
      </c>
      <c r="AC11" s="151" t="s">
        <v>205</v>
      </c>
    </row>
    <row r="12" spans="2:29" s="28" customFormat="1" ht="47.45" customHeight="1">
      <c r="B12" s="142">
        <v>20241007</v>
      </c>
      <c r="C12" s="143" t="s">
        <v>210</v>
      </c>
      <c r="D12" s="144" t="s">
        <v>166</v>
      </c>
      <c r="E12" s="145" t="s">
        <v>856</v>
      </c>
      <c r="F12" s="144" t="s">
        <v>533</v>
      </c>
      <c r="G12" s="144" t="s">
        <v>97</v>
      </c>
      <c r="H12" s="146">
        <v>90121800</v>
      </c>
      <c r="I12" s="147">
        <v>7</v>
      </c>
      <c r="J12" s="147">
        <v>6</v>
      </c>
      <c r="K12" s="148">
        <v>0</v>
      </c>
      <c r="L12" s="149">
        <f>5000000+25000000</f>
        <v>30000000</v>
      </c>
      <c r="M12" s="144" t="s">
        <v>173</v>
      </c>
      <c r="N12" s="149" t="s">
        <v>114</v>
      </c>
      <c r="O12" s="145" t="s">
        <v>230</v>
      </c>
      <c r="P12" s="150" t="str">
        <f>IFERROR(VLOOKUP(C12,TD!$B$32:$F$36,2,0)," ")</f>
        <v>O230117</v>
      </c>
      <c r="Q12" s="150" t="str">
        <f>IFERROR(VLOOKUP(C12,TD!$B$32:$F$36,3,0)," ")</f>
        <v>4503</v>
      </c>
      <c r="R12" s="150">
        <f>IFERROR(VLOOKUP(C12,TD!$B$32:$F$36,4,0)," ")</f>
        <v>20240255</v>
      </c>
      <c r="S12" s="145" t="s">
        <v>184</v>
      </c>
      <c r="T12" s="150" t="str">
        <f>IFERROR(VLOOKUP(S12,TD!$J$33:$K$43,2,0)," ")</f>
        <v>Servicio de formación en gestión del riesgo de incendios para el personal UAECOB</v>
      </c>
      <c r="U12" s="145" t="str">
        <f t="shared" si="0"/>
        <v>07-Servicio de formación en gestión del riesgo de incendios para el personal UAECOB</v>
      </c>
      <c r="V12" s="145" t="s">
        <v>234</v>
      </c>
      <c r="W12" s="150" t="str">
        <f>IFERROR(VLOOKUP(V12,TD!$N$33:$O$45,2,0)," ")</f>
        <v>Servicio de educación informal</v>
      </c>
      <c r="X12" s="54" t="str">
        <f t="shared" si="1"/>
        <v>002_Servicio de educación informal</v>
      </c>
      <c r="Y12" s="54" t="str">
        <f t="shared" si="2"/>
        <v>07-Servicio de formación en gestión del riesgo de incendios para el personal UAECOB 002_Servicio de educación informal</v>
      </c>
      <c r="Z12" s="131" t="str">
        <f t="shared" si="3"/>
        <v>O23011745032024025507002</v>
      </c>
      <c r="AA12" s="150" t="str">
        <f>IFERROR(VLOOKUP(Y12,TD!$K$46:$L$64,2,0)," ")</f>
        <v>PM/0131/0107/45030020255</v>
      </c>
      <c r="AB12" s="149" t="s">
        <v>139</v>
      </c>
      <c r="AC12" s="151" t="s">
        <v>205</v>
      </c>
    </row>
    <row r="13" spans="2:29" s="28" customFormat="1" ht="28.5">
      <c r="B13" s="85">
        <v>20240037</v>
      </c>
      <c r="C13" s="53" t="s">
        <v>347</v>
      </c>
      <c r="D13" s="129" t="s">
        <v>167</v>
      </c>
      <c r="E13" s="54" t="s">
        <v>568</v>
      </c>
      <c r="F13" s="129" t="s">
        <v>723</v>
      </c>
      <c r="G13" s="129" t="s">
        <v>120</v>
      </c>
      <c r="H13" s="55" t="s">
        <v>611</v>
      </c>
      <c r="I13" s="130">
        <v>7</v>
      </c>
      <c r="J13" s="130">
        <v>8</v>
      </c>
      <c r="K13" s="56">
        <v>0</v>
      </c>
      <c r="L13" s="57">
        <v>58500000</v>
      </c>
      <c r="M13" s="129" t="s">
        <v>173</v>
      </c>
      <c r="N13" s="57" t="s">
        <v>101</v>
      </c>
      <c r="O13" s="54" t="s">
        <v>348</v>
      </c>
      <c r="P13" s="131" t="str">
        <f>IFERROR(VLOOKUP(C13,TD!$B$32:$F$36,2,0)," ")</f>
        <v>NA</v>
      </c>
      <c r="Q13" s="131" t="str">
        <f>IFERROR(VLOOKUP(C13,TD!$B$32:$F$36,3,0)," ")</f>
        <v>NA</v>
      </c>
      <c r="R13" s="131" t="str">
        <f>IFERROR(VLOOKUP(C13,TD!$B$32:$F$36,4,0)," ")</f>
        <v>NA</v>
      </c>
      <c r="S13" s="54" t="s">
        <v>567</v>
      </c>
      <c r="T13" s="131" t="str">
        <f>IFERROR(VLOOKUP(S13,TD!$J$33:$K$43,2,0)," ")</f>
        <v>N/A</v>
      </c>
      <c r="U13" s="54" t="str">
        <f t="shared" si="0"/>
        <v>N/A-N/A</v>
      </c>
      <c r="V13" s="54" t="s">
        <v>567</v>
      </c>
      <c r="W13" s="131" t="str">
        <f>IFERROR(VLOOKUP(V13,TD!$N$33:$O$45,2,0)," ")</f>
        <v>N/A</v>
      </c>
      <c r="X13" s="54" t="str">
        <f t="shared" si="1"/>
        <v>N/A_N/A</v>
      </c>
      <c r="Y13" s="54" t="str">
        <f t="shared" si="2"/>
        <v>N/A-N/A N/A_N/A</v>
      </c>
      <c r="Z13" s="131" t="str">
        <f t="shared" si="3"/>
        <v>NANANAN/AN/A</v>
      </c>
      <c r="AA13" s="131" t="str">
        <f>IFERROR(VLOOKUP(Y13,TD!$K$46:$L$64,2,0)," ")</f>
        <v>N/A</v>
      </c>
      <c r="AB13" s="57" t="s">
        <v>349</v>
      </c>
      <c r="AC13" s="132" t="s">
        <v>205</v>
      </c>
    </row>
    <row r="14" spans="2:29" s="28" customFormat="1" ht="71.25">
      <c r="B14" s="85">
        <v>20240068</v>
      </c>
      <c r="C14" s="53" t="s">
        <v>210</v>
      </c>
      <c r="D14" s="129" t="s">
        <v>169</v>
      </c>
      <c r="E14" s="54" t="s">
        <v>423</v>
      </c>
      <c r="F14" s="129" t="s">
        <v>737</v>
      </c>
      <c r="G14" s="129" t="s">
        <v>97</v>
      </c>
      <c r="H14" s="117">
        <v>25172500</v>
      </c>
      <c r="I14" s="130">
        <v>7</v>
      </c>
      <c r="J14" s="130">
        <v>12</v>
      </c>
      <c r="K14" s="56">
        <v>0</v>
      </c>
      <c r="L14" s="57">
        <v>250000000</v>
      </c>
      <c r="M14" s="129" t="s">
        <v>173</v>
      </c>
      <c r="N14" s="57" t="s">
        <v>96</v>
      </c>
      <c r="O14" s="54" t="s">
        <v>225</v>
      </c>
      <c r="P14" s="131" t="str">
        <f>IFERROR(VLOOKUP(C14,TD!$B$32:$F$36,2,0)," ")</f>
        <v>O230117</v>
      </c>
      <c r="Q14" s="131" t="str">
        <f>IFERROR(VLOOKUP(C14,TD!$B$32:$F$36,3,0)," ")</f>
        <v>4503</v>
      </c>
      <c r="R14" s="131">
        <f>IFERROR(VLOOKUP(C14,TD!$B$32:$F$36,4,0)," ")</f>
        <v>20240255</v>
      </c>
      <c r="S14" s="54" t="s">
        <v>188</v>
      </c>
      <c r="T14" s="131" t="str">
        <f>IFERROR(VLOOKUP(S14,TD!$J$33:$K$43,2,0)," ")</f>
        <v>Servicio de mantenimiento, dotación (HEA´s y equipo menor) y adquisición de vehiculos   especializados para la atención de emergencias.</v>
      </c>
      <c r="U14" s="54" t="str">
        <f t="shared" si="0"/>
        <v>09-Servicio de mantenimiento, dotación (HEA´s y equipo menor) y adquisición de vehiculos   especializados para la atención de emergencias.</v>
      </c>
      <c r="V14" s="54" t="s">
        <v>233</v>
      </c>
      <c r="W14" s="131" t="str">
        <f>IFERROR(VLOOKUP(V14,TD!$N$33:$O$45,2,0)," ")</f>
        <v>Servicio de atención a emergencias y desastres</v>
      </c>
      <c r="X14" s="54" t="str">
        <f t="shared" si="1"/>
        <v>004_Servicio de atención a emergencias y desastres</v>
      </c>
      <c r="Y14" s="54" t="str">
        <f t="shared" si="2"/>
        <v>09-Servicio de mantenimiento, dotación (HEA´s y equipo menor) y adquisición de vehiculos   especializados para la atención de emergencias. 004_Servicio de atención a emergencias y desastres</v>
      </c>
      <c r="Z14" s="131" t="str">
        <f t="shared" si="3"/>
        <v>O23011745032024025509004</v>
      </c>
      <c r="AA14" s="131" t="str">
        <f>IFERROR(VLOOKUP(Y14,TD!$K$46:$L$64,2,0)," ")</f>
        <v>PM/0131/0109/45030040255</v>
      </c>
      <c r="AB14" s="57" t="s">
        <v>88</v>
      </c>
      <c r="AC14" s="132" t="s">
        <v>205</v>
      </c>
    </row>
    <row r="15" spans="2:29" s="28" customFormat="1" ht="71.25">
      <c r="B15" s="85">
        <v>20240074</v>
      </c>
      <c r="C15" s="53" t="s">
        <v>210</v>
      </c>
      <c r="D15" s="129" t="s">
        <v>169</v>
      </c>
      <c r="E15" s="54" t="s">
        <v>423</v>
      </c>
      <c r="F15" s="129" t="s">
        <v>432</v>
      </c>
      <c r="G15" s="129" t="s">
        <v>97</v>
      </c>
      <c r="H15" s="117">
        <v>46161600</v>
      </c>
      <c r="I15" s="130">
        <v>7</v>
      </c>
      <c r="J15" s="130">
        <v>12</v>
      </c>
      <c r="K15" s="56">
        <v>0</v>
      </c>
      <c r="L15" s="57">
        <v>70000000</v>
      </c>
      <c r="M15" s="129" t="s">
        <v>173</v>
      </c>
      <c r="N15" s="57" t="s">
        <v>114</v>
      </c>
      <c r="O15" s="54" t="s">
        <v>225</v>
      </c>
      <c r="P15" s="131" t="str">
        <f>IFERROR(VLOOKUP(C15,TD!$B$32:$F$36,2,0)," ")</f>
        <v>O230117</v>
      </c>
      <c r="Q15" s="131" t="str">
        <f>IFERROR(VLOOKUP(C15,TD!$B$32:$F$36,3,0)," ")</f>
        <v>4503</v>
      </c>
      <c r="R15" s="131">
        <f>IFERROR(VLOOKUP(C15,TD!$B$32:$F$36,4,0)," ")</f>
        <v>20240255</v>
      </c>
      <c r="S15" s="54" t="s">
        <v>188</v>
      </c>
      <c r="T15" s="131" t="str">
        <f>IFERROR(VLOOKUP(S15,TD!$J$33:$K$43,2,0)," ")</f>
        <v>Servicio de mantenimiento, dotación (HEA´s y equipo menor) y adquisición de vehiculos   especializados para la atención de emergencias.</v>
      </c>
      <c r="U15" s="54" t="str">
        <f t="shared" si="0"/>
        <v>09-Servicio de mantenimiento, dotación (HEA´s y equipo menor) y adquisición de vehiculos   especializados para la atención de emergencias.</v>
      </c>
      <c r="V15" s="54" t="s">
        <v>233</v>
      </c>
      <c r="W15" s="131" t="str">
        <f>IFERROR(VLOOKUP(V15,TD!$N$33:$O$45,2,0)," ")</f>
        <v>Servicio de atención a emergencias y desastres</v>
      </c>
      <c r="X15" s="54" t="str">
        <f t="shared" si="1"/>
        <v>004_Servicio de atención a emergencias y desastres</v>
      </c>
      <c r="Y15" s="54" t="str">
        <f t="shared" si="2"/>
        <v>09-Servicio de mantenimiento, dotación (HEA´s y equipo menor) y adquisición de vehiculos   especializados para la atención de emergencias. 004_Servicio de atención a emergencias y desastres</v>
      </c>
      <c r="Z15" s="131" t="str">
        <f t="shared" si="3"/>
        <v>O23011745032024025509004</v>
      </c>
      <c r="AA15" s="131" t="str">
        <f>IFERROR(VLOOKUP(Y15,TD!$K$46:$L$64,2,0)," ")</f>
        <v>PM/0131/0109/45030040255</v>
      </c>
      <c r="AB15" s="57" t="s">
        <v>88</v>
      </c>
      <c r="AC15" s="132" t="s">
        <v>205</v>
      </c>
    </row>
    <row r="16" spans="2:29" s="28" customFormat="1" ht="71.25">
      <c r="B16" s="85">
        <v>20240083</v>
      </c>
      <c r="C16" s="53" t="s">
        <v>210</v>
      </c>
      <c r="D16" s="129" t="s">
        <v>169</v>
      </c>
      <c r="E16" s="54" t="s">
        <v>423</v>
      </c>
      <c r="F16" s="129" t="s">
        <v>424</v>
      </c>
      <c r="G16" s="129" t="s">
        <v>147</v>
      </c>
      <c r="H16" s="117">
        <v>78181500</v>
      </c>
      <c r="I16" s="130">
        <v>7</v>
      </c>
      <c r="J16" s="130">
        <v>12</v>
      </c>
      <c r="K16" s="56">
        <v>0</v>
      </c>
      <c r="L16" s="57">
        <f>3850000000-650000000</f>
        <v>3200000000</v>
      </c>
      <c r="M16" s="129" t="s">
        <v>173</v>
      </c>
      <c r="N16" s="57" t="s">
        <v>86</v>
      </c>
      <c r="O16" s="54" t="s">
        <v>225</v>
      </c>
      <c r="P16" s="131" t="str">
        <f>IFERROR(VLOOKUP(C16,TD!$B$32:$F$36,2,0)," ")</f>
        <v>O230117</v>
      </c>
      <c r="Q16" s="131" t="str">
        <f>IFERROR(VLOOKUP(C16,TD!$B$32:$F$36,3,0)," ")</f>
        <v>4503</v>
      </c>
      <c r="R16" s="131">
        <f>IFERROR(VLOOKUP(C16,TD!$B$32:$F$36,4,0)," ")</f>
        <v>20240255</v>
      </c>
      <c r="S16" s="54" t="s">
        <v>188</v>
      </c>
      <c r="T16" s="131" t="str">
        <f>IFERROR(VLOOKUP(S16,TD!$J$33:$K$43,2,0)," ")</f>
        <v>Servicio de mantenimiento, dotación (HEA´s y equipo menor) y adquisición de vehiculos   especializados para la atención de emergencias.</v>
      </c>
      <c r="U16" s="54" t="str">
        <f t="shared" si="0"/>
        <v>09-Servicio de mantenimiento, dotación (HEA´s y equipo menor) y adquisición de vehiculos   especializados para la atención de emergencias.</v>
      </c>
      <c r="V16" s="54" t="s">
        <v>233</v>
      </c>
      <c r="W16" s="131" t="str">
        <f>IFERROR(VLOOKUP(V16,TD!$N$33:$O$45,2,0)," ")</f>
        <v>Servicio de atención a emergencias y desastres</v>
      </c>
      <c r="X16" s="54" t="str">
        <f t="shared" si="1"/>
        <v>004_Servicio de atención a emergencias y desastres</v>
      </c>
      <c r="Y16" s="54" t="str">
        <f t="shared" si="2"/>
        <v>09-Servicio de mantenimiento, dotación (HEA´s y equipo menor) y adquisición de vehiculos   especializados para la atención de emergencias. 004_Servicio de atención a emergencias y desastres</v>
      </c>
      <c r="Z16" s="131" t="str">
        <f t="shared" si="3"/>
        <v>O23011745032024025509004</v>
      </c>
      <c r="AA16" s="131" t="str">
        <f>IFERROR(VLOOKUP(Y16,TD!$K$46:$L$64,2,0)," ")</f>
        <v>PM/0131/0109/45030040255</v>
      </c>
      <c r="AB16" s="57" t="s">
        <v>146</v>
      </c>
      <c r="AC16" s="132" t="s">
        <v>205</v>
      </c>
    </row>
    <row r="17" spans="2:29" s="28" customFormat="1" ht="42.75">
      <c r="B17" s="85">
        <v>20240323</v>
      </c>
      <c r="C17" s="53" t="s">
        <v>209</v>
      </c>
      <c r="D17" s="129" t="s">
        <v>163</v>
      </c>
      <c r="E17" s="54" t="s">
        <v>364</v>
      </c>
      <c r="F17" s="129" t="s">
        <v>628</v>
      </c>
      <c r="G17" s="129" t="s">
        <v>155</v>
      </c>
      <c r="H17" s="117">
        <v>81112200</v>
      </c>
      <c r="I17" s="130">
        <v>7</v>
      </c>
      <c r="J17" s="130">
        <v>12</v>
      </c>
      <c r="K17" s="56">
        <v>0</v>
      </c>
      <c r="L17" s="57">
        <f>64243900</f>
        <v>64243900</v>
      </c>
      <c r="M17" s="129" t="s">
        <v>173</v>
      </c>
      <c r="N17" s="57" t="s">
        <v>96</v>
      </c>
      <c r="O17" s="54" t="s">
        <v>215</v>
      </c>
      <c r="P17" s="131" t="str">
        <f>IFERROR(VLOOKUP(C17,TD!$B$32:$F$36,2,0)," ")</f>
        <v>O230117</v>
      </c>
      <c r="Q17" s="131" t="str">
        <f>IFERROR(VLOOKUP(C17,TD!$B$32:$F$36,3,0)," ")</f>
        <v>4599</v>
      </c>
      <c r="R17" s="131">
        <f>IFERROR(VLOOKUP(C17,TD!$B$32:$F$36,4,0)," ")</f>
        <v>20240207</v>
      </c>
      <c r="S17" s="54" t="s">
        <v>180</v>
      </c>
      <c r="T17" s="131" t="str">
        <f>IFERROR(VLOOKUP(S17,TD!$J$33:$K$43,2,0)," ")</f>
        <v>Infraestructura Tecnológica   (Sistemas de Información y Tecnologia)</v>
      </c>
      <c r="U17" s="54" t="str">
        <f t="shared" si="0"/>
        <v>11-Infraestructura Tecnológica   (Sistemas de Información y Tecnologia)</v>
      </c>
      <c r="V17" s="54" t="s">
        <v>240</v>
      </c>
      <c r="W17" s="131" t="str">
        <f>IFERROR(VLOOKUP(V17,TD!$N$33:$O$45,2,0)," ")</f>
        <v>Servicios tecnológicos</v>
      </c>
      <c r="X17" s="54" t="str">
        <f t="shared" si="1"/>
        <v>007_Servicios tecnológicos</v>
      </c>
      <c r="Y17" s="54" t="str">
        <f t="shared" si="2"/>
        <v>11-Infraestructura Tecnológica   (Sistemas de Información y Tecnologia) 007_Servicios tecnológicos</v>
      </c>
      <c r="Z17" s="131" t="str">
        <f t="shared" si="3"/>
        <v>O23011745992024020711007</v>
      </c>
      <c r="AA17" s="131" t="str">
        <f>IFERROR(VLOOKUP(Y17,TD!$K$46:$L$64,2,0)," ")</f>
        <v>PM/0131/0111/45990070207</v>
      </c>
      <c r="AB17" s="57" t="s">
        <v>126</v>
      </c>
      <c r="AC17" s="132" t="s">
        <v>205</v>
      </c>
    </row>
    <row r="18" spans="2:29" s="28" customFormat="1" ht="71.25">
      <c r="B18" s="85">
        <v>20240329</v>
      </c>
      <c r="C18" s="53" t="s">
        <v>210</v>
      </c>
      <c r="D18" s="129" t="s">
        <v>168</v>
      </c>
      <c r="E18" s="54" t="s">
        <v>381</v>
      </c>
      <c r="F18" s="129" t="s">
        <v>382</v>
      </c>
      <c r="G18" s="129" t="s">
        <v>97</v>
      </c>
      <c r="H18" s="117" t="s">
        <v>403</v>
      </c>
      <c r="I18" s="130">
        <v>7</v>
      </c>
      <c r="J18" s="130">
        <v>7</v>
      </c>
      <c r="K18" s="56">
        <v>0</v>
      </c>
      <c r="L18" s="57">
        <f>484348572+100000000</f>
        <v>584348572</v>
      </c>
      <c r="M18" s="129" t="s">
        <v>173</v>
      </c>
      <c r="N18" s="57" t="s">
        <v>91</v>
      </c>
      <c r="O18" s="54" t="s">
        <v>222</v>
      </c>
      <c r="P18" s="131" t="str">
        <f>IFERROR(VLOOKUP(C18,TD!$B$32:$F$36,2,0)," ")</f>
        <v>O230117</v>
      </c>
      <c r="Q18" s="131" t="str">
        <f>IFERROR(VLOOKUP(C18,TD!$B$32:$F$36,3,0)," ")</f>
        <v>4503</v>
      </c>
      <c r="R18" s="131">
        <f>IFERROR(VLOOKUP(C18,TD!$B$32:$F$36,4,0)," ")</f>
        <v>20240255</v>
      </c>
      <c r="S18" s="54" t="s">
        <v>178</v>
      </c>
      <c r="T18" s="131" t="str">
        <f>IFERROR(VLOOKUP(S18,TD!$J$33:$K$43,2,0)," ")</f>
        <v>Servicio de capacitaciones en gestión del riesgo de incendios  a la ciudadania.</v>
      </c>
      <c r="U18" s="54" t="str">
        <f t="shared" si="0"/>
        <v>05-Servicio de capacitaciones en gestión del riesgo de incendios  a la ciudadania.</v>
      </c>
      <c r="V18" s="54" t="s">
        <v>235</v>
      </c>
      <c r="W18" s="131" t="str">
        <f>IFERROR(VLOOKUP(V18,TD!$N$33:$O$45,2,0)," ")</f>
        <v>Servicio prevención y control de incendios</v>
      </c>
      <c r="X18" s="54" t="str">
        <f t="shared" si="1"/>
        <v>035_Servicio prevención y control de incendios</v>
      </c>
      <c r="Y18" s="54" t="str">
        <f t="shared" si="2"/>
        <v>05-Servicio de capacitaciones en gestión del riesgo de incendios  a la ciudadania. 035_Servicio prevención y control de incendios</v>
      </c>
      <c r="Z18" s="131" t="str">
        <f t="shared" si="3"/>
        <v>O23011745032024025505035</v>
      </c>
      <c r="AA18" s="131" t="str">
        <f>IFERROR(VLOOKUP(Y18,TD!$K$46:$L$64,2,0)," ")</f>
        <v>PM/0131/0105/45030350255</v>
      </c>
      <c r="AB18" s="57" t="s">
        <v>139</v>
      </c>
      <c r="AC18" s="132" t="s">
        <v>205</v>
      </c>
    </row>
    <row r="19" spans="2:29" s="28" customFormat="1" ht="42.75">
      <c r="B19" s="85">
        <v>20240368</v>
      </c>
      <c r="C19" s="53" t="s">
        <v>209</v>
      </c>
      <c r="D19" s="129" t="s">
        <v>163</v>
      </c>
      <c r="E19" s="54" t="s">
        <v>364</v>
      </c>
      <c r="F19" s="129" t="s">
        <v>632</v>
      </c>
      <c r="G19" s="129" t="s">
        <v>155</v>
      </c>
      <c r="H19" s="117">
        <v>43233205</v>
      </c>
      <c r="I19" s="130">
        <v>8</v>
      </c>
      <c r="J19" s="130">
        <v>12</v>
      </c>
      <c r="K19" s="56">
        <v>0</v>
      </c>
      <c r="L19" s="57">
        <v>0</v>
      </c>
      <c r="M19" s="129" t="s">
        <v>173</v>
      </c>
      <c r="N19" s="57" t="s">
        <v>101</v>
      </c>
      <c r="O19" s="54" t="s">
        <v>215</v>
      </c>
      <c r="P19" s="131" t="str">
        <f>IFERROR(VLOOKUP(C19,TD!$B$32:$F$36,2,0)," ")</f>
        <v>O230117</v>
      </c>
      <c r="Q19" s="131" t="str">
        <f>IFERROR(VLOOKUP(C19,TD!$B$32:$F$36,3,0)," ")</f>
        <v>4599</v>
      </c>
      <c r="R19" s="131">
        <f>IFERROR(VLOOKUP(C19,TD!$B$32:$F$36,4,0)," ")</f>
        <v>20240207</v>
      </c>
      <c r="S19" s="54" t="s">
        <v>180</v>
      </c>
      <c r="T19" s="131" t="str">
        <f>IFERROR(VLOOKUP(S19,TD!$J$33:$K$43,2,0)," ")</f>
        <v>Infraestructura Tecnológica   (Sistemas de Información y Tecnologia)</v>
      </c>
      <c r="U19" s="54" t="str">
        <f t="shared" si="0"/>
        <v>11-Infraestructura Tecnológica   (Sistemas de Información y Tecnologia)</v>
      </c>
      <c r="V19" s="54" t="s">
        <v>240</v>
      </c>
      <c r="W19" s="131" t="str">
        <f>IFERROR(VLOOKUP(V19,TD!$N$33:$O$45,2,0)," ")</f>
        <v>Servicios tecnológicos</v>
      </c>
      <c r="X19" s="54" t="str">
        <f t="shared" si="1"/>
        <v>007_Servicios tecnológicos</v>
      </c>
      <c r="Y19" s="54" t="str">
        <f t="shared" si="2"/>
        <v>11-Infraestructura Tecnológica   (Sistemas de Información y Tecnologia) 007_Servicios tecnológicos</v>
      </c>
      <c r="Z19" s="131" t="str">
        <f t="shared" si="3"/>
        <v>O23011745992024020711007</v>
      </c>
      <c r="AA19" s="131" t="str">
        <f>IFERROR(VLOOKUP(Y19,TD!$K$46:$L$64,2,0)," ")</f>
        <v>PM/0131/0111/45990070207</v>
      </c>
      <c r="AB19" s="57" t="s">
        <v>139</v>
      </c>
      <c r="AC19" s="132" t="s">
        <v>205</v>
      </c>
    </row>
    <row r="20" spans="2:29" s="28" customFormat="1" ht="57">
      <c r="B20" s="85">
        <v>20240395</v>
      </c>
      <c r="C20" s="53" t="s">
        <v>567</v>
      </c>
      <c r="D20" s="129" t="s">
        <v>167</v>
      </c>
      <c r="E20" s="54" t="s">
        <v>568</v>
      </c>
      <c r="F20" s="129" t="s">
        <v>724</v>
      </c>
      <c r="G20" s="129" t="s">
        <v>97</v>
      </c>
      <c r="H20" s="55" t="s">
        <v>725</v>
      </c>
      <c r="I20" s="130">
        <v>8</v>
      </c>
      <c r="J20" s="130">
        <v>12</v>
      </c>
      <c r="K20" s="56">
        <v>0</v>
      </c>
      <c r="L20" s="57">
        <v>0</v>
      </c>
      <c r="M20" s="129" t="s">
        <v>350</v>
      </c>
      <c r="N20" s="57" t="s">
        <v>91</v>
      </c>
      <c r="O20" s="54" t="s">
        <v>348</v>
      </c>
      <c r="P20" s="131" t="str">
        <f>IFERROR(VLOOKUP(C20,TD!$B$32:$F$36,2,0)," ")</f>
        <v>NA</v>
      </c>
      <c r="Q20" s="131" t="str">
        <f>IFERROR(VLOOKUP(C20,TD!$B$32:$F$36,3,0)," ")</f>
        <v>NA</v>
      </c>
      <c r="R20" s="131" t="str">
        <f>IFERROR(VLOOKUP(C20,TD!$B$32:$F$36,4,0)," ")</f>
        <v>NA</v>
      </c>
      <c r="S20" s="54" t="s">
        <v>567</v>
      </c>
      <c r="T20" s="131" t="str">
        <f>IFERROR(VLOOKUP(S20,TD!$J$33:$K$43,2,0)," ")</f>
        <v>N/A</v>
      </c>
      <c r="U20" s="54" t="str">
        <f t="shared" si="0"/>
        <v>N/A-N/A</v>
      </c>
      <c r="V20" s="54" t="s">
        <v>567</v>
      </c>
      <c r="W20" s="131" t="str">
        <f>IFERROR(VLOOKUP(V20,TD!$N$33:$O$45,2,0)," ")</f>
        <v>N/A</v>
      </c>
      <c r="X20" s="54" t="str">
        <f t="shared" si="1"/>
        <v>N/A_N/A</v>
      </c>
      <c r="Y20" s="54" t="str">
        <f t="shared" si="2"/>
        <v>N/A-N/A N/A_N/A</v>
      </c>
      <c r="Z20" s="131" t="str">
        <f t="shared" si="3"/>
        <v>NANANAN/AN/A</v>
      </c>
      <c r="AA20" s="131" t="str">
        <f>IFERROR(VLOOKUP(Y20,TD!$K$46:$L$64,2,0)," ")</f>
        <v>N/A</v>
      </c>
      <c r="AB20" s="57" t="s">
        <v>349</v>
      </c>
      <c r="AC20" s="132" t="s">
        <v>205</v>
      </c>
    </row>
    <row r="21" spans="2:29" s="28" customFormat="1" ht="71.25">
      <c r="B21" s="85">
        <v>20240449</v>
      </c>
      <c r="C21" s="53" t="s">
        <v>210</v>
      </c>
      <c r="D21" s="129" t="s">
        <v>170</v>
      </c>
      <c r="E21" s="54" t="s">
        <v>461</v>
      </c>
      <c r="F21" s="129" t="s">
        <v>492</v>
      </c>
      <c r="G21" s="129" t="s">
        <v>110</v>
      </c>
      <c r="H21" s="117" t="s">
        <v>500</v>
      </c>
      <c r="I21" s="130">
        <v>8</v>
      </c>
      <c r="J21" s="130">
        <v>6</v>
      </c>
      <c r="K21" s="56">
        <v>0</v>
      </c>
      <c r="L21" s="57">
        <f>4554654052-67500000-358750000-30000000-355000000-200000000-300000000-35000000</f>
        <v>3208404052</v>
      </c>
      <c r="M21" s="129" t="s">
        <v>173</v>
      </c>
      <c r="N21" s="57" t="s">
        <v>96</v>
      </c>
      <c r="O21" s="54" t="s">
        <v>223</v>
      </c>
      <c r="P21" s="131" t="str">
        <f>IFERROR(VLOOKUP(C21,TD!$B$32:$F$36,2,0)," ")</f>
        <v>O230117</v>
      </c>
      <c r="Q21" s="131" t="str">
        <f>IFERROR(VLOOKUP(C21,TD!$B$32:$F$36,3,0)," ")</f>
        <v>4503</v>
      </c>
      <c r="R21" s="131">
        <f>IFERROR(VLOOKUP(C21,TD!$B$32:$F$36,4,0)," ")</f>
        <v>20240255</v>
      </c>
      <c r="S21" s="54" t="s">
        <v>190</v>
      </c>
      <c r="T21" s="131" t="str">
        <f>IFERROR(VLOOKUP(S21,TD!$J$33:$K$43,2,0)," ")</f>
        <v>Servicio de dotación y equipamento para el personal operativo</v>
      </c>
      <c r="U21" s="54" t="str">
        <f t="shared" si="0"/>
        <v>10-Servicio de dotación y equipamento para el personal operativo</v>
      </c>
      <c r="V21" s="54" t="s">
        <v>233</v>
      </c>
      <c r="W21" s="131" t="str">
        <f>IFERROR(VLOOKUP(V21,TD!$N$33:$O$45,2,0)," ")</f>
        <v>Servicio de atención a emergencias y desastres</v>
      </c>
      <c r="X21" s="54" t="str">
        <f t="shared" si="1"/>
        <v>004_Servicio de atención a emergencias y desastres</v>
      </c>
      <c r="Y21" s="54" t="str">
        <f t="shared" si="2"/>
        <v>10-Servicio de dotación y equipamento para el personal operativo 004_Servicio de atención a emergencias y desastres</v>
      </c>
      <c r="Z21" s="131" t="str">
        <f t="shared" si="3"/>
        <v>O23011745032024025510004</v>
      </c>
      <c r="AA21" s="131" t="str">
        <f>IFERROR(VLOOKUP(Y21,TD!$K$46:$L$64,2,0)," ")</f>
        <v>PM/0131/0110/45030040255</v>
      </c>
      <c r="AB21" s="57" t="s">
        <v>88</v>
      </c>
      <c r="AC21" s="132" t="s">
        <v>205</v>
      </c>
    </row>
    <row r="22" spans="2:29" s="28" customFormat="1" ht="42.75">
      <c r="B22" s="85">
        <v>20240461</v>
      </c>
      <c r="C22" s="53" t="s">
        <v>209</v>
      </c>
      <c r="D22" s="129" t="s">
        <v>163</v>
      </c>
      <c r="E22" s="54" t="s">
        <v>364</v>
      </c>
      <c r="F22" s="129" t="s">
        <v>637</v>
      </c>
      <c r="G22" s="129" t="s">
        <v>150</v>
      </c>
      <c r="H22" s="117" t="s">
        <v>674</v>
      </c>
      <c r="I22" s="130">
        <v>7</v>
      </c>
      <c r="J22" s="130">
        <v>12</v>
      </c>
      <c r="K22" s="56">
        <v>0</v>
      </c>
      <c r="L22" s="57">
        <v>175000000</v>
      </c>
      <c r="M22" s="129" t="s">
        <v>173</v>
      </c>
      <c r="N22" s="57" t="s">
        <v>114</v>
      </c>
      <c r="O22" s="54" t="s">
        <v>216</v>
      </c>
      <c r="P22" s="131" t="str">
        <f>IFERROR(VLOOKUP(C22,TD!$B$32:$F$36,2,0)," ")</f>
        <v>O230117</v>
      </c>
      <c r="Q22" s="131" t="str">
        <f>IFERROR(VLOOKUP(C22,TD!$B$32:$F$36,3,0)," ")</f>
        <v>4599</v>
      </c>
      <c r="R22" s="131">
        <f>IFERROR(VLOOKUP(C22,TD!$B$32:$F$36,4,0)," ")</f>
        <v>20240207</v>
      </c>
      <c r="S22" s="54" t="s">
        <v>180</v>
      </c>
      <c r="T22" s="131" t="str">
        <f>IFERROR(VLOOKUP(S22,TD!$J$33:$K$43,2,0)," ")</f>
        <v>Infraestructura Tecnológica   (Sistemas de Información y Tecnologia)</v>
      </c>
      <c r="U22" s="54" t="str">
        <f t="shared" si="0"/>
        <v>11-Infraestructura Tecnológica   (Sistemas de Información y Tecnologia)</v>
      </c>
      <c r="V22" s="54" t="s">
        <v>240</v>
      </c>
      <c r="W22" s="131" t="str">
        <f>IFERROR(VLOOKUP(V22,TD!$N$33:$O$45,2,0)," ")</f>
        <v>Servicios tecnológicos</v>
      </c>
      <c r="X22" s="54" t="str">
        <f t="shared" si="1"/>
        <v>007_Servicios tecnológicos</v>
      </c>
      <c r="Y22" s="54" t="str">
        <f t="shared" si="2"/>
        <v>11-Infraestructura Tecnológica   (Sistemas de Información y Tecnologia) 007_Servicios tecnológicos</v>
      </c>
      <c r="Z22" s="131" t="str">
        <f t="shared" si="3"/>
        <v>O23011745992024020711007</v>
      </c>
      <c r="AA22" s="131" t="str">
        <f>IFERROR(VLOOKUP(Y22,TD!$K$46:$L$64,2,0)," ")</f>
        <v>PM/0131/0111/45990070207</v>
      </c>
      <c r="AB22" s="57" t="s">
        <v>126</v>
      </c>
      <c r="AC22" s="132" t="s">
        <v>205</v>
      </c>
    </row>
    <row r="23" spans="2:29" s="28" customFormat="1" ht="71.25">
      <c r="B23" s="85">
        <v>20240532</v>
      </c>
      <c r="C23" s="53" t="s">
        <v>210</v>
      </c>
      <c r="D23" s="129" t="s">
        <v>167</v>
      </c>
      <c r="E23" s="54" t="s">
        <v>568</v>
      </c>
      <c r="F23" s="129" t="s">
        <v>596</v>
      </c>
      <c r="G23" s="129" t="s">
        <v>141</v>
      </c>
      <c r="H23" s="118" t="s">
        <v>615</v>
      </c>
      <c r="I23" s="130">
        <v>7</v>
      </c>
      <c r="J23" s="130">
        <v>5</v>
      </c>
      <c r="K23" s="56">
        <v>0</v>
      </c>
      <c r="L23" s="57">
        <v>50000000</v>
      </c>
      <c r="M23" s="129" t="s">
        <v>173</v>
      </c>
      <c r="N23" s="57" t="s">
        <v>109</v>
      </c>
      <c r="O23" s="54" t="s">
        <v>228</v>
      </c>
      <c r="P23" s="131" t="str">
        <f>IFERROR(VLOOKUP(C23,TD!$B$32:$F$36,2,0)," ")</f>
        <v>O230117</v>
      </c>
      <c r="Q23" s="131" t="str">
        <f>IFERROR(VLOOKUP(C23,TD!$B$32:$F$36,3,0)," ")</f>
        <v>4503</v>
      </c>
      <c r="R23" s="131">
        <f>IFERROR(VLOOKUP(C23,TD!$B$32:$F$36,4,0)," ")</f>
        <v>20240255</v>
      </c>
      <c r="S23" s="54" t="s">
        <v>186</v>
      </c>
      <c r="T23" s="131" t="str">
        <f>IFERROR(VLOOKUP(S23,TD!$J$33:$K$43,2,0)," ")</f>
        <v>Infraestructura física, mantenimiento y dotación (Sedes construidas, mantenidas reforzadas)</v>
      </c>
      <c r="U23" s="54" t="str">
        <f t="shared" si="0"/>
        <v>08-Infraestructura física, mantenimiento y dotación (Sedes construidas, mantenidas reforzadas)</v>
      </c>
      <c r="V23" s="54" t="s">
        <v>237</v>
      </c>
      <c r="W23" s="131" t="str">
        <f>IFERROR(VLOOKUP(V23,TD!$N$33:$O$45,2,0)," ")</f>
        <v>Estaciones de bomberos adecuadas</v>
      </c>
      <c r="X23" s="54" t="str">
        <f t="shared" si="1"/>
        <v>014_Estaciones de bomberos adecuadas</v>
      </c>
      <c r="Y23" s="54" t="str">
        <f t="shared" si="2"/>
        <v>08-Infraestructura física, mantenimiento y dotación (Sedes construidas, mantenidas reforzadas) 014_Estaciones de bomberos adecuadas</v>
      </c>
      <c r="Z23" s="131" t="str">
        <f t="shared" si="3"/>
        <v>O23011745032024025508014</v>
      </c>
      <c r="AA23" s="131" t="str">
        <f>IFERROR(VLOOKUP(Y23,TD!$K$46:$L$64,2,0)," ")</f>
        <v>PM/0131/0108/45030140255</v>
      </c>
      <c r="AB23" s="57" t="s">
        <v>103</v>
      </c>
      <c r="AC23" s="132" t="s">
        <v>205</v>
      </c>
    </row>
    <row r="24" spans="2:29" s="28" customFormat="1" ht="71.25">
      <c r="B24" s="85">
        <v>20240638</v>
      </c>
      <c r="C24" s="53" t="s">
        <v>210</v>
      </c>
      <c r="D24" s="129" t="s">
        <v>170</v>
      </c>
      <c r="E24" s="54" t="s">
        <v>461</v>
      </c>
      <c r="F24" s="129" t="s">
        <v>491</v>
      </c>
      <c r="G24" s="129" t="s">
        <v>110</v>
      </c>
      <c r="H24" s="55" t="s">
        <v>499</v>
      </c>
      <c r="I24" s="130">
        <v>8</v>
      </c>
      <c r="J24" s="130">
        <v>6</v>
      </c>
      <c r="K24" s="56">
        <v>0</v>
      </c>
      <c r="L24" s="57">
        <v>0</v>
      </c>
      <c r="M24" s="129" t="s">
        <v>173</v>
      </c>
      <c r="N24" s="57" t="s">
        <v>96</v>
      </c>
      <c r="O24" s="54" t="s">
        <v>223</v>
      </c>
      <c r="P24" s="131" t="str">
        <f>IFERROR(VLOOKUP(C24,TD!$B$32:$F$36,2,0)," ")</f>
        <v>O230117</v>
      </c>
      <c r="Q24" s="131" t="str">
        <f>IFERROR(VLOOKUP(C24,TD!$B$32:$F$36,3,0)," ")</f>
        <v>4503</v>
      </c>
      <c r="R24" s="131">
        <f>IFERROR(VLOOKUP(C24,TD!$B$32:$F$36,4,0)," ")</f>
        <v>20240255</v>
      </c>
      <c r="S24" s="54" t="s">
        <v>190</v>
      </c>
      <c r="T24" s="131" t="str">
        <f>IFERROR(VLOOKUP(S24,TD!$J$33:$K$43,2,0)," ")</f>
        <v>Servicio de dotación y equipamento para el personal operativo</v>
      </c>
      <c r="U24" s="54" t="str">
        <f t="shared" si="0"/>
        <v>10-Servicio de dotación y equipamento para el personal operativo</v>
      </c>
      <c r="V24" s="54" t="s">
        <v>233</v>
      </c>
      <c r="W24" s="131" t="str">
        <f>IFERROR(VLOOKUP(V24,TD!$N$33:$O$45,2,0)," ")</f>
        <v>Servicio de atención a emergencias y desastres</v>
      </c>
      <c r="X24" s="54" t="str">
        <f t="shared" si="1"/>
        <v>004_Servicio de atención a emergencias y desastres</v>
      </c>
      <c r="Y24" s="54" t="str">
        <f t="shared" si="2"/>
        <v>10-Servicio de dotación y equipamento para el personal operativo 004_Servicio de atención a emergencias y desastres</v>
      </c>
      <c r="Z24" s="131" t="str">
        <f t="shared" si="3"/>
        <v>O23011745032024025510004</v>
      </c>
      <c r="AA24" s="131" t="str">
        <f>IFERROR(VLOOKUP(Y24,TD!$K$46:$L$64,2,0)," ")</f>
        <v>PM/0131/0110/45030040255</v>
      </c>
      <c r="AB24" s="57" t="s">
        <v>88</v>
      </c>
      <c r="AC24" s="132" t="s">
        <v>205</v>
      </c>
    </row>
    <row r="25" spans="2:29" s="28" customFormat="1" ht="57">
      <c r="B25" s="85">
        <v>20240767</v>
      </c>
      <c r="C25" s="53" t="s">
        <v>209</v>
      </c>
      <c r="D25" s="129" t="s">
        <v>47</v>
      </c>
      <c r="E25" s="54" t="s">
        <v>351</v>
      </c>
      <c r="F25" s="129" t="s">
        <v>352</v>
      </c>
      <c r="G25" s="129" t="s">
        <v>156</v>
      </c>
      <c r="H25" s="119">
        <v>80111600</v>
      </c>
      <c r="I25" s="130">
        <v>8</v>
      </c>
      <c r="J25" s="130">
        <v>4</v>
      </c>
      <c r="K25" s="56">
        <v>0</v>
      </c>
      <c r="L25" s="57">
        <v>30000000</v>
      </c>
      <c r="M25" s="129" t="s">
        <v>173</v>
      </c>
      <c r="N25" s="57" t="s">
        <v>114</v>
      </c>
      <c r="O25" s="54" t="s">
        <v>220</v>
      </c>
      <c r="P25" s="131" t="str">
        <f>IFERROR(VLOOKUP(C25,TD!$B$32:$F$36,2,0)," ")</f>
        <v>O230117</v>
      </c>
      <c r="Q25" s="131" t="str">
        <f>IFERROR(VLOOKUP(C25,TD!$B$32:$F$36,3,0)," ")</f>
        <v>4599</v>
      </c>
      <c r="R25" s="131">
        <f>IFERROR(VLOOKUP(C25,TD!$B$32:$F$36,4,0)," ")</f>
        <v>20240207</v>
      </c>
      <c r="S25" s="54" t="s">
        <v>186</v>
      </c>
      <c r="T25" s="131" t="str">
        <f>IFERROR(VLOOKUP(S25,TD!$J$33:$K$43,2,0)," ")</f>
        <v>Infraestructura física, mantenimiento y dotación (Sedes construidas, mantenidas reforzadas)</v>
      </c>
      <c r="U25" s="54" t="str">
        <f t="shared" si="0"/>
        <v>08-Infraestructura física, mantenimiento y dotación (Sedes construidas, mantenidas reforzadas)</v>
      </c>
      <c r="V25" s="54" t="s">
        <v>239</v>
      </c>
      <c r="W25" s="131" t="str">
        <f>IFERROR(VLOOKUP(V25,TD!$N$33:$O$45,2,0)," ")</f>
        <v>Sedes mantenidas</v>
      </c>
      <c r="X25" s="54" t="str">
        <f t="shared" si="1"/>
        <v>016_Sedes mantenidas</v>
      </c>
      <c r="Y25" s="54" t="str">
        <f t="shared" si="2"/>
        <v>08-Infraestructura física, mantenimiento y dotación (Sedes construidas, mantenidas reforzadas) 016_Sedes mantenidas</v>
      </c>
      <c r="Z25" s="131" t="str">
        <f t="shared" si="3"/>
        <v>O23011745992024020708016</v>
      </c>
      <c r="AA25" s="131" t="str">
        <f>IFERROR(VLOOKUP(Y25,TD!$K$46:$L$64,2,0)," ")</f>
        <v>PM/0131/0108/45990160207</v>
      </c>
      <c r="AB25" s="57" t="s">
        <v>139</v>
      </c>
      <c r="AC25" s="132" t="s">
        <v>205</v>
      </c>
    </row>
    <row r="26" spans="2:29" s="28" customFormat="1" ht="57">
      <c r="B26" s="85">
        <v>20240768</v>
      </c>
      <c r="C26" s="53" t="s">
        <v>209</v>
      </c>
      <c r="D26" s="129" t="s">
        <v>47</v>
      </c>
      <c r="E26" s="54" t="s">
        <v>351</v>
      </c>
      <c r="F26" s="129" t="s">
        <v>353</v>
      </c>
      <c r="G26" s="129" t="s">
        <v>156</v>
      </c>
      <c r="H26" s="119">
        <v>80111600</v>
      </c>
      <c r="I26" s="130">
        <v>7</v>
      </c>
      <c r="J26" s="130">
        <v>5</v>
      </c>
      <c r="K26" s="56">
        <v>0</v>
      </c>
      <c r="L26" s="57">
        <v>35000000</v>
      </c>
      <c r="M26" s="129" t="s">
        <v>173</v>
      </c>
      <c r="N26" s="57" t="s">
        <v>114</v>
      </c>
      <c r="O26" s="54" t="s">
        <v>220</v>
      </c>
      <c r="P26" s="131" t="str">
        <f>IFERROR(VLOOKUP(C26,TD!$B$32:$F$36,2,0)," ")</f>
        <v>O230117</v>
      </c>
      <c r="Q26" s="131" t="str">
        <f>IFERROR(VLOOKUP(C26,TD!$B$32:$F$36,3,0)," ")</f>
        <v>4599</v>
      </c>
      <c r="R26" s="131">
        <f>IFERROR(VLOOKUP(C26,TD!$B$32:$F$36,4,0)," ")</f>
        <v>20240207</v>
      </c>
      <c r="S26" s="54" t="s">
        <v>186</v>
      </c>
      <c r="T26" s="131" t="str">
        <f>IFERROR(VLOOKUP(S26,TD!$J$33:$K$43,2,0)," ")</f>
        <v>Infraestructura física, mantenimiento y dotación (Sedes construidas, mantenidas reforzadas)</v>
      </c>
      <c r="U26" s="54" t="str">
        <f t="shared" si="0"/>
        <v>08-Infraestructura física, mantenimiento y dotación (Sedes construidas, mantenidas reforzadas)</v>
      </c>
      <c r="V26" s="54" t="s">
        <v>239</v>
      </c>
      <c r="W26" s="131" t="str">
        <f>IFERROR(VLOOKUP(V26,TD!$N$33:$O$45,2,0)," ")</f>
        <v>Sedes mantenidas</v>
      </c>
      <c r="X26" s="54" t="str">
        <f t="shared" si="1"/>
        <v>016_Sedes mantenidas</v>
      </c>
      <c r="Y26" s="54" t="str">
        <f t="shared" si="2"/>
        <v>08-Infraestructura física, mantenimiento y dotación (Sedes construidas, mantenidas reforzadas) 016_Sedes mantenidas</v>
      </c>
      <c r="Z26" s="131" t="str">
        <f t="shared" si="3"/>
        <v>O23011745992024020708016</v>
      </c>
      <c r="AA26" s="131" t="str">
        <f>IFERROR(VLOOKUP(Y26,TD!$K$46:$L$64,2,0)," ")</f>
        <v>PM/0131/0108/45990160207</v>
      </c>
      <c r="AB26" s="57" t="s">
        <v>139</v>
      </c>
      <c r="AC26" s="132" t="s">
        <v>205</v>
      </c>
    </row>
    <row r="27" spans="2:29" s="28" customFormat="1" ht="71.25">
      <c r="B27" s="85">
        <v>20240769</v>
      </c>
      <c r="C27" s="53" t="s">
        <v>209</v>
      </c>
      <c r="D27" s="129" t="s">
        <v>47</v>
      </c>
      <c r="E27" s="54" t="s">
        <v>351</v>
      </c>
      <c r="F27" s="129" t="s">
        <v>354</v>
      </c>
      <c r="G27" s="129" t="s">
        <v>156</v>
      </c>
      <c r="H27" s="119">
        <v>80111600</v>
      </c>
      <c r="I27" s="130">
        <v>8</v>
      </c>
      <c r="J27" s="130">
        <v>4</v>
      </c>
      <c r="K27" s="56">
        <v>0</v>
      </c>
      <c r="L27" s="57">
        <v>32000000</v>
      </c>
      <c r="M27" s="129" t="s">
        <v>173</v>
      </c>
      <c r="N27" s="57" t="s">
        <v>114</v>
      </c>
      <c r="O27" s="54" t="s">
        <v>220</v>
      </c>
      <c r="P27" s="131" t="str">
        <f>IFERROR(VLOOKUP(C27,TD!$B$32:$F$36,2,0)," ")</f>
        <v>O230117</v>
      </c>
      <c r="Q27" s="131" t="str">
        <f>IFERROR(VLOOKUP(C27,TD!$B$32:$F$36,3,0)," ")</f>
        <v>4599</v>
      </c>
      <c r="R27" s="131">
        <f>IFERROR(VLOOKUP(C27,TD!$B$32:$F$36,4,0)," ")</f>
        <v>20240207</v>
      </c>
      <c r="S27" s="54" t="s">
        <v>186</v>
      </c>
      <c r="T27" s="131" t="str">
        <f>IFERROR(VLOOKUP(S27,TD!$J$33:$K$43,2,0)," ")</f>
        <v>Infraestructura física, mantenimiento y dotación (Sedes construidas, mantenidas reforzadas)</v>
      </c>
      <c r="U27" s="54" t="str">
        <f t="shared" si="0"/>
        <v>08-Infraestructura física, mantenimiento y dotación (Sedes construidas, mantenidas reforzadas)</v>
      </c>
      <c r="V27" s="54" t="s">
        <v>239</v>
      </c>
      <c r="W27" s="131" t="str">
        <f>IFERROR(VLOOKUP(V27,TD!$N$33:$O$45,2,0)," ")</f>
        <v>Sedes mantenidas</v>
      </c>
      <c r="X27" s="54" t="str">
        <f t="shared" si="1"/>
        <v>016_Sedes mantenidas</v>
      </c>
      <c r="Y27" s="54" t="str">
        <f t="shared" si="2"/>
        <v>08-Infraestructura física, mantenimiento y dotación (Sedes construidas, mantenidas reforzadas) 016_Sedes mantenidas</v>
      </c>
      <c r="Z27" s="131" t="str">
        <f t="shared" si="3"/>
        <v>O23011745992024020708016</v>
      </c>
      <c r="AA27" s="131" t="str">
        <f>IFERROR(VLOOKUP(Y27,TD!$K$46:$L$64,2,0)," ")</f>
        <v>PM/0131/0108/45990160207</v>
      </c>
      <c r="AB27" s="57" t="s">
        <v>139</v>
      </c>
      <c r="AC27" s="132" t="s">
        <v>205</v>
      </c>
    </row>
    <row r="28" spans="2:29" s="28" customFormat="1" ht="57">
      <c r="B28" s="85">
        <v>20240770</v>
      </c>
      <c r="C28" s="53" t="s">
        <v>209</v>
      </c>
      <c r="D28" s="129" t="s">
        <v>47</v>
      </c>
      <c r="E28" s="54" t="s">
        <v>351</v>
      </c>
      <c r="F28" s="129" t="s">
        <v>355</v>
      </c>
      <c r="G28" s="129" t="s">
        <v>156</v>
      </c>
      <c r="H28" s="119">
        <v>80111600</v>
      </c>
      <c r="I28" s="130">
        <v>8</v>
      </c>
      <c r="J28" s="130">
        <v>4</v>
      </c>
      <c r="K28" s="56">
        <v>0</v>
      </c>
      <c r="L28" s="57">
        <v>24000000</v>
      </c>
      <c r="M28" s="129" t="s">
        <v>173</v>
      </c>
      <c r="N28" s="57" t="s">
        <v>114</v>
      </c>
      <c r="O28" s="54" t="s">
        <v>220</v>
      </c>
      <c r="P28" s="131" t="str">
        <f>IFERROR(VLOOKUP(C28,TD!$B$32:$F$36,2,0)," ")</f>
        <v>O230117</v>
      </c>
      <c r="Q28" s="131" t="str">
        <f>IFERROR(VLOOKUP(C28,TD!$B$32:$F$36,3,0)," ")</f>
        <v>4599</v>
      </c>
      <c r="R28" s="131">
        <f>IFERROR(VLOOKUP(C28,TD!$B$32:$F$36,4,0)," ")</f>
        <v>20240207</v>
      </c>
      <c r="S28" s="54" t="s">
        <v>186</v>
      </c>
      <c r="T28" s="131" t="str">
        <f>IFERROR(VLOOKUP(S28,TD!$J$33:$K$43,2,0)," ")</f>
        <v>Infraestructura física, mantenimiento y dotación (Sedes construidas, mantenidas reforzadas)</v>
      </c>
      <c r="U28" s="54" t="str">
        <f t="shared" si="0"/>
        <v>08-Infraestructura física, mantenimiento y dotación (Sedes construidas, mantenidas reforzadas)</v>
      </c>
      <c r="V28" s="54" t="s">
        <v>239</v>
      </c>
      <c r="W28" s="131" t="str">
        <f>IFERROR(VLOOKUP(V28,TD!$N$33:$O$45,2,0)," ")</f>
        <v>Sedes mantenidas</v>
      </c>
      <c r="X28" s="54" t="str">
        <f t="shared" si="1"/>
        <v>016_Sedes mantenidas</v>
      </c>
      <c r="Y28" s="54" t="str">
        <f t="shared" si="2"/>
        <v>08-Infraestructura física, mantenimiento y dotación (Sedes construidas, mantenidas reforzadas) 016_Sedes mantenidas</v>
      </c>
      <c r="Z28" s="131" t="str">
        <f t="shared" si="3"/>
        <v>O23011745992024020708016</v>
      </c>
      <c r="AA28" s="131" t="str">
        <f>IFERROR(VLOOKUP(Y28,TD!$K$46:$L$64,2,0)," ")</f>
        <v>PM/0131/0108/45990160207</v>
      </c>
      <c r="AB28" s="57" t="s">
        <v>139</v>
      </c>
      <c r="AC28" s="132" t="s">
        <v>205</v>
      </c>
    </row>
    <row r="29" spans="2:29" s="28" customFormat="1" ht="57">
      <c r="B29" s="85">
        <v>20240771</v>
      </c>
      <c r="C29" s="53" t="s">
        <v>209</v>
      </c>
      <c r="D29" s="129" t="s">
        <v>47</v>
      </c>
      <c r="E29" s="54" t="s">
        <v>351</v>
      </c>
      <c r="F29" s="129" t="s">
        <v>355</v>
      </c>
      <c r="G29" s="129" t="s">
        <v>156</v>
      </c>
      <c r="H29" s="119">
        <v>80111600</v>
      </c>
      <c r="I29" s="130">
        <v>8</v>
      </c>
      <c r="J29" s="130">
        <v>4</v>
      </c>
      <c r="K29" s="56">
        <v>0</v>
      </c>
      <c r="L29" s="57">
        <v>24000000</v>
      </c>
      <c r="M29" s="129" t="s">
        <v>173</v>
      </c>
      <c r="N29" s="57" t="s">
        <v>114</v>
      </c>
      <c r="O29" s="54" t="s">
        <v>220</v>
      </c>
      <c r="P29" s="131" t="str">
        <f>IFERROR(VLOOKUP(C29,TD!$B$32:$F$36,2,0)," ")</f>
        <v>O230117</v>
      </c>
      <c r="Q29" s="131" t="str">
        <f>IFERROR(VLOOKUP(C29,TD!$B$32:$F$36,3,0)," ")</f>
        <v>4599</v>
      </c>
      <c r="R29" s="131">
        <f>IFERROR(VLOOKUP(C29,TD!$B$32:$F$36,4,0)," ")</f>
        <v>20240207</v>
      </c>
      <c r="S29" s="54" t="s">
        <v>186</v>
      </c>
      <c r="T29" s="131" t="str">
        <f>IFERROR(VLOOKUP(S29,TD!$J$33:$K$43,2,0)," ")</f>
        <v>Infraestructura física, mantenimiento y dotación (Sedes construidas, mantenidas reforzadas)</v>
      </c>
      <c r="U29" s="54" t="str">
        <f t="shared" si="0"/>
        <v>08-Infraestructura física, mantenimiento y dotación (Sedes construidas, mantenidas reforzadas)</v>
      </c>
      <c r="V29" s="54" t="s">
        <v>239</v>
      </c>
      <c r="W29" s="131" t="str">
        <f>IFERROR(VLOOKUP(V29,TD!$N$33:$O$45,2,0)," ")</f>
        <v>Sedes mantenidas</v>
      </c>
      <c r="X29" s="54" t="str">
        <f t="shared" si="1"/>
        <v>016_Sedes mantenidas</v>
      </c>
      <c r="Y29" s="54" t="str">
        <f t="shared" si="2"/>
        <v>08-Infraestructura física, mantenimiento y dotación (Sedes construidas, mantenidas reforzadas) 016_Sedes mantenidas</v>
      </c>
      <c r="Z29" s="131" t="str">
        <f t="shared" si="3"/>
        <v>O23011745992024020708016</v>
      </c>
      <c r="AA29" s="131" t="str">
        <f>IFERROR(VLOOKUP(Y29,TD!$K$46:$L$64,2,0)," ")</f>
        <v>PM/0131/0108/45990160207</v>
      </c>
      <c r="AB29" s="57" t="s">
        <v>139</v>
      </c>
      <c r="AC29" s="132" t="s">
        <v>205</v>
      </c>
    </row>
    <row r="30" spans="2:29" s="28" customFormat="1" ht="57">
      <c r="B30" s="85">
        <v>20240772</v>
      </c>
      <c r="C30" s="53" t="s">
        <v>209</v>
      </c>
      <c r="D30" s="129" t="s">
        <v>47</v>
      </c>
      <c r="E30" s="54" t="s">
        <v>351</v>
      </c>
      <c r="F30" s="129" t="s">
        <v>355</v>
      </c>
      <c r="G30" s="129" t="s">
        <v>156</v>
      </c>
      <c r="H30" s="119">
        <v>80111600</v>
      </c>
      <c r="I30" s="130">
        <v>8</v>
      </c>
      <c r="J30" s="130">
        <v>3</v>
      </c>
      <c r="K30" s="56">
        <v>0</v>
      </c>
      <c r="L30" s="57">
        <v>18000000</v>
      </c>
      <c r="M30" s="129" t="s">
        <v>173</v>
      </c>
      <c r="N30" s="57" t="s">
        <v>114</v>
      </c>
      <c r="O30" s="54" t="s">
        <v>220</v>
      </c>
      <c r="P30" s="131" t="str">
        <f>IFERROR(VLOOKUP(C30,TD!$B$32:$F$36,2,0)," ")</f>
        <v>O230117</v>
      </c>
      <c r="Q30" s="131" t="str">
        <f>IFERROR(VLOOKUP(C30,TD!$B$32:$F$36,3,0)," ")</f>
        <v>4599</v>
      </c>
      <c r="R30" s="131">
        <f>IFERROR(VLOOKUP(C30,TD!$B$32:$F$36,4,0)," ")</f>
        <v>20240207</v>
      </c>
      <c r="S30" s="54" t="s">
        <v>186</v>
      </c>
      <c r="T30" s="131" t="str">
        <f>IFERROR(VLOOKUP(S30,TD!$J$33:$K$43,2,0)," ")</f>
        <v>Infraestructura física, mantenimiento y dotación (Sedes construidas, mantenidas reforzadas)</v>
      </c>
      <c r="U30" s="54" t="str">
        <f t="shared" si="0"/>
        <v>08-Infraestructura física, mantenimiento y dotación (Sedes construidas, mantenidas reforzadas)</v>
      </c>
      <c r="V30" s="54" t="s">
        <v>239</v>
      </c>
      <c r="W30" s="131" t="str">
        <f>IFERROR(VLOOKUP(V30,TD!$N$33:$O$45,2,0)," ")</f>
        <v>Sedes mantenidas</v>
      </c>
      <c r="X30" s="54" t="str">
        <f t="shared" si="1"/>
        <v>016_Sedes mantenidas</v>
      </c>
      <c r="Y30" s="54" t="str">
        <f t="shared" si="2"/>
        <v>08-Infraestructura física, mantenimiento y dotación (Sedes construidas, mantenidas reforzadas) 016_Sedes mantenidas</v>
      </c>
      <c r="Z30" s="131" t="str">
        <f t="shared" si="3"/>
        <v>O23011745992024020708016</v>
      </c>
      <c r="AA30" s="131" t="str">
        <f>IFERROR(VLOOKUP(Y30,TD!$K$46:$L$64,2,0)," ")</f>
        <v>PM/0131/0108/45990160207</v>
      </c>
      <c r="AB30" s="57" t="s">
        <v>139</v>
      </c>
      <c r="AC30" s="132" t="s">
        <v>205</v>
      </c>
    </row>
    <row r="31" spans="2:29" s="28" customFormat="1" ht="57">
      <c r="B31" s="85">
        <v>20240773</v>
      </c>
      <c r="C31" s="53" t="s">
        <v>209</v>
      </c>
      <c r="D31" s="129" t="s">
        <v>47</v>
      </c>
      <c r="E31" s="54" t="s">
        <v>351</v>
      </c>
      <c r="F31" s="129" t="s">
        <v>356</v>
      </c>
      <c r="G31" s="129" t="s">
        <v>156</v>
      </c>
      <c r="H31" s="119">
        <v>80111600</v>
      </c>
      <c r="I31" s="130">
        <v>9</v>
      </c>
      <c r="J31" s="130">
        <v>4</v>
      </c>
      <c r="K31" s="56">
        <v>0</v>
      </c>
      <c r="L31" s="57">
        <v>20000000</v>
      </c>
      <c r="M31" s="129" t="s">
        <v>173</v>
      </c>
      <c r="N31" s="57" t="s">
        <v>114</v>
      </c>
      <c r="O31" s="54" t="s">
        <v>220</v>
      </c>
      <c r="P31" s="131" t="str">
        <f>IFERROR(VLOOKUP(C31,TD!$B$32:$F$36,2,0)," ")</f>
        <v>O230117</v>
      </c>
      <c r="Q31" s="131" t="str">
        <f>IFERROR(VLOOKUP(C31,TD!$B$32:$F$36,3,0)," ")</f>
        <v>4599</v>
      </c>
      <c r="R31" s="131">
        <f>IFERROR(VLOOKUP(C31,TD!$B$32:$F$36,4,0)," ")</f>
        <v>20240207</v>
      </c>
      <c r="S31" s="54" t="s">
        <v>186</v>
      </c>
      <c r="T31" s="131" t="str">
        <f>IFERROR(VLOOKUP(S31,TD!$J$33:$K$43,2,0)," ")</f>
        <v>Infraestructura física, mantenimiento y dotación (Sedes construidas, mantenidas reforzadas)</v>
      </c>
      <c r="U31" s="54" t="str">
        <f t="shared" si="0"/>
        <v>08-Infraestructura física, mantenimiento y dotación (Sedes construidas, mantenidas reforzadas)</v>
      </c>
      <c r="V31" s="54" t="s">
        <v>239</v>
      </c>
      <c r="W31" s="131" t="str">
        <f>IFERROR(VLOOKUP(V31,TD!$N$33:$O$45,2,0)," ")</f>
        <v>Sedes mantenidas</v>
      </c>
      <c r="X31" s="54" t="str">
        <f t="shared" si="1"/>
        <v>016_Sedes mantenidas</v>
      </c>
      <c r="Y31" s="54" t="str">
        <f t="shared" si="2"/>
        <v>08-Infraestructura física, mantenimiento y dotación (Sedes construidas, mantenidas reforzadas) 016_Sedes mantenidas</v>
      </c>
      <c r="Z31" s="131" t="str">
        <f t="shared" si="3"/>
        <v>O23011745992024020708016</v>
      </c>
      <c r="AA31" s="131" t="str">
        <f>IFERROR(VLOOKUP(Y31,TD!$K$46:$L$64,2,0)," ")</f>
        <v>PM/0131/0108/45990160207</v>
      </c>
      <c r="AB31" s="57" t="s">
        <v>139</v>
      </c>
      <c r="AC31" s="132" t="s">
        <v>205</v>
      </c>
    </row>
    <row r="32" spans="2:29" s="28" customFormat="1" ht="71.25">
      <c r="B32" s="85">
        <v>20240774</v>
      </c>
      <c r="C32" s="53" t="s">
        <v>209</v>
      </c>
      <c r="D32" s="129" t="s">
        <v>47</v>
      </c>
      <c r="E32" s="54" t="s">
        <v>351</v>
      </c>
      <c r="F32" s="129" t="s">
        <v>357</v>
      </c>
      <c r="G32" s="129" t="s">
        <v>157</v>
      </c>
      <c r="H32" s="119">
        <v>80111600</v>
      </c>
      <c r="I32" s="130">
        <v>8</v>
      </c>
      <c r="J32" s="130">
        <v>4</v>
      </c>
      <c r="K32" s="56">
        <v>7</v>
      </c>
      <c r="L32" s="57">
        <v>14058000</v>
      </c>
      <c r="M32" s="129" t="s">
        <v>173</v>
      </c>
      <c r="N32" s="57" t="s">
        <v>114</v>
      </c>
      <c r="O32" s="54" t="s">
        <v>220</v>
      </c>
      <c r="P32" s="131" t="str">
        <f>IFERROR(VLOOKUP(C32,TD!$B$32:$F$36,2,0)," ")</f>
        <v>O230117</v>
      </c>
      <c r="Q32" s="131" t="str">
        <f>IFERROR(VLOOKUP(C32,TD!$B$32:$F$36,3,0)," ")</f>
        <v>4599</v>
      </c>
      <c r="R32" s="131">
        <f>IFERROR(VLOOKUP(C32,TD!$B$32:$F$36,4,0)," ")</f>
        <v>20240207</v>
      </c>
      <c r="S32" s="54" t="s">
        <v>186</v>
      </c>
      <c r="T32" s="131" t="str">
        <f>IFERROR(VLOOKUP(S32,TD!$J$33:$K$43,2,0)," ")</f>
        <v>Infraestructura física, mantenimiento y dotación (Sedes construidas, mantenidas reforzadas)</v>
      </c>
      <c r="U32" s="54" t="str">
        <f t="shared" si="0"/>
        <v>08-Infraestructura física, mantenimiento y dotación (Sedes construidas, mantenidas reforzadas)</v>
      </c>
      <c r="V32" s="54" t="s">
        <v>239</v>
      </c>
      <c r="W32" s="131" t="str">
        <f>IFERROR(VLOOKUP(V32,TD!$N$33:$O$45,2,0)," ")</f>
        <v>Sedes mantenidas</v>
      </c>
      <c r="X32" s="54" t="str">
        <f t="shared" si="1"/>
        <v>016_Sedes mantenidas</v>
      </c>
      <c r="Y32" s="54" t="str">
        <f t="shared" si="2"/>
        <v>08-Infraestructura física, mantenimiento y dotación (Sedes construidas, mantenidas reforzadas) 016_Sedes mantenidas</v>
      </c>
      <c r="Z32" s="131" t="str">
        <f t="shared" si="3"/>
        <v>O23011745992024020708016</v>
      </c>
      <c r="AA32" s="131" t="str">
        <f>IFERROR(VLOOKUP(Y32,TD!$K$46:$L$64,2,0)," ")</f>
        <v>PM/0131/0108/45990160207</v>
      </c>
      <c r="AB32" s="57" t="s">
        <v>139</v>
      </c>
      <c r="AC32" s="132" t="s">
        <v>205</v>
      </c>
    </row>
    <row r="33" spans="2:29" s="28" customFormat="1" ht="71.25">
      <c r="B33" s="85">
        <v>20240775</v>
      </c>
      <c r="C33" s="53" t="s">
        <v>209</v>
      </c>
      <c r="D33" s="129" t="s">
        <v>47</v>
      </c>
      <c r="E33" s="54" t="s">
        <v>351</v>
      </c>
      <c r="F33" s="129" t="s">
        <v>358</v>
      </c>
      <c r="G33" s="129" t="s">
        <v>157</v>
      </c>
      <c r="H33" s="119">
        <v>80111600</v>
      </c>
      <c r="I33" s="130">
        <v>9</v>
      </c>
      <c r="J33" s="130">
        <v>4</v>
      </c>
      <c r="K33" s="56">
        <v>0</v>
      </c>
      <c r="L33" s="57">
        <v>9500000</v>
      </c>
      <c r="M33" s="129" t="s">
        <v>173</v>
      </c>
      <c r="N33" s="57" t="s">
        <v>114</v>
      </c>
      <c r="O33" s="54" t="s">
        <v>220</v>
      </c>
      <c r="P33" s="131" t="str">
        <f>IFERROR(VLOOKUP(C33,TD!$B$32:$F$36,2,0)," ")</f>
        <v>O230117</v>
      </c>
      <c r="Q33" s="131" t="str">
        <f>IFERROR(VLOOKUP(C33,TD!$B$32:$F$36,3,0)," ")</f>
        <v>4599</v>
      </c>
      <c r="R33" s="131">
        <f>IFERROR(VLOOKUP(C33,TD!$B$32:$F$36,4,0)," ")</f>
        <v>20240207</v>
      </c>
      <c r="S33" s="54" t="s">
        <v>186</v>
      </c>
      <c r="T33" s="131" t="str">
        <f>IFERROR(VLOOKUP(S33,TD!$J$33:$K$43,2,0)," ")</f>
        <v>Infraestructura física, mantenimiento y dotación (Sedes construidas, mantenidas reforzadas)</v>
      </c>
      <c r="U33" s="54" t="str">
        <f t="shared" si="0"/>
        <v>08-Infraestructura física, mantenimiento y dotación (Sedes construidas, mantenidas reforzadas)</v>
      </c>
      <c r="V33" s="54" t="s">
        <v>239</v>
      </c>
      <c r="W33" s="131" t="str">
        <f>IFERROR(VLOOKUP(V33,TD!$N$33:$O$45,2,0)," ")</f>
        <v>Sedes mantenidas</v>
      </c>
      <c r="X33" s="54" t="str">
        <f t="shared" si="1"/>
        <v>016_Sedes mantenidas</v>
      </c>
      <c r="Y33" s="54" t="str">
        <f t="shared" si="2"/>
        <v>08-Infraestructura física, mantenimiento y dotación (Sedes construidas, mantenidas reforzadas) 016_Sedes mantenidas</v>
      </c>
      <c r="Z33" s="131" t="str">
        <f t="shared" si="3"/>
        <v>O23011745992024020708016</v>
      </c>
      <c r="AA33" s="131" t="str">
        <f>IFERROR(VLOOKUP(Y33,TD!$K$46:$L$64,2,0)," ")</f>
        <v>PM/0131/0108/45990160207</v>
      </c>
      <c r="AB33" s="57" t="s">
        <v>139</v>
      </c>
      <c r="AC33" s="132" t="s">
        <v>205</v>
      </c>
    </row>
    <row r="34" spans="2:29" s="28" customFormat="1" ht="57">
      <c r="B34" s="85">
        <v>20240776</v>
      </c>
      <c r="C34" s="53" t="s">
        <v>209</v>
      </c>
      <c r="D34" s="129" t="s">
        <v>164</v>
      </c>
      <c r="E34" s="54" t="s">
        <v>359</v>
      </c>
      <c r="F34" s="129" t="s">
        <v>360</v>
      </c>
      <c r="G34" s="129" t="s">
        <v>156</v>
      </c>
      <c r="H34" s="119">
        <v>80111600</v>
      </c>
      <c r="I34" s="130">
        <v>8</v>
      </c>
      <c r="J34" s="130">
        <v>5</v>
      </c>
      <c r="K34" s="56">
        <v>17</v>
      </c>
      <c r="L34" s="57">
        <v>40636667</v>
      </c>
      <c r="M34" s="129" t="s">
        <v>173</v>
      </c>
      <c r="N34" s="57" t="s">
        <v>114</v>
      </c>
      <c r="O34" s="54" t="s">
        <v>220</v>
      </c>
      <c r="P34" s="131" t="str">
        <f>IFERROR(VLOOKUP(C34,TD!$B$32:$F$36,2,0)," ")</f>
        <v>O230117</v>
      </c>
      <c r="Q34" s="131" t="str">
        <f>IFERROR(VLOOKUP(C34,TD!$B$32:$F$36,3,0)," ")</f>
        <v>4599</v>
      </c>
      <c r="R34" s="131">
        <f>IFERROR(VLOOKUP(C34,TD!$B$32:$F$36,4,0)," ")</f>
        <v>20240207</v>
      </c>
      <c r="S34" s="54" t="s">
        <v>186</v>
      </c>
      <c r="T34" s="131" t="str">
        <f>IFERROR(VLOOKUP(S34,TD!$J$33:$K$43,2,0)," ")</f>
        <v>Infraestructura física, mantenimiento y dotación (Sedes construidas, mantenidas reforzadas)</v>
      </c>
      <c r="U34" s="54" t="str">
        <f t="shared" si="0"/>
        <v>08-Infraestructura física, mantenimiento y dotación (Sedes construidas, mantenidas reforzadas)</v>
      </c>
      <c r="V34" s="54" t="s">
        <v>239</v>
      </c>
      <c r="W34" s="131" t="str">
        <f>IFERROR(VLOOKUP(V34,TD!$N$33:$O$45,2,0)," ")</f>
        <v>Sedes mantenidas</v>
      </c>
      <c r="X34" s="54" t="str">
        <f t="shared" si="1"/>
        <v>016_Sedes mantenidas</v>
      </c>
      <c r="Y34" s="54" t="str">
        <f t="shared" si="2"/>
        <v>08-Infraestructura física, mantenimiento y dotación (Sedes construidas, mantenidas reforzadas) 016_Sedes mantenidas</v>
      </c>
      <c r="Z34" s="131" t="str">
        <f t="shared" si="3"/>
        <v>O23011745992024020708016</v>
      </c>
      <c r="AA34" s="131" t="str">
        <f>IFERROR(VLOOKUP(Y34,TD!$K$46:$L$64,2,0)," ")</f>
        <v>PM/0131/0108/45990160207</v>
      </c>
      <c r="AB34" s="57" t="s">
        <v>139</v>
      </c>
      <c r="AC34" s="132" t="s">
        <v>205</v>
      </c>
    </row>
    <row r="35" spans="2:29" s="28" customFormat="1" ht="57">
      <c r="B35" s="85">
        <v>20240777</v>
      </c>
      <c r="C35" s="53" t="s">
        <v>209</v>
      </c>
      <c r="D35" s="129" t="s">
        <v>164</v>
      </c>
      <c r="E35" s="54" t="s">
        <v>359</v>
      </c>
      <c r="F35" s="129" t="s">
        <v>361</v>
      </c>
      <c r="G35" s="129" t="s">
        <v>156</v>
      </c>
      <c r="H35" s="119">
        <v>80111600</v>
      </c>
      <c r="I35" s="130">
        <v>8</v>
      </c>
      <c r="J35" s="130">
        <v>5</v>
      </c>
      <c r="K35" s="56">
        <v>8</v>
      </c>
      <c r="L35" s="57">
        <v>38446667</v>
      </c>
      <c r="M35" s="129" t="s">
        <v>173</v>
      </c>
      <c r="N35" s="57" t="s">
        <v>114</v>
      </c>
      <c r="O35" s="54" t="s">
        <v>220</v>
      </c>
      <c r="P35" s="131" t="str">
        <f>IFERROR(VLOOKUP(C35,TD!$B$32:$F$36,2,0)," ")</f>
        <v>O230117</v>
      </c>
      <c r="Q35" s="131" t="str">
        <f>IFERROR(VLOOKUP(C35,TD!$B$32:$F$36,3,0)," ")</f>
        <v>4599</v>
      </c>
      <c r="R35" s="131">
        <f>IFERROR(VLOOKUP(C35,TD!$B$32:$F$36,4,0)," ")</f>
        <v>20240207</v>
      </c>
      <c r="S35" s="54" t="s">
        <v>186</v>
      </c>
      <c r="T35" s="131" t="str">
        <f>IFERROR(VLOOKUP(S35,TD!$J$33:$K$43,2,0)," ")</f>
        <v>Infraestructura física, mantenimiento y dotación (Sedes construidas, mantenidas reforzadas)</v>
      </c>
      <c r="U35" s="54" t="str">
        <f t="shared" si="0"/>
        <v>08-Infraestructura física, mantenimiento y dotación (Sedes construidas, mantenidas reforzadas)</v>
      </c>
      <c r="V35" s="54" t="s">
        <v>239</v>
      </c>
      <c r="W35" s="131" t="str">
        <f>IFERROR(VLOOKUP(V35,TD!$N$33:$O$45,2,0)," ")</f>
        <v>Sedes mantenidas</v>
      </c>
      <c r="X35" s="54" t="str">
        <f t="shared" si="1"/>
        <v>016_Sedes mantenidas</v>
      </c>
      <c r="Y35" s="54" t="str">
        <f t="shared" si="2"/>
        <v>08-Infraestructura física, mantenimiento y dotación (Sedes construidas, mantenidas reforzadas) 016_Sedes mantenidas</v>
      </c>
      <c r="Z35" s="131" t="str">
        <f t="shared" si="3"/>
        <v>O23011745992024020708016</v>
      </c>
      <c r="AA35" s="131" t="str">
        <f>IFERROR(VLOOKUP(Y35,TD!$K$46:$L$64,2,0)," ")</f>
        <v>PM/0131/0108/45990160207</v>
      </c>
      <c r="AB35" s="57" t="s">
        <v>139</v>
      </c>
      <c r="AC35" s="132" t="s">
        <v>205</v>
      </c>
    </row>
    <row r="36" spans="2:29" s="28" customFormat="1" ht="57">
      <c r="B36" s="85">
        <v>20240778</v>
      </c>
      <c r="C36" s="53" t="s">
        <v>209</v>
      </c>
      <c r="D36" s="129" t="s">
        <v>164</v>
      </c>
      <c r="E36" s="54" t="s">
        <v>359</v>
      </c>
      <c r="F36" s="129" t="s">
        <v>362</v>
      </c>
      <c r="G36" s="129" t="s">
        <v>156</v>
      </c>
      <c r="H36" s="119">
        <v>80111600</v>
      </c>
      <c r="I36" s="130">
        <v>7</v>
      </c>
      <c r="J36" s="130">
        <v>5</v>
      </c>
      <c r="K36" s="56">
        <v>6</v>
      </c>
      <c r="L36" s="57">
        <v>22922507</v>
      </c>
      <c r="M36" s="129" t="s">
        <v>173</v>
      </c>
      <c r="N36" s="57" t="s">
        <v>114</v>
      </c>
      <c r="O36" s="54" t="s">
        <v>220</v>
      </c>
      <c r="P36" s="131" t="str">
        <f>IFERROR(VLOOKUP(C36,TD!$B$32:$F$36,2,0)," ")</f>
        <v>O230117</v>
      </c>
      <c r="Q36" s="131" t="str">
        <f>IFERROR(VLOOKUP(C36,TD!$B$32:$F$36,3,0)," ")</f>
        <v>4599</v>
      </c>
      <c r="R36" s="131">
        <f>IFERROR(VLOOKUP(C36,TD!$B$32:$F$36,4,0)," ")</f>
        <v>20240207</v>
      </c>
      <c r="S36" s="54" t="s">
        <v>186</v>
      </c>
      <c r="T36" s="131" t="str">
        <f>IFERROR(VLOOKUP(S36,TD!$J$33:$K$43,2,0)," ")</f>
        <v>Infraestructura física, mantenimiento y dotación (Sedes construidas, mantenidas reforzadas)</v>
      </c>
      <c r="U36" s="54" t="str">
        <f t="shared" si="0"/>
        <v>08-Infraestructura física, mantenimiento y dotación (Sedes construidas, mantenidas reforzadas)</v>
      </c>
      <c r="V36" s="54" t="s">
        <v>239</v>
      </c>
      <c r="W36" s="131" t="str">
        <f>IFERROR(VLOOKUP(V36,TD!$N$33:$O$45,2,0)," ")</f>
        <v>Sedes mantenidas</v>
      </c>
      <c r="X36" s="54" t="str">
        <f t="shared" si="1"/>
        <v>016_Sedes mantenidas</v>
      </c>
      <c r="Y36" s="54" t="str">
        <f t="shared" si="2"/>
        <v>08-Infraestructura física, mantenimiento y dotación (Sedes construidas, mantenidas reforzadas) 016_Sedes mantenidas</v>
      </c>
      <c r="Z36" s="131" t="str">
        <f t="shared" si="3"/>
        <v>O23011745992024020708016</v>
      </c>
      <c r="AA36" s="131" t="str">
        <f>IFERROR(VLOOKUP(Y36,TD!$K$46:$L$64,2,0)," ")</f>
        <v>PM/0131/0108/45990160207</v>
      </c>
      <c r="AB36" s="57" t="s">
        <v>139</v>
      </c>
      <c r="AC36" s="132" t="s">
        <v>205</v>
      </c>
    </row>
    <row r="37" spans="2:29" s="28" customFormat="1" ht="57">
      <c r="B37" s="85">
        <v>20240779</v>
      </c>
      <c r="C37" s="53" t="s">
        <v>209</v>
      </c>
      <c r="D37" s="129" t="s">
        <v>164</v>
      </c>
      <c r="E37" s="54" t="s">
        <v>359</v>
      </c>
      <c r="F37" s="129" t="s">
        <v>362</v>
      </c>
      <c r="G37" s="129" t="s">
        <v>156</v>
      </c>
      <c r="H37" s="119">
        <v>80111600</v>
      </c>
      <c r="I37" s="130">
        <v>8</v>
      </c>
      <c r="J37" s="130">
        <v>6</v>
      </c>
      <c r="K37" s="56">
        <v>22</v>
      </c>
      <c r="L37" s="57">
        <v>49153333</v>
      </c>
      <c r="M37" s="129" t="s">
        <v>173</v>
      </c>
      <c r="N37" s="57" t="s">
        <v>114</v>
      </c>
      <c r="O37" s="54" t="s">
        <v>220</v>
      </c>
      <c r="P37" s="131" t="str">
        <f>IFERROR(VLOOKUP(C37,TD!$B$32:$F$36,2,0)," ")</f>
        <v>O230117</v>
      </c>
      <c r="Q37" s="131" t="str">
        <f>IFERROR(VLOOKUP(C37,TD!$B$32:$F$36,3,0)," ")</f>
        <v>4599</v>
      </c>
      <c r="R37" s="131">
        <f>IFERROR(VLOOKUP(C37,TD!$B$32:$F$36,4,0)," ")</f>
        <v>20240207</v>
      </c>
      <c r="S37" s="54" t="s">
        <v>186</v>
      </c>
      <c r="T37" s="131" t="str">
        <f>IFERROR(VLOOKUP(S37,TD!$J$33:$K$43,2,0)," ")</f>
        <v>Infraestructura física, mantenimiento y dotación (Sedes construidas, mantenidas reforzadas)</v>
      </c>
      <c r="U37" s="54" t="str">
        <f t="shared" si="0"/>
        <v>08-Infraestructura física, mantenimiento y dotación (Sedes construidas, mantenidas reforzadas)</v>
      </c>
      <c r="V37" s="54" t="s">
        <v>239</v>
      </c>
      <c r="W37" s="131" t="str">
        <f>IFERROR(VLOOKUP(V37,TD!$N$33:$O$45,2,0)," ")</f>
        <v>Sedes mantenidas</v>
      </c>
      <c r="X37" s="54" t="str">
        <f t="shared" si="1"/>
        <v>016_Sedes mantenidas</v>
      </c>
      <c r="Y37" s="54" t="str">
        <f t="shared" si="2"/>
        <v>08-Infraestructura física, mantenimiento y dotación (Sedes construidas, mantenidas reforzadas) 016_Sedes mantenidas</v>
      </c>
      <c r="Z37" s="131" t="str">
        <f t="shared" si="3"/>
        <v>O23011745992024020708016</v>
      </c>
      <c r="AA37" s="131" t="str">
        <f>IFERROR(VLOOKUP(Y37,TD!$K$46:$L$64,2,0)," ")</f>
        <v>PM/0131/0108/45990160207</v>
      </c>
      <c r="AB37" s="57" t="s">
        <v>139</v>
      </c>
      <c r="AC37" s="132" t="s">
        <v>205</v>
      </c>
    </row>
    <row r="38" spans="2:29" s="28" customFormat="1" ht="71.25">
      <c r="B38" s="85">
        <v>20240780</v>
      </c>
      <c r="C38" s="53" t="s">
        <v>209</v>
      </c>
      <c r="D38" s="129" t="s">
        <v>164</v>
      </c>
      <c r="E38" s="54" t="s">
        <v>359</v>
      </c>
      <c r="F38" s="129" t="s">
        <v>363</v>
      </c>
      <c r="G38" s="129" t="s">
        <v>157</v>
      </c>
      <c r="H38" s="119">
        <v>80111600</v>
      </c>
      <c r="I38" s="130">
        <v>8</v>
      </c>
      <c r="J38" s="130">
        <v>5</v>
      </c>
      <c r="K38" s="56">
        <v>15</v>
      </c>
      <c r="L38" s="57">
        <v>19909120</v>
      </c>
      <c r="M38" s="129" t="s">
        <v>173</v>
      </c>
      <c r="N38" s="57" t="s">
        <v>114</v>
      </c>
      <c r="O38" s="54" t="s">
        <v>220</v>
      </c>
      <c r="P38" s="131" t="str">
        <f>IFERROR(VLOOKUP(C38,TD!$B$32:$F$36,2,0)," ")</f>
        <v>O230117</v>
      </c>
      <c r="Q38" s="131" t="str">
        <f>IFERROR(VLOOKUP(C38,TD!$B$32:$F$36,3,0)," ")</f>
        <v>4599</v>
      </c>
      <c r="R38" s="131">
        <f>IFERROR(VLOOKUP(C38,TD!$B$32:$F$36,4,0)," ")</f>
        <v>20240207</v>
      </c>
      <c r="S38" s="54" t="s">
        <v>186</v>
      </c>
      <c r="T38" s="131" t="str">
        <f>IFERROR(VLOOKUP(S38,TD!$J$33:$K$43,2,0)," ")</f>
        <v>Infraestructura física, mantenimiento y dotación (Sedes construidas, mantenidas reforzadas)</v>
      </c>
      <c r="U38" s="54" t="str">
        <f t="shared" si="0"/>
        <v>08-Infraestructura física, mantenimiento y dotación (Sedes construidas, mantenidas reforzadas)</v>
      </c>
      <c r="V38" s="54" t="s">
        <v>239</v>
      </c>
      <c r="W38" s="131" t="str">
        <f>IFERROR(VLOOKUP(V38,TD!$N$33:$O$45,2,0)," ")</f>
        <v>Sedes mantenidas</v>
      </c>
      <c r="X38" s="54" t="str">
        <f t="shared" si="1"/>
        <v>016_Sedes mantenidas</v>
      </c>
      <c r="Y38" s="54" t="str">
        <f t="shared" si="2"/>
        <v>08-Infraestructura física, mantenimiento y dotación (Sedes construidas, mantenidas reforzadas) 016_Sedes mantenidas</v>
      </c>
      <c r="Z38" s="131" t="str">
        <f t="shared" si="3"/>
        <v>O23011745992024020708016</v>
      </c>
      <c r="AA38" s="131" t="str">
        <f>IFERROR(VLOOKUP(Y38,TD!$K$46:$L$64,2,0)," ")</f>
        <v>PM/0131/0108/45990160207</v>
      </c>
      <c r="AB38" s="57" t="s">
        <v>139</v>
      </c>
      <c r="AC38" s="132" t="s">
        <v>205</v>
      </c>
    </row>
    <row r="39" spans="2:29" s="28" customFormat="1" ht="57">
      <c r="B39" s="85">
        <v>20240781</v>
      </c>
      <c r="C39" s="53" t="s">
        <v>209</v>
      </c>
      <c r="D39" s="129" t="s">
        <v>46</v>
      </c>
      <c r="E39" s="54" t="s">
        <v>364</v>
      </c>
      <c r="F39" s="129" t="s">
        <v>799</v>
      </c>
      <c r="G39" s="129" t="s">
        <v>156</v>
      </c>
      <c r="H39" s="119">
        <v>80111600</v>
      </c>
      <c r="I39" s="120">
        <v>8</v>
      </c>
      <c r="J39" s="130">
        <v>5</v>
      </c>
      <c r="K39" s="56">
        <v>0</v>
      </c>
      <c r="L39" s="57">
        <v>46375000</v>
      </c>
      <c r="M39" s="129" t="s">
        <v>173</v>
      </c>
      <c r="N39" s="57" t="s">
        <v>114</v>
      </c>
      <c r="O39" s="54" t="s">
        <v>220</v>
      </c>
      <c r="P39" s="131" t="str">
        <f>IFERROR(VLOOKUP(C39,TD!$B$32:$F$36,2,0)," ")</f>
        <v>O230117</v>
      </c>
      <c r="Q39" s="131" t="str">
        <f>IFERROR(VLOOKUP(C39,TD!$B$32:$F$36,3,0)," ")</f>
        <v>4599</v>
      </c>
      <c r="R39" s="131">
        <f>IFERROR(VLOOKUP(C39,TD!$B$32:$F$36,4,0)," ")</f>
        <v>20240207</v>
      </c>
      <c r="S39" s="54" t="s">
        <v>186</v>
      </c>
      <c r="T39" s="131" t="str">
        <f>IFERROR(VLOOKUP(S39,TD!$J$33:$K$43,2,0)," ")</f>
        <v>Infraestructura física, mantenimiento y dotación (Sedes construidas, mantenidas reforzadas)</v>
      </c>
      <c r="U39" s="54" t="str">
        <f t="shared" si="0"/>
        <v>08-Infraestructura física, mantenimiento y dotación (Sedes construidas, mantenidas reforzadas)</v>
      </c>
      <c r="V39" s="54" t="s">
        <v>239</v>
      </c>
      <c r="W39" s="131" t="str">
        <f>IFERROR(VLOOKUP(V39,TD!$N$33:$O$45,2,0)," ")</f>
        <v>Sedes mantenidas</v>
      </c>
      <c r="X39" s="54" t="str">
        <f t="shared" si="1"/>
        <v>016_Sedes mantenidas</v>
      </c>
      <c r="Y39" s="54" t="str">
        <f t="shared" si="2"/>
        <v>08-Infraestructura física, mantenimiento y dotación (Sedes construidas, mantenidas reforzadas) 016_Sedes mantenidas</v>
      </c>
      <c r="Z39" s="131" t="str">
        <f t="shared" si="3"/>
        <v>O23011745992024020708016</v>
      </c>
      <c r="AA39" s="131" t="str">
        <f>IFERROR(VLOOKUP(Y39,TD!$K$46:$L$64,2,0)," ")</f>
        <v>PM/0131/0108/45990160207</v>
      </c>
      <c r="AB39" s="57" t="s">
        <v>139</v>
      </c>
      <c r="AC39" s="132" t="s">
        <v>206</v>
      </c>
    </row>
    <row r="40" spans="2:29" s="28" customFormat="1" ht="71.25">
      <c r="B40" s="85">
        <v>20240782</v>
      </c>
      <c r="C40" s="53" t="s">
        <v>209</v>
      </c>
      <c r="D40" s="129" t="s">
        <v>46</v>
      </c>
      <c r="E40" s="54" t="s">
        <v>364</v>
      </c>
      <c r="F40" s="129" t="s">
        <v>773</v>
      </c>
      <c r="G40" s="129" t="s">
        <v>156</v>
      </c>
      <c r="H40" s="119">
        <v>80111600</v>
      </c>
      <c r="I40" s="120">
        <v>8</v>
      </c>
      <c r="J40" s="130">
        <v>4</v>
      </c>
      <c r="K40" s="56">
        <v>0</v>
      </c>
      <c r="L40" s="57">
        <f>32000000+4800000</f>
        <v>36800000</v>
      </c>
      <c r="M40" s="129" t="s">
        <v>173</v>
      </c>
      <c r="N40" s="57" t="s">
        <v>114</v>
      </c>
      <c r="O40" s="54" t="s">
        <v>220</v>
      </c>
      <c r="P40" s="131" t="str">
        <f>IFERROR(VLOOKUP(C40,TD!$B$32:$F$36,2,0)," ")</f>
        <v>O230117</v>
      </c>
      <c r="Q40" s="131" t="str">
        <f>IFERROR(VLOOKUP(C40,TD!$B$32:$F$36,3,0)," ")</f>
        <v>4599</v>
      </c>
      <c r="R40" s="131">
        <f>IFERROR(VLOOKUP(C40,TD!$B$32:$F$36,4,0)," ")</f>
        <v>20240207</v>
      </c>
      <c r="S40" s="54" t="s">
        <v>186</v>
      </c>
      <c r="T40" s="131" t="str">
        <f>IFERROR(VLOOKUP(S40,TD!$J$33:$K$43,2,0)," ")</f>
        <v>Infraestructura física, mantenimiento y dotación (Sedes construidas, mantenidas reforzadas)</v>
      </c>
      <c r="U40" s="54" t="str">
        <f t="shared" si="0"/>
        <v>08-Infraestructura física, mantenimiento y dotación (Sedes construidas, mantenidas reforzadas)</v>
      </c>
      <c r="V40" s="54" t="s">
        <v>239</v>
      </c>
      <c r="W40" s="131" t="str">
        <f>IFERROR(VLOOKUP(V40,TD!$N$33:$O$45,2,0)," ")</f>
        <v>Sedes mantenidas</v>
      </c>
      <c r="X40" s="54" t="str">
        <f t="shared" si="1"/>
        <v>016_Sedes mantenidas</v>
      </c>
      <c r="Y40" s="54" t="str">
        <f t="shared" si="2"/>
        <v>08-Infraestructura física, mantenimiento y dotación (Sedes construidas, mantenidas reforzadas) 016_Sedes mantenidas</v>
      </c>
      <c r="Z40" s="131" t="str">
        <f t="shared" si="3"/>
        <v>O23011745992024020708016</v>
      </c>
      <c r="AA40" s="131" t="str">
        <f>IFERROR(VLOOKUP(Y40,TD!$K$46:$L$64,2,0)," ")</f>
        <v>PM/0131/0108/45990160207</v>
      </c>
      <c r="AB40" s="57" t="s">
        <v>139</v>
      </c>
      <c r="AC40" s="132" t="s">
        <v>205</v>
      </c>
    </row>
    <row r="41" spans="2:29" s="28" customFormat="1" ht="57">
      <c r="B41" s="85">
        <v>20240783</v>
      </c>
      <c r="C41" s="53" t="s">
        <v>209</v>
      </c>
      <c r="D41" s="129" t="s">
        <v>46</v>
      </c>
      <c r="E41" s="54" t="s">
        <v>364</v>
      </c>
      <c r="F41" s="129" t="s">
        <v>365</v>
      </c>
      <c r="G41" s="129" t="s">
        <v>156</v>
      </c>
      <c r="H41" s="119">
        <v>80111600</v>
      </c>
      <c r="I41" s="120">
        <v>9</v>
      </c>
      <c r="J41" s="130">
        <v>3</v>
      </c>
      <c r="K41" s="56">
        <v>0</v>
      </c>
      <c r="L41" s="57">
        <v>21000000</v>
      </c>
      <c r="M41" s="129" t="s">
        <v>173</v>
      </c>
      <c r="N41" s="57" t="s">
        <v>114</v>
      </c>
      <c r="O41" s="54" t="s">
        <v>220</v>
      </c>
      <c r="P41" s="131" t="str">
        <f>IFERROR(VLOOKUP(C41,TD!$B$32:$F$36,2,0)," ")</f>
        <v>O230117</v>
      </c>
      <c r="Q41" s="131" t="str">
        <f>IFERROR(VLOOKUP(C41,TD!$B$32:$F$36,3,0)," ")</f>
        <v>4599</v>
      </c>
      <c r="R41" s="131">
        <f>IFERROR(VLOOKUP(C41,TD!$B$32:$F$36,4,0)," ")</f>
        <v>20240207</v>
      </c>
      <c r="S41" s="54" t="s">
        <v>186</v>
      </c>
      <c r="T41" s="131" t="str">
        <f>IFERROR(VLOOKUP(S41,TD!$J$33:$K$43,2,0)," ")</f>
        <v>Infraestructura física, mantenimiento y dotación (Sedes construidas, mantenidas reforzadas)</v>
      </c>
      <c r="U41" s="54" t="str">
        <f t="shared" si="0"/>
        <v>08-Infraestructura física, mantenimiento y dotación (Sedes construidas, mantenidas reforzadas)</v>
      </c>
      <c r="V41" s="54" t="s">
        <v>239</v>
      </c>
      <c r="W41" s="131" t="str">
        <f>IFERROR(VLOOKUP(V41,TD!$N$33:$O$45,2,0)," ")</f>
        <v>Sedes mantenidas</v>
      </c>
      <c r="X41" s="54" t="str">
        <f t="shared" si="1"/>
        <v>016_Sedes mantenidas</v>
      </c>
      <c r="Y41" s="54" t="str">
        <f t="shared" si="2"/>
        <v>08-Infraestructura física, mantenimiento y dotación (Sedes construidas, mantenidas reforzadas) 016_Sedes mantenidas</v>
      </c>
      <c r="Z41" s="131" t="str">
        <f t="shared" si="3"/>
        <v>O23011745992024020708016</v>
      </c>
      <c r="AA41" s="131" t="str">
        <f>IFERROR(VLOOKUP(Y41,TD!$K$46:$L$64,2,0)," ")</f>
        <v>PM/0131/0108/45990160207</v>
      </c>
      <c r="AB41" s="57" t="s">
        <v>139</v>
      </c>
      <c r="AC41" s="132" t="s">
        <v>205</v>
      </c>
    </row>
    <row r="42" spans="2:29" s="28" customFormat="1" ht="57">
      <c r="B42" s="85">
        <v>20240784</v>
      </c>
      <c r="C42" s="53" t="s">
        <v>209</v>
      </c>
      <c r="D42" s="129" t="s">
        <v>46</v>
      </c>
      <c r="E42" s="54" t="s">
        <v>364</v>
      </c>
      <c r="F42" s="129" t="s">
        <v>366</v>
      </c>
      <c r="G42" s="129" t="s">
        <v>156</v>
      </c>
      <c r="H42" s="119">
        <v>80111600</v>
      </c>
      <c r="I42" s="120">
        <v>9</v>
      </c>
      <c r="J42" s="130">
        <v>3</v>
      </c>
      <c r="K42" s="56">
        <v>0</v>
      </c>
      <c r="L42" s="57">
        <f>109095960+44000000-25000000-25000000-25000000-15835000-59403440</f>
        <v>2857520</v>
      </c>
      <c r="M42" s="129" t="s">
        <v>173</v>
      </c>
      <c r="N42" s="57" t="s">
        <v>114</v>
      </c>
      <c r="O42" s="54" t="s">
        <v>220</v>
      </c>
      <c r="P42" s="131" t="str">
        <f>IFERROR(VLOOKUP(C42,TD!$B$32:$F$36,2,0)," ")</f>
        <v>O230117</v>
      </c>
      <c r="Q42" s="131" t="str">
        <f>IFERROR(VLOOKUP(C42,TD!$B$32:$F$36,3,0)," ")</f>
        <v>4599</v>
      </c>
      <c r="R42" s="131">
        <f>IFERROR(VLOOKUP(C42,TD!$B$32:$F$36,4,0)," ")</f>
        <v>20240207</v>
      </c>
      <c r="S42" s="54" t="s">
        <v>186</v>
      </c>
      <c r="T42" s="131" t="str">
        <f>IFERROR(VLOOKUP(S42,TD!$J$33:$K$43,2,0)," ")</f>
        <v>Infraestructura física, mantenimiento y dotación (Sedes construidas, mantenidas reforzadas)</v>
      </c>
      <c r="U42" s="54" t="str">
        <f t="shared" si="0"/>
        <v>08-Infraestructura física, mantenimiento y dotación (Sedes construidas, mantenidas reforzadas)</v>
      </c>
      <c r="V42" s="54" t="s">
        <v>239</v>
      </c>
      <c r="W42" s="131" t="str">
        <f>IFERROR(VLOOKUP(V42,TD!$N$33:$O$45,2,0)," ")</f>
        <v>Sedes mantenidas</v>
      </c>
      <c r="X42" s="54" t="str">
        <f t="shared" si="1"/>
        <v>016_Sedes mantenidas</v>
      </c>
      <c r="Y42" s="54" t="str">
        <f t="shared" si="2"/>
        <v>08-Infraestructura física, mantenimiento y dotación (Sedes construidas, mantenidas reforzadas) 016_Sedes mantenidas</v>
      </c>
      <c r="Z42" s="131" t="str">
        <f t="shared" si="3"/>
        <v>O23011745992024020708016</v>
      </c>
      <c r="AA42" s="131" t="str">
        <f>IFERROR(VLOOKUP(Y42,TD!$K$46:$L$64,2,0)," ")</f>
        <v>PM/0131/0108/45990160207</v>
      </c>
      <c r="AB42" s="57" t="s">
        <v>139</v>
      </c>
      <c r="AC42" s="132" t="s">
        <v>205</v>
      </c>
    </row>
    <row r="43" spans="2:29" s="28" customFormat="1" ht="57">
      <c r="B43" s="85">
        <v>20240785</v>
      </c>
      <c r="C43" s="53" t="s">
        <v>209</v>
      </c>
      <c r="D43" s="129" t="s">
        <v>46</v>
      </c>
      <c r="E43" s="54" t="s">
        <v>364</v>
      </c>
      <c r="F43" s="129" t="s">
        <v>367</v>
      </c>
      <c r="G43" s="129" t="s">
        <v>156</v>
      </c>
      <c r="H43" s="119">
        <v>80111600</v>
      </c>
      <c r="I43" s="120">
        <v>7</v>
      </c>
      <c r="J43" s="130">
        <v>5</v>
      </c>
      <c r="K43" s="56">
        <v>0</v>
      </c>
      <c r="L43" s="57">
        <v>21000000</v>
      </c>
      <c r="M43" s="129" t="s">
        <v>173</v>
      </c>
      <c r="N43" s="57" t="s">
        <v>114</v>
      </c>
      <c r="O43" s="54" t="s">
        <v>220</v>
      </c>
      <c r="P43" s="131" t="str">
        <f>IFERROR(VLOOKUP(C43,TD!$B$32:$F$36,2,0)," ")</f>
        <v>O230117</v>
      </c>
      <c r="Q43" s="131" t="str">
        <f>IFERROR(VLOOKUP(C43,TD!$B$32:$F$36,3,0)," ")</f>
        <v>4599</v>
      </c>
      <c r="R43" s="131">
        <f>IFERROR(VLOOKUP(C43,TD!$B$32:$F$36,4,0)," ")</f>
        <v>20240207</v>
      </c>
      <c r="S43" s="54" t="s">
        <v>186</v>
      </c>
      <c r="T43" s="131" t="str">
        <f>IFERROR(VLOOKUP(S43,TD!$J$33:$K$43,2,0)," ")</f>
        <v>Infraestructura física, mantenimiento y dotación (Sedes construidas, mantenidas reforzadas)</v>
      </c>
      <c r="U43" s="54" t="str">
        <f t="shared" si="0"/>
        <v>08-Infraestructura física, mantenimiento y dotación (Sedes construidas, mantenidas reforzadas)</v>
      </c>
      <c r="V43" s="54" t="s">
        <v>239</v>
      </c>
      <c r="W43" s="131" t="str">
        <f>IFERROR(VLOOKUP(V43,TD!$N$33:$O$45,2,0)," ")</f>
        <v>Sedes mantenidas</v>
      </c>
      <c r="X43" s="54" t="str">
        <f t="shared" si="1"/>
        <v>016_Sedes mantenidas</v>
      </c>
      <c r="Y43" s="54" t="str">
        <f t="shared" si="2"/>
        <v>08-Infraestructura física, mantenimiento y dotación (Sedes construidas, mantenidas reforzadas) 016_Sedes mantenidas</v>
      </c>
      <c r="Z43" s="131" t="str">
        <f t="shared" si="3"/>
        <v>O23011745992024020708016</v>
      </c>
      <c r="AA43" s="131" t="str">
        <f>IFERROR(VLOOKUP(Y43,TD!$K$46:$L$64,2,0)," ")</f>
        <v>PM/0131/0108/45990160207</v>
      </c>
      <c r="AB43" s="57" t="s">
        <v>139</v>
      </c>
      <c r="AC43" s="132" t="s">
        <v>205</v>
      </c>
    </row>
    <row r="44" spans="2:29" s="28" customFormat="1" ht="85.5">
      <c r="B44" s="85">
        <v>20240786</v>
      </c>
      <c r="C44" s="53" t="s">
        <v>209</v>
      </c>
      <c r="D44" s="129" t="s">
        <v>46</v>
      </c>
      <c r="E44" s="54" t="s">
        <v>364</v>
      </c>
      <c r="F44" s="129" t="s">
        <v>368</v>
      </c>
      <c r="G44" s="129" t="s">
        <v>156</v>
      </c>
      <c r="H44" s="119">
        <v>80111600</v>
      </c>
      <c r="I44" s="120">
        <v>8</v>
      </c>
      <c r="J44" s="130">
        <v>4</v>
      </c>
      <c r="K44" s="56">
        <v>0</v>
      </c>
      <c r="L44" s="57">
        <v>16800000</v>
      </c>
      <c r="M44" s="129" t="s">
        <v>173</v>
      </c>
      <c r="N44" s="57" t="s">
        <v>114</v>
      </c>
      <c r="O44" s="54" t="s">
        <v>220</v>
      </c>
      <c r="P44" s="131" t="str">
        <f>IFERROR(VLOOKUP(C44,TD!$B$32:$F$36,2,0)," ")</f>
        <v>O230117</v>
      </c>
      <c r="Q44" s="131" t="str">
        <f>IFERROR(VLOOKUP(C44,TD!$B$32:$F$36,3,0)," ")</f>
        <v>4599</v>
      </c>
      <c r="R44" s="131">
        <f>IFERROR(VLOOKUP(C44,TD!$B$32:$F$36,4,0)," ")</f>
        <v>20240207</v>
      </c>
      <c r="S44" s="54" t="s">
        <v>186</v>
      </c>
      <c r="T44" s="131" t="str">
        <f>IFERROR(VLOOKUP(S44,TD!$J$33:$K$43,2,0)," ")</f>
        <v>Infraestructura física, mantenimiento y dotación (Sedes construidas, mantenidas reforzadas)</v>
      </c>
      <c r="U44" s="54" t="str">
        <f t="shared" si="0"/>
        <v>08-Infraestructura física, mantenimiento y dotación (Sedes construidas, mantenidas reforzadas)</v>
      </c>
      <c r="V44" s="54" t="s">
        <v>239</v>
      </c>
      <c r="W44" s="131" t="str">
        <f>IFERROR(VLOOKUP(V44,TD!$N$33:$O$45,2,0)," ")</f>
        <v>Sedes mantenidas</v>
      </c>
      <c r="X44" s="54" t="str">
        <f t="shared" si="1"/>
        <v>016_Sedes mantenidas</v>
      </c>
      <c r="Y44" s="54" t="str">
        <f t="shared" si="2"/>
        <v>08-Infraestructura física, mantenimiento y dotación (Sedes construidas, mantenidas reforzadas) 016_Sedes mantenidas</v>
      </c>
      <c r="Z44" s="131" t="str">
        <f t="shared" si="3"/>
        <v>O23011745992024020708016</v>
      </c>
      <c r="AA44" s="131" t="str">
        <f>IFERROR(VLOOKUP(Y44,TD!$K$46:$L$64,2,0)," ")</f>
        <v>PM/0131/0108/45990160207</v>
      </c>
      <c r="AB44" s="57" t="s">
        <v>139</v>
      </c>
      <c r="AC44" s="132" t="s">
        <v>205</v>
      </c>
    </row>
    <row r="45" spans="2:29" s="28" customFormat="1" ht="71.25">
      <c r="B45" s="85">
        <v>20240787</v>
      </c>
      <c r="C45" s="53" t="s">
        <v>209</v>
      </c>
      <c r="D45" s="129" t="s">
        <v>46</v>
      </c>
      <c r="E45" s="54" t="s">
        <v>364</v>
      </c>
      <c r="F45" s="129" t="s">
        <v>369</v>
      </c>
      <c r="G45" s="129" t="s">
        <v>157</v>
      </c>
      <c r="H45" s="119">
        <v>80111600</v>
      </c>
      <c r="I45" s="120">
        <v>8</v>
      </c>
      <c r="J45" s="130">
        <v>4</v>
      </c>
      <c r="K45" s="56">
        <v>0</v>
      </c>
      <c r="L45" s="57">
        <v>14600000</v>
      </c>
      <c r="M45" s="129" t="s">
        <v>173</v>
      </c>
      <c r="N45" s="57" t="s">
        <v>114</v>
      </c>
      <c r="O45" s="54" t="s">
        <v>220</v>
      </c>
      <c r="P45" s="131" t="str">
        <f>IFERROR(VLOOKUP(C45,TD!$B$32:$F$36,2,0)," ")</f>
        <v>O230117</v>
      </c>
      <c r="Q45" s="131" t="str">
        <f>IFERROR(VLOOKUP(C45,TD!$B$32:$F$36,3,0)," ")</f>
        <v>4599</v>
      </c>
      <c r="R45" s="131">
        <f>IFERROR(VLOOKUP(C45,TD!$B$32:$F$36,4,0)," ")</f>
        <v>20240207</v>
      </c>
      <c r="S45" s="54" t="s">
        <v>186</v>
      </c>
      <c r="T45" s="131" t="str">
        <f>IFERROR(VLOOKUP(S45,TD!$J$33:$K$43,2,0)," ")</f>
        <v>Infraestructura física, mantenimiento y dotación (Sedes construidas, mantenidas reforzadas)</v>
      </c>
      <c r="U45" s="54" t="str">
        <f t="shared" si="0"/>
        <v>08-Infraestructura física, mantenimiento y dotación (Sedes construidas, mantenidas reforzadas)</v>
      </c>
      <c r="V45" s="54" t="s">
        <v>239</v>
      </c>
      <c r="W45" s="131" t="str">
        <f>IFERROR(VLOOKUP(V45,TD!$N$33:$O$45,2,0)," ")</f>
        <v>Sedes mantenidas</v>
      </c>
      <c r="X45" s="54" t="str">
        <f t="shared" si="1"/>
        <v>016_Sedes mantenidas</v>
      </c>
      <c r="Y45" s="54" t="str">
        <f t="shared" si="2"/>
        <v>08-Infraestructura física, mantenimiento y dotación (Sedes construidas, mantenidas reforzadas) 016_Sedes mantenidas</v>
      </c>
      <c r="Z45" s="131" t="str">
        <f t="shared" si="3"/>
        <v>O23011745992024020708016</v>
      </c>
      <c r="AA45" s="131" t="str">
        <f>IFERROR(VLOOKUP(Y45,TD!$K$46:$L$64,2,0)," ")</f>
        <v>PM/0131/0108/45990160207</v>
      </c>
      <c r="AB45" s="57" t="s">
        <v>139</v>
      </c>
      <c r="AC45" s="132" t="s">
        <v>205</v>
      </c>
    </row>
    <row r="46" spans="2:29" s="28" customFormat="1" ht="57">
      <c r="B46" s="85">
        <v>20240788</v>
      </c>
      <c r="C46" s="53" t="s">
        <v>209</v>
      </c>
      <c r="D46" s="129" t="s">
        <v>162</v>
      </c>
      <c r="E46" s="54" t="s">
        <v>364</v>
      </c>
      <c r="F46" s="129" t="s">
        <v>370</v>
      </c>
      <c r="G46" s="129" t="s">
        <v>156</v>
      </c>
      <c r="H46" s="119">
        <v>80111600</v>
      </c>
      <c r="I46" s="120">
        <v>8</v>
      </c>
      <c r="J46" s="130">
        <v>5</v>
      </c>
      <c r="K46" s="56">
        <v>0</v>
      </c>
      <c r="L46" s="57">
        <v>48000000</v>
      </c>
      <c r="M46" s="129" t="s">
        <v>173</v>
      </c>
      <c r="N46" s="57" t="s">
        <v>114</v>
      </c>
      <c r="O46" s="54" t="s">
        <v>221</v>
      </c>
      <c r="P46" s="131" t="str">
        <f>IFERROR(VLOOKUP(C46,TD!$B$32:$F$36,2,0)," ")</f>
        <v>O230117</v>
      </c>
      <c r="Q46" s="131" t="str">
        <f>IFERROR(VLOOKUP(C46,TD!$B$32:$F$36,3,0)," ")</f>
        <v>4599</v>
      </c>
      <c r="R46" s="131">
        <f>IFERROR(VLOOKUP(C46,TD!$B$32:$F$36,4,0)," ")</f>
        <v>20240207</v>
      </c>
      <c r="S46" s="54" t="s">
        <v>194</v>
      </c>
      <c r="T46" s="131" t="str">
        <f>IFERROR(VLOOKUP(S46,TD!$J$33:$K$43,2,0)," ")</f>
        <v>Servicios para la planeación y sistemas de gestión y comunicación estratégica</v>
      </c>
      <c r="U46" s="54" t="str">
        <f t="shared" si="0"/>
        <v>13-Servicios para la planeación y sistemas de gestión y comunicación estratégica</v>
      </c>
      <c r="V46" s="54" t="s">
        <v>243</v>
      </c>
      <c r="W46" s="131" t="str">
        <f>IFERROR(VLOOKUP(V46,TD!$N$33:$O$45,2,0)," ")</f>
        <v>Documentos de planeación</v>
      </c>
      <c r="X46" s="54" t="str">
        <f t="shared" si="1"/>
        <v>019_Documentos de planeación</v>
      </c>
      <c r="Y46" s="54" t="str">
        <f t="shared" si="2"/>
        <v>13-Servicios para la planeación y sistemas de gestión y comunicación estratégica 019_Documentos de planeación</v>
      </c>
      <c r="Z46" s="131" t="str">
        <f t="shared" si="3"/>
        <v>O23011745992024020713019</v>
      </c>
      <c r="AA46" s="131" t="str">
        <f>IFERROR(VLOOKUP(Y46,TD!$K$46:$L$64,2,0)," ")</f>
        <v>PM/0131/0113/45990190207</v>
      </c>
      <c r="AB46" s="57" t="s">
        <v>139</v>
      </c>
      <c r="AC46" s="132" t="s">
        <v>205</v>
      </c>
    </row>
    <row r="47" spans="2:29" s="28" customFormat="1" ht="57">
      <c r="B47" s="85">
        <v>20240789</v>
      </c>
      <c r="C47" s="53" t="s">
        <v>209</v>
      </c>
      <c r="D47" s="129" t="s">
        <v>162</v>
      </c>
      <c r="E47" s="54" t="s">
        <v>364</v>
      </c>
      <c r="F47" s="129" t="s">
        <v>371</v>
      </c>
      <c r="G47" s="129" t="s">
        <v>156</v>
      </c>
      <c r="H47" s="119">
        <v>80111600</v>
      </c>
      <c r="I47" s="120">
        <v>8</v>
      </c>
      <c r="J47" s="130">
        <v>4</v>
      </c>
      <c r="K47" s="56">
        <v>0</v>
      </c>
      <c r="L47" s="57">
        <v>20000000</v>
      </c>
      <c r="M47" s="129" t="s">
        <v>173</v>
      </c>
      <c r="N47" s="57" t="s">
        <v>114</v>
      </c>
      <c r="O47" s="54" t="s">
        <v>221</v>
      </c>
      <c r="P47" s="131" t="str">
        <f>IFERROR(VLOOKUP(C47,TD!$B$32:$F$36,2,0)," ")</f>
        <v>O230117</v>
      </c>
      <c r="Q47" s="131" t="str">
        <f>IFERROR(VLOOKUP(C47,TD!$B$32:$F$36,3,0)," ")</f>
        <v>4599</v>
      </c>
      <c r="R47" s="131">
        <f>IFERROR(VLOOKUP(C47,TD!$B$32:$F$36,4,0)," ")</f>
        <v>20240207</v>
      </c>
      <c r="S47" s="54" t="s">
        <v>194</v>
      </c>
      <c r="T47" s="131" t="str">
        <f>IFERROR(VLOOKUP(S47,TD!$J$33:$K$43,2,0)," ")</f>
        <v>Servicios para la planeación y sistemas de gestión y comunicación estratégica</v>
      </c>
      <c r="U47" s="54" t="str">
        <f t="shared" si="0"/>
        <v>13-Servicios para la planeación y sistemas de gestión y comunicación estratégica</v>
      </c>
      <c r="V47" s="54" t="s">
        <v>243</v>
      </c>
      <c r="W47" s="131" t="str">
        <f>IFERROR(VLOOKUP(V47,TD!$N$33:$O$45,2,0)," ")</f>
        <v>Documentos de planeación</v>
      </c>
      <c r="X47" s="54" t="str">
        <f t="shared" si="1"/>
        <v>019_Documentos de planeación</v>
      </c>
      <c r="Y47" s="54" t="str">
        <f t="shared" si="2"/>
        <v>13-Servicios para la planeación y sistemas de gestión y comunicación estratégica 019_Documentos de planeación</v>
      </c>
      <c r="Z47" s="131" t="str">
        <f t="shared" si="3"/>
        <v>O23011745992024020713019</v>
      </c>
      <c r="AA47" s="131" t="str">
        <f>IFERROR(VLOOKUP(Y47,TD!$K$46:$L$64,2,0)," ")</f>
        <v>PM/0131/0113/45990190207</v>
      </c>
      <c r="AB47" s="57" t="s">
        <v>139</v>
      </c>
      <c r="AC47" s="132" t="s">
        <v>205</v>
      </c>
    </row>
    <row r="48" spans="2:29" s="28" customFormat="1" ht="71.25">
      <c r="B48" s="85">
        <v>20240790</v>
      </c>
      <c r="C48" s="53" t="s">
        <v>209</v>
      </c>
      <c r="D48" s="129" t="s">
        <v>162</v>
      </c>
      <c r="E48" s="54" t="s">
        <v>364</v>
      </c>
      <c r="F48" s="129" t="s">
        <v>372</v>
      </c>
      <c r="G48" s="129" t="s">
        <v>156</v>
      </c>
      <c r="H48" s="119">
        <v>80111600</v>
      </c>
      <c r="I48" s="120">
        <v>8</v>
      </c>
      <c r="J48" s="130">
        <v>5</v>
      </c>
      <c r="K48" s="56">
        <v>0</v>
      </c>
      <c r="L48" s="57">
        <v>35000000</v>
      </c>
      <c r="M48" s="129" t="s">
        <v>173</v>
      </c>
      <c r="N48" s="57" t="s">
        <v>114</v>
      </c>
      <c r="O48" s="54" t="s">
        <v>221</v>
      </c>
      <c r="P48" s="131" t="str">
        <f>IFERROR(VLOOKUP(C48,TD!$B$32:$F$36,2,0)," ")</f>
        <v>O230117</v>
      </c>
      <c r="Q48" s="131" t="str">
        <f>IFERROR(VLOOKUP(C48,TD!$B$32:$F$36,3,0)," ")</f>
        <v>4599</v>
      </c>
      <c r="R48" s="131">
        <f>IFERROR(VLOOKUP(C48,TD!$B$32:$F$36,4,0)," ")</f>
        <v>20240207</v>
      </c>
      <c r="S48" s="54" t="s">
        <v>194</v>
      </c>
      <c r="T48" s="131" t="str">
        <f>IFERROR(VLOOKUP(S48,TD!$J$33:$K$43,2,0)," ")</f>
        <v>Servicios para la planeación y sistemas de gestión y comunicación estratégica</v>
      </c>
      <c r="U48" s="54" t="str">
        <f t="shared" si="0"/>
        <v>13-Servicios para la planeación y sistemas de gestión y comunicación estratégica</v>
      </c>
      <c r="V48" s="54" t="s">
        <v>243</v>
      </c>
      <c r="W48" s="131" t="str">
        <f>IFERROR(VLOOKUP(V48,TD!$N$33:$O$45,2,0)," ")</f>
        <v>Documentos de planeación</v>
      </c>
      <c r="X48" s="54" t="str">
        <f t="shared" si="1"/>
        <v>019_Documentos de planeación</v>
      </c>
      <c r="Y48" s="54" t="str">
        <f t="shared" si="2"/>
        <v>13-Servicios para la planeación y sistemas de gestión y comunicación estratégica 019_Documentos de planeación</v>
      </c>
      <c r="Z48" s="131" t="str">
        <f t="shared" si="3"/>
        <v>O23011745992024020713019</v>
      </c>
      <c r="AA48" s="131" t="str">
        <f>IFERROR(VLOOKUP(Y48,TD!$K$46:$L$64,2,0)," ")</f>
        <v>PM/0131/0113/45990190207</v>
      </c>
      <c r="AB48" s="57" t="s">
        <v>139</v>
      </c>
      <c r="AC48" s="132" t="s">
        <v>205</v>
      </c>
    </row>
    <row r="49" spans="2:29" s="28" customFormat="1" ht="57">
      <c r="B49" s="85">
        <v>20240791</v>
      </c>
      <c r="C49" s="53" t="s">
        <v>209</v>
      </c>
      <c r="D49" s="129" t="s">
        <v>162</v>
      </c>
      <c r="E49" s="54" t="s">
        <v>364</v>
      </c>
      <c r="F49" s="129" t="s">
        <v>373</v>
      </c>
      <c r="G49" s="129" t="s">
        <v>156</v>
      </c>
      <c r="H49" s="119">
        <v>80111600</v>
      </c>
      <c r="I49" s="120">
        <v>8</v>
      </c>
      <c r="J49" s="130">
        <v>4</v>
      </c>
      <c r="K49" s="56">
        <v>0</v>
      </c>
      <c r="L49" s="57">
        <v>20000000</v>
      </c>
      <c r="M49" s="129" t="s">
        <v>173</v>
      </c>
      <c r="N49" s="57" t="s">
        <v>114</v>
      </c>
      <c r="O49" s="54" t="s">
        <v>221</v>
      </c>
      <c r="P49" s="131" t="str">
        <f>IFERROR(VLOOKUP(C49,TD!$B$32:$F$36,2,0)," ")</f>
        <v>O230117</v>
      </c>
      <c r="Q49" s="131" t="str">
        <f>IFERROR(VLOOKUP(C49,TD!$B$32:$F$36,3,0)," ")</f>
        <v>4599</v>
      </c>
      <c r="R49" s="131">
        <f>IFERROR(VLOOKUP(C49,TD!$B$32:$F$36,4,0)," ")</f>
        <v>20240207</v>
      </c>
      <c r="S49" s="54" t="s">
        <v>194</v>
      </c>
      <c r="T49" s="131" t="str">
        <f>IFERROR(VLOOKUP(S49,TD!$J$33:$K$43,2,0)," ")</f>
        <v>Servicios para la planeación y sistemas de gestión y comunicación estratégica</v>
      </c>
      <c r="U49" s="54" t="str">
        <f t="shared" si="0"/>
        <v>13-Servicios para la planeación y sistemas de gestión y comunicación estratégica</v>
      </c>
      <c r="V49" s="54" t="s">
        <v>243</v>
      </c>
      <c r="W49" s="131" t="str">
        <f>IFERROR(VLOOKUP(V49,TD!$N$33:$O$45,2,0)," ")</f>
        <v>Documentos de planeación</v>
      </c>
      <c r="X49" s="54" t="str">
        <f t="shared" si="1"/>
        <v>019_Documentos de planeación</v>
      </c>
      <c r="Y49" s="54" t="str">
        <f t="shared" si="2"/>
        <v>13-Servicios para la planeación y sistemas de gestión y comunicación estratégica 019_Documentos de planeación</v>
      </c>
      <c r="Z49" s="131" t="str">
        <f t="shared" si="3"/>
        <v>O23011745992024020713019</v>
      </c>
      <c r="AA49" s="131" t="str">
        <f>IFERROR(VLOOKUP(Y49,TD!$K$46:$L$64,2,0)," ")</f>
        <v>PM/0131/0113/45990190207</v>
      </c>
      <c r="AB49" s="57" t="s">
        <v>139</v>
      </c>
      <c r="AC49" s="132" t="s">
        <v>205</v>
      </c>
    </row>
    <row r="50" spans="2:29" s="28" customFormat="1" ht="57">
      <c r="B50" s="85">
        <v>20240792</v>
      </c>
      <c r="C50" s="53" t="s">
        <v>209</v>
      </c>
      <c r="D50" s="129" t="s">
        <v>162</v>
      </c>
      <c r="E50" s="54" t="s">
        <v>364</v>
      </c>
      <c r="F50" s="129" t="s">
        <v>374</v>
      </c>
      <c r="G50" s="129" t="s">
        <v>156</v>
      </c>
      <c r="H50" s="119">
        <v>80111600</v>
      </c>
      <c r="I50" s="120">
        <v>8</v>
      </c>
      <c r="J50" s="130">
        <v>4</v>
      </c>
      <c r="K50" s="56">
        <v>0</v>
      </c>
      <c r="L50" s="57">
        <v>20000000</v>
      </c>
      <c r="M50" s="129" t="s">
        <v>173</v>
      </c>
      <c r="N50" s="57" t="s">
        <v>114</v>
      </c>
      <c r="O50" s="54" t="s">
        <v>221</v>
      </c>
      <c r="P50" s="131" t="str">
        <f>IFERROR(VLOOKUP(C50,TD!$B$32:$F$36,2,0)," ")</f>
        <v>O230117</v>
      </c>
      <c r="Q50" s="131" t="str">
        <f>IFERROR(VLOOKUP(C50,TD!$B$32:$F$36,3,0)," ")</f>
        <v>4599</v>
      </c>
      <c r="R50" s="131">
        <f>IFERROR(VLOOKUP(C50,TD!$B$32:$F$36,4,0)," ")</f>
        <v>20240207</v>
      </c>
      <c r="S50" s="54" t="s">
        <v>194</v>
      </c>
      <c r="T50" s="131" t="str">
        <f>IFERROR(VLOOKUP(S50,TD!$J$33:$K$43,2,0)," ")</f>
        <v>Servicios para la planeación y sistemas de gestión y comunicación estratégica</v>
      </c>
      <c r="U50" s="54" t="str">
        <f t="shared" si="0"/>
        <v>13-Servicios para la planeación y sistemas de gestión y comunicación estratégica</v>
      </c>
      <c r="V50" s="54" t="s">
        <v>243</v>
      </c>
      <c r="W50" s="131" t="str">
        <f>IFERROR(VLOOKUP(V50,TD!$N$33:$O$45,2,0)," ")</f>
        <v>Documentos de planeación</v>
      </c>
      <c r="X50" s="54" t="str">
        <f t="shared" si="1"/>
        <v>019_Documentos de planeación</v>
      </c>
      <c r="Y50" s="54" t="str">
        <f t="shared" si="2"/>
        <v>13-Servicios para la planeación y sistemas de gestión y comunicación estratégica 019_Documentos de planeación</v>
      </c>
      <c r="Z50" s="131" t="str">
        <f t="shared" si="3"/>
        <v>O23011745992024020713019</v>
      </c>
      <c r="AA50" s="131" t="str">
        <f>IFERROR(VLOOKUP(Y50,TD!$K$46:$L$64,2,0)," ")</f>
        <v>PM/0131/0113/45990190207</v>
      </c>
      <c r="AB50" s="57" t="s">
        <v>139</v>
      </c>
      <c r="AC50" s="132" t="s">
        <v>205</v>
      </c>
    </row>
    <row r="51" spans="2:29" s="28" customFormat="1" ht="57">
      <c r="B51" s="85">
        <v>20240793</v>
      </c>
      <c r="C51" s="53" t="s">
        <v>209</v>
      </c>
      <c r="D51" s="129" t="s">
        <v>162</v>
      </c>
      <c r="E51" s="54" t="s">
        <v>364</v>
      </c>
      <c r="F51" s="129" t="s">
        <v>375</v>
      </c>
      <c r="G51" s="129" t="s">
        <v>156</v>
      </c>
      <c r="H51" s="119">
        <v>80111600</v>
      </c>
      <c r="I51" s="120">
        <v>7</v>
      </c>
      <c r="J51" s="130">
        <v>5</v>
      </c>
      <c r="K51" s="56">
        <v>0</v>
      </c>
      <c r="L51" s="57">
        <v>21500000</v>
      </c>
      <c r="M51" s="129" t="s">
        <v>173</v>
      </c>
      <c r="N51" s="57" t="s">
        <v>114</v>
      </c>
      <c r="O51" s="54" t="s">
        <v>221</v>
      </c>
      <c r="P51" s="131" t="str">
        <f>IFERROR(VLOOKUP(C51,TD!$B$32:$F$36,2,0)," ")</f>
        <v>O230117</v>
      </c>
      <c r="Q51" s="131" t="str">
        <f>IFERROR(VLOOKUP(C51,TD!$B$32:$F$36,3,0)," ")</f>
        <v>4599</v>
      </c>
      <c r="R51" s="131">
        <f>IFERROR(VLOOKUP(C51,TD!$B$32:$F$36,4,0)," ")</f>
        <v>20240207</v>
      </c>
      <c r="S51" s="54" t="s">
        <v>194</v>
      </c>
      <c r="T51" s="131" t="str">
        <f>IFERROR(VLOOKUP(S51,TD!$J$33:$K$43,2,0)," ")</f>
        <v>Servicios para la planeación y sistemas de gestión y comunicación estratégica</v>
      </c>
      <c r="U51" s="54" t="str">
        <f t="shared" si="0"/>
        <v>13-Servicios para la planeación y sistemas de gestión y comunicación estratégica</v>
      </c>
      <c r="V51" s="54" t="s">
        <v>243</v>
      </c>
      <c r="W51" s="131" t="str">
        <f>IFERROR(VLOOKUP(V51,TD!$N$33:$O$45,2,0)," ")</f>
        <v>Documentos de planeación</v>
      </c>
      <c r="X51" s="54" t="str">
        <f t="shared" si="1"/>
        <v>019_Documentos de planeación</v>
      </c>
      <c r="Y51" s="54" t="str">
        <f t="shared" si="2"/>
        <v>13-Servicios para la planeación y sistemas de gestión y comunicación estratégica 019_Documentos de planeación</v>
      </c>
      <c r="Z51" s="131" t="str">
        <f t="shared" si="3"/>
        <v>O23011745992024020713019</v>
      </c>
      <c r="AA51" s="131" t="str">
        <f>IFERROR(VLOOKUP(Y51,TD!$K$46:$L$64,2,0)," ")</f>
        <v>PM/0131/0113/45990190207</v>
      </c>
      <c r="AB51" s="57" t="s">
        <v>139</v>
      </c>
      <c r="AC51" s="132" t="s">
        <v>205</v>
      </c>
    </row>
    <row r="52" spans="2:29" s="28" customFormat="1" ht="71.25">
      <c r="B52" s="85">
        <v>20240794</v>
      </c>
      <c r="C52" s="53" t="s">
        <v>209</v>
      </c>
      <c r="D52" s="129" t="s">
        <v>162</v>
      </c>
      <c r="E52" s="54" t="s">
        <v>364</v>
      </c>
      <c r="F52" s="129" t="s">
        <v>376</v>
      </c>
      <c r="G52" s="129" t="s">
        <v>157</v>
      </c>
      <c r="H52" s="119">
        <v>80111600</v>
      </c>
      <c r="I52" s="120">
        <v>7</v>
      </c>
      <c r="J52" s="130">
        <v>5</v>
      </c>
      <c r="K52" s="56">
        <v>0</v>
      </c>
      <c r="L52" s="57">
        <v>18947600</v>
      </c>
      <c r="M52" s="129" t="s">
        <v>173</v>
      </c>
      <c r="N52" s="57" t="s">
        <v>114</v>
      </c>
      <c r="O52" s="54" t="s">
        <v>221</v>
      </c>
      <c r="P52" s="131" t="str">
        <f>IFERROR(VLOOKUP(C52,TD!$B$32:$F$36,2,0)," ")</f>
        <v>O230117</v>
      </c>
      <c r="Q52" s="131" t="str">
        <f>IFERROR(VLOOKUP(C52,TD!$B$32:$F$36,3,0)," ")</f>
        <v>4599</v>
      </c>
      <c r="R52" s="131">
        <f>IFERROR(VLOOKUP(C52,TD!$B$32:$F$36,4,0)," ")</f>
        <v>20240207</v>
      </c>
      <c r="S52" s="54" t="s">
        <v>194</v>
      </c>
      <c r="T52" s="131" t="str">
        <f>IFERROR(VLOOKUP(S52,TD!$J$33:$K$43,2,0)," ")</f>
        <v>Servicios para la planeación y sistemas de gestión y comunicación estratégica</v>
      </c>
      <c r="U52" s="54" t="str">
        <f t="shared" si="0"/>
        <v>13-Servicios para la planeación y sistemas de gestión y comunicación estratégica</v>
      </c>
      <c r="V52" s="54" t="s">
        <v>243</v>
      </c>
      <c r="W52" s="131" t="str">
        <f>IFERROR(VLOOKUP(V52,TD!$N$33:$O$45,2,0)," ")</f>
        <v>Documentos de planeación</v>
      </c>
      <c r="X52" s="54" t="str">
        <f t="shared" si="1"/>
        <v>019_Documentos de planeación</v>
      </c>
      <c r="Y52" s="54" t="str">
        <f t="shared" si="2"/>
        <v>13-Servicios para la planeación y sistemas de gestión y comunicación estratégica 019_Documentos de planeación</v>
      </c>
      <c r="Z52" s="131" t="str">
        <f t="shared" si="3"/>
        <v>O23011745992024020713019</v>
      </c>
      <c r="AA52" s="131" t="str">
        <f>IFERROR(VLOOKUP(Y52,TD!$K$46:$L$64,2,0)," ")</f>
        <v>PM/0131/0113/45990190207</v>
      </c>
      <c r="AB52" s="57" t="s">
        <v>139</v>
      </c>
      <c r="AC52" s="132" t="s">
        <v>205</v>
      </c>
    </row>
    <row r="53" spans="2:29" s="28" customFormat="1" ht="57">
      <c r="B53" s="85">
        <v>20240795</v>
      </c>
      <c r="C53" s="53" t="s">
        <v>209</v>
      </c>
      <c r="D53" s="129" t="s">
        <v>162</v>
      </c>
      <c r="E53" s="54" t="s">
        <v>364</v>
      </c>
      <c r="F53" s="129" t="s">
        <v>377</v>
      </c>
      <c r="G53" s="129" t="s">
        <v>156</v>
      </c>
      <c r="H53" s="119">
        <v>80111600</v>
      </c>
      <c r="I53" s="120">
        <v>8</v>
      </c>
      <c r="J53" s="130">
        <v>4</v>
      </c>
      <c r="K53" s="56">
        <v>0</v>
      </c>
      <c r="L53" s="57">
        <v>20000000</v>
      </c>
      <c r="M53" s="129" t="s">
        <v>173</v>
      </c>
      <c r="N53" s="57" t="s">
        <v>114</v>
      </c>
      <c r="O53" s="54" t="s">
        <v>221</v>
      </c>
      <c r="P53" s="131" t="str">
        <f>IFERROR(VLOOKUP(C53,TD!$B$32:$F$36,2,0)," ")</f>
        <v>O230117</v>
      </c>
      <c r="Q53" s="131" t="str">
        <f>IFERROR(VLOOKUP(C53,TD!$B$32:$F$36,3,0)," ")</f>
        <v>4599</v>
      </c>
      <c r="R53" s="131">
        <f>IFERROR(VLOOKUP(C53,TD!$B$32:$F$36,4,0)," ")</f>
        <v>20240207</v>
      </c>
      <c r="S53" s="54" t="s">
        <v>194</v>
      </c>
      <c r="T53" s="131" t="str">
        <f>IFERROR(VLOOKUP(S53,TD!$J$33:$K$43,2,0)," ")</f>
        <v>Servicios para la planeación y sistemas de gestión y comunicación estratégica</v>
      </c>
      <c r="U53" s="54" t="str">
        <f t="shared" si="0"/>
        <v>13-Servicios para la planeación y sistemas de gestión y comunicación estratégica</v>
      </c>
      <c r="V53" s="54" t="s">
        <v>243</v>
      </c>
      <c r="W53" s="131" t="str">
        <f>IFERROR(VLOOKUP(V53,TD!$N$33:$O$45,2,0)," ")</f>
        <v>Documentos de planeación</v>
      </c>
      <c r="X53" s="54" t="str">
        <f t="shared" si="1"/>
        <v>019_Documentos de planeación</v>
      </c>
      <c r="Y53" s="54" t="str">
        <f t="shared" si="2"/>
        <v>13-Servicios para la planeación y sistemas de gestión y comunicación estratégica 019_Documentos de planeación</v>
      </c>
      <c r="Z53" s="131" t="str">
        <f t="shared" si="3"/>
        <v>O23011745992024020713019</v>
      </c>
      <c r="AA53" s="131" t="str">
        <f>IFERROR(VLOOKUP(Y53,TD!$K$46:$L$64,2,0)," ")</f>
        <v>PM/0131/0113/45990190207</v>
      </c>
      <c r="AB53" s="57" t="s">
        <v>139</v>
      </c>
      <c r="AC53" s="132" t="s">
        <v>205</v>
      </c>
    </row>
    <row r="54" spans="2:29" s="28" customFormat="1" ht="71.25">
      <c r="B54" s="85">
        <v>20240796</v>
      </c>
      <c r="C54" s="53" t="s">
        <v>209</v>
      </c>
      <c r="D54" s="129" t="s">
        <v>162</v>
      </c>
      <c r="E54" s="54" t="s">
        <v>364</v>
      </c>
      <c r="F54" s="129" t="s">
        <v>378</v>
      </c>
      <c r="G54" s="129" t="s">
        <v>157</v>
      </c>
      <c r="H54" s="119">
        <v>80111600</v>
      </c>
      <c r="I54" s="120">
        <v>8</v>
      </c>
      <c r="J54" s="130">
        <v>4</v>
      </c>
      <c r="K54" s="56">
        <v>0</v>
      </c>
      <c r="L54" s="57">
        <v>13400000</v>
      </c>
      <c r="M54" s="129" t="s">
        <v>173</v>
      </c>
      <c r="N54" s="57" t="s">
        <v>114</v>
      </c>
      <c r="O54" s="54" t="s">
        <v>221</v>
      </c>
      <c r="P54" s="131" t="str">
        <f>IFERROR(VLOOKUP(C54,TD!$B$32:$F$36,2,0)," ")</f>
        <v>O230117</v>
      </c>
      <c r="Q54" s="131" t="str">
        <f>IFERROR(VLOOKUP(C54,TD!$B$32:$F$36,3,0)," ")</f>
        <v>4599</v>
      </c>
      <c r="R54" s="131">
        <f>IFERROR(VLOOKUP(C54,TD!$B$32:$F$36,4,0)," ")</f>
        <v>20240207</v>
      </c>
      <c r="S54" s="54" t="s">
        <v>194</v>
      </c>
      <c r="T54" s="131" t="str">
        <f>IFERROR(VLOOKUP(S54,TD!$J$33:$K$43,2,0)," ")</f>
        <v>Servicios para la planeación y sistemas de gestión y comunicación estratégica</v>
      </c>
      <c r="U54" s="54" t="str">
        <f t="shared" si="0"/>
        <v>13-Servicios para la planeación y sistemas de gestión y comunicación estratégica</v>
      </c>
      <c r="V54" s="54" t="s">
        <v>243</v>
      </c>
      <c r="W54" s="131" t="str">
        <f>IFERROR(VLOOKUP(V54,TD!$N$33:$O$45,2,0)," ")</f>
        <v>Documentos de planeación</v>
      </c>
      <c r="X54" s="54" t="str">
        <f t="shared" si="1"/>
        <v>019_Documentos de planeación</v>
      </c>
      <c r="Y54" s="54" t="str">
        <f t="shared" si="2"/>
        <v>13-Servicios para la planeación y sistemas de gestión y comunicación estratégica 019_Documentos de planeación</v>
      </c>
      <c r="Z54" s="131" t="str">
        <f t="shared" si="3"/>
        <v>O23011745992024020713019</v>
      </c>
      <c r="AA54" s="131" t="str">
        <f>IFERROR(VLOOKUP(Y54,TD!$K$46:$L$64,2,0)," ")</f>
        <v>PM/0131/0113/45990190207</v>
      </c>
      <c r="AB54" s="57" t="s">
        <v>139</v>
      </c>
      <c r="AC54" s="132" t="s">
        <v>205</v>
      </c>
    </row>
    <row r="55" spans="2:29" s="28" customFormat="1" ht="71.25">
      <c r="B55" s="85">
        <v>20240797</v>
      </c>
      <c r="C55" s="53" t="s">
        <v>209</v>
      </c>
      <c r="D55" s="129" t="s">
        <v>162</v>
      </c>
      <c r="E55" s="54" t="s">
        <v>364</v>
      </c>
      <c r="F55" s="129" t="s">
        <v>379</v>
      </c>
      <c r="G55" s="129" t="s">
        <v>157</v>
      </c>
      <c r="H55" s="119">
        <v>80111600</v>
      </c>
      <c r="I55" s="120">
        <v>9</v>
      </c>
      <c r="J55" s="130">
        <v>3</v>
      </c>
      <c r="K55" s="56">
        <v>0</v>
      </c>
      <c r="L55" s="57">
        <f>44023360-12379200-31644160</f>
        <v>0</v>
      </c>
      <c r="M55" s="129" t="s">
        <v>173</v>
      </c>
      <c r="N55" s="57" t="s">
        <v>114</v>
      </c>
      <c r="O55" s="54" t="s">
        <v>221</v>
      </c>
      <c r="P55" s="131" t="str">
        <f>IFERROR(VLOOKUP(C55,TD!$B$32:$F$36,2,0)," ")</f>
        <v>O230117</v>
      </c>
      <c r="Q55" s="131" t="str">
        <f>IFERROR(VLOOKUP(C55,TD!$B$32:$F$36,3,0)," ")</f>
        <v>4599</v>
      </c>
      <c r="R55" s="131">
        <f>IFERROR(VLOOKUP(C55,TD!$B$32:$F$36,4,0)," ")</f>
        <v>20240207</v>
      </c>
      <c r="S55" s="54" t="s">
        <v>194</v>
      </c>
      <c r="T55" s="131" t="str">
        <f>IFERROR(VLOOKUP(S55,TD!$J$33:$K$43,2,0)," ")</f>
        <v>Servicios para la planeación y sistemas de gestión y comunicación estratégica</v>
      </c>
      <c r="U55" s="54" t="str">
        <f t="shared" si="0"/>
        <v>13-Servicios para la planeación y sistemas de gestión y comunicación estratégica</v>
      </c>
      <c r="V55" s="54" t="s">
        <v>243</v>
      </c>
      <c r="W55" s="131" t="str">
        <f>IFERROR(VLOOKUP(V55,TD!$N$33:$O$45,2,0)," ")</f>
        <v>Documentos de planeación</v>
      </c>
      <c r="X55" s="54" t="str">
        <f t="shared" si="1"/>
        <v>019_Documentos de planeación</v>
      </c>
      <c r="Y55" s="54" t="str">
        <f t="shared" si="2"/>
        <v>13-Servicios para la planeación y sistemas de gestión y comunicación estratégica 019_Documentos de planeación</v>
      </c>
      <c r="Z55" s="131" t="str">
        <f t="shared" si="3"/>
        <v>O23011745992024020713019</v>
      </c>
      <c r="AA55" s="131" t="str">
        <f>IFERROR(VLOOKUP(Y55,TD!$K$46:$L$64,2,0)," ")</f>
        <v>PM/0131/0113/45990190207</v>
      </c>
      <c r="AB55" s="57" t="s">
        <v>139</v>
      </c>
      <c r="AC55" s="132" t="s">
        <v>205</v>
      </c>
    </row>
    <row r="56" spans="2:29" s="28" customFormat="1" ht="71.25">
      <c r="B56" s="85">
        <v>20240798</v>
      </c>
      <c r="C56" s="53" t="s">
        <v>210</v>
      </c>
      <c r="D56" s="129" t="s">
        <v>170</v>
      </c>
      <c r="E56" s="54" t="s">
        <v>461</v>
      </c>
      <c r="F56" s="129" t="s">
        <v>491</v>
      </c>
      <c r="G56" s="129" t="s">
        <v>110</v>
      </c>
      <c r="H56" s="117" t="s">
        <v>499</v>
      </c>
      <c r="I56" s="130">
        <v>8</v>
      </c>
      <c r="J56" s="130">
        <v>6</v>
      </c>
      <c r="K56" s="56">
        <v>0</v>
      </c>
      <c r="L56" s="57">
        <f>491501227+355000000</f>
        <v>846501227</v>
      </c>
      <c r="M56" s="129" t="s">
        <v>173</v>
      </c>
      <c r="N56" s="57" t="s">
        <v>96</v>
      </c>
      <c r="O56" s="54" t="s">
        <v>223</v>
      </c>
      <c r="P56" s="131" t="str">
        <f>IFERROR(VLOOKUP(C56,TD!$B$32:$F$36,2,0)," ")</f>
        <v>O230117</v>
      </c>
      <c r="Q56" s="131" t="str">
        <f>IFERROR(VLOOKUP(C56,TD!$B$32:$F$36,3,0)," ")</f>
        <v>4503</v>
      </c>
      <c r="R56" s="131">
        <f>IFERROR(VLOOKUP(C56,TD!$B$32:$F$36,4,0)," ")</f>
        <v>20240255</v>
      </c>
      <c r="S56" s="54" t="s">
        <v>190</v>
      </c>
      <c r="T56" s="131" t="str">
        <f>IFERROR(VLOOKUP(S56,TD!$J$33:$K$43,2,0)," ")</f>
        <v>Servicio de dotación y equipamento para el personal operativo</v>
      </c>
      <c r="U56" s="54" t="str">
        <f t="shared" si="0"/>
        <v>10-Servicio de dotación y equipamento para el personal operativo</v>
      </c>
      <c r="V56" s="54" t="s">
        <v>233</v>
      </c>
      <c r="W56" s="131" t="str">
        <f>IFERROR(VLOOKUP(V56,TD!$N$33:$O$45,2,0)," ")</f>
        <v>Servicio de atención a emergencias y desastres</v>
      </c>
      <c r="X56" s="54" t="str">
        <f t="shared" si="1"/>
        <v>004_Servicio de atención a emergencias y desastres</v>
      </c>
      <c r="Y56" s="54" t="str">
        <f t="shared" si="2"/>
        <v>10-Servicio de dotación y equipamento para el personal operativo 004_Servicio de atención a emergencias y desastres</v>
      </c>
      <c r="Z56" s="131" t="str">
        <f t="shared" si="3"/>
        <v>O23011745032024025510004</v>
      </c>
      <c r="AA56" s="131" t="str">
        <f>IFERROR(VLOOKUP(Y56,TD!$K$46:$L$64,2,0)," ")</f>
        <v>PM/0131/0110/45030040255</v>
      </c>
      <c r="AB56" s="57" t="s">
        <v>88</v>
      </c>
      <c r="AC56" s="132" t="s">
        <v>205</v>
      </c>
    </row>
    <row r="57" spans="2:29" s="28" customFormat="1" ht="57">
      <c r="B57" s="85">
        <v>20240799</v>
      </c>
      <c r="C57" s="53" t="s">
        <v>210</v>
      </c>
      <c r="D57" s="129" t="s">
        <v>168</v>
      </c>
      <c r="E57" s="54" t="s">
        <v>381</v>
      </c>
      <c r="F57" s="129" t="s">
        <v>695</v>
      </c>
      <c r="G57" s="129" t="s">
        <v>97</v>
      </c>
      <c r="H57" s="117" t="s">
        <v>403</v>
      </c>
      <c r="I57" s="130">
        <v>7</v>
      </c>
      <c r="J57" s="130">
        <v>7</v>
      </c>
      <c r="K57" s="56">
        <v>0</v>
      </c>
      <c r="L57" s="57">
        <f>100000000-100000000</f>
        <v>0</v>
      </c>
      <c r="M57" s="129" t="s">
        <v>173</v>
      </c>
      <c r="N57" s="57" t="s">
        <v>91</v>
      </c>
      <c r="O57" s="54" t="s">
        <v>222</v>
      </c>
      <c r="P57" s="131" t="str">
        <f>IFERROR(VLOOKUP(C57,TD!$B$32:$F$36,2,0)," ")</f>
        <v>O230117</v>
      </c>
      <c r="Q57" s="131" t="str">
        <f>IFERROR(VLOOKUP(C57,TD!$B$32:$F$36,3,0)," ")</f>
        <v>4503</v>
      </c>
      <c r="R57" s="131">
        <f>IFERROR(VLOOKUP(C57,TD!$B$32:$F$36,4,0)," ")</f>
        <v>20240255</v>
      </c>
      <c r="S57" s="54" t="s">
        <v>178</v>
      </c>
      <c r="T57" s="131" t="str">
        <f>IFERROR(VLOOKUP(S57,TD!$J$33:$K$43,2,0)," ")</f>
        <v>Servicio de capacitaciones en gestión del riesgo de incendios  a la ciudadania.</v>
      </c>
      <c r="U57" s="54" t="str">
        <f t="shared" si="0"/>
        <v>05-Servicio de capacitaciones en gestión del riesgo de incendios  a la ciudadania.</v>
      </c>
      <c r="V57" s="54" t="s">
        <v>235</v>
      </c>
      <c r="W57" s="131" t="str">
        <f>IFERROR(VLOOKUP(V57,TD!$N$33:$O$45,2,0)," ")</f>
        <v>Servicio prevención y control de incendios</v>
      </c>
      <c r="X57" s="54" t="str">
        <f t="shared" si="1"/>
        <v>035_Servicio prevención y control de incendios</v>
      </c>
      <c r="Y57" s="54" t="str">
        <f t="shared" si="2"/>
        <v>05-Servicio de capacitaciones en gestión del riesgo de incendios  a la ciudadania. 035_Servicio prevención y control de incendios</v>
      </c>
      <c r="Z57" s="131" t="str">
        <f t="shared" si="3"/>
        <v>O23011745032024025505035</v>
      </c>
      <c r="AA57" s="131" t="str">
        <f>IFERROR(VLOOKUP(Y57,TD!$K$46:$L$64,2,0)," ")</f>
        <v>PM/0131/0105/45030350255</v>
      </c>
      <c r="AB57" s="57" t="s">
        <v>139</v>
      </c>
      <c r="AC57" s="132" t="s">
        <v>205</v>
      </c>
    </row>
    <row r="58" spans="2:29" s="28" customFormat="1" ht="71.25">
      <c r="B58" s="85">
        <v>20240800</v>
      </c>
      <c r="C58" s="53" t="s">
        <v>210</v>
      </c>
      <c r="D58" s="129" t="s">
        <v>168</v>
      </c>
      <c r="E58" s="54" t="s">
        <v>381</v>
      </c>
      <c r="F58" s="129" t="s">
        <v>806</v>
      </c>
      <c r="G58" s="129" t="s">
        <v>120</v>
      </c>
      <c r="H58" s="117" t="s">
        <v>805</v>
      </c>
      <c r="I58" s="130">
        <v>10</v>
      </c>
      <c r="J58" s="130">
        <v>3</v>
      </c>
      <c r="K58" s="56">
        <v>0</v>
      </c>
      <c r="L58" s="57">
        <v>56916047</v>
      </c>
      <c r="M58" s="129" t="s">
        <v>173</v>
      </c>
      <c r="N58" s="57" t="s">
        <v>101</v>
      </c>
      <c r="O58" s="54" t="s">
        <v>226</v>
      </c>
      <c r="P58" s="131" t="str">
        <f>IFERROR(VLOOKUP(C58,TD!$B$32:$F$36,2,0)," ")</f>
        <v>O230117</v>
      </c>
      <c r="Q58" s="131" t="str">
        <f>IFERROR(VLOOKUP(C58,TD!$B$32:$F$36,3,0)," ")</f>
        <v>4503</v>
      </c>
      <c r="R58" s="131">
        <f>IFERROR(VLOOKUP(C58,TD!$B$32:$F$36,4,0)," ")</f>
        <v>20240255</v>
      </c>
      <c r="S58" s="54" t="s">
        <v>180</v>
      </c>
      <c r="T58" s="131" t="str">
        <f>IFERROR(VLOOKUP(S58,TD!$J$33:$K$43,2,0)," ")</f>
        <v>Infraestructura Tecnológica   (Sistemas de Información y Tecnologia)</v>
      </c>
      <c r="U58" s="54" t="str">
        <f t="shared" si="0"/>
        <v>11-Infraestructura Tecnológica   (Sistemas de Información y Tecnologia)</v>
      </c>
      <c r="V58" s="54" t="s">
        <v>236</v>
      </c>
      <c r="W58" s="131" t="str">
        <f>IFERROR(VLOOKUP(V58,TD!$N$33:$O$45,2,0)," ")</f>
        <v>"Servicio de monitoreo y seguimiento para la gestión del riesgo"</v>
      </c>
      <c r="X58" s="54" t="str">
        <f t="shared" si="1"/>
        <v>018_"Servicio de monitoreo y seguimiento para la gestión del riesgo"</v>
      </c>
      <c r="Y58" s="54" t="str">
        <f t="shared" si="2"/>
        <v>11-Infraestructura Tecnológica   (Sistemas de Información y Tecnologia) 018_"Servicio de monitoreo y seguimiento para la gestión del riesgo"</v>
      </c>
      <c r="Z58" s="131" t="str">
        <f t="shared" si="3"/>
        <v>O23011745032024025511018</v>
      </c>
      <c r="AA58" s="131" t="str">
        <f>IFERROR(VLOOKUP(Y58,TD!$K$46:$L$64,2,0)," ")</f>
        <v>PM/0131/0111/45030180255</v>
      </c>
      <c r="AB58" s="57" t="s">
        <v>139</v>
      </c>
      <c r="AC58" s="132" t="s">
        <v>205</v>
      </c>
    </row>
    <row r="59" spans="2:29" s="28" customFormat="1" ht="57">
      <c r="B59" s="85">
        <v>20240801</v>
      </c>
      <c r="C59" s="53" t="s">
        <v>210</v>
      </c>
      <c r="D59" s="129" t="s">
        <v>168</v>
      </c>
      <c r="E59" s="54" t="s">
        <v>381</v>
      </c>
      <c r="F59" s="129" t="s">
        <v>696</v>
      </c>
      <c r="G59" s="129" t="s">
        <v>156</v>
      </c>
      <c r="H59" s="117">
        <v>80111600</v>
      </c>
      <c r="I59" s="130">
        <v>7</v>
      </c>
      <c r="J59" s="130">
        <v>3</v>
      </c>
      <c r="K59" s="56">
        <v>12</v>
      </c>
      <c r="L59" s="57">
        <v>20200000</v>
      </c>
      <c r="M59" s="129" t="s">
        <v>173</v>
      </c>
      <c r="N59" s="57" t="s">
        <v>114</v>
      </c>
      <c r="O59" s="54" t="s">
        <v>222</v>
      </c>
      <c r="P59" s="131" t="str">
        <f>IFERROR(VLOOKUP(C59,TD!$B$32:$F$36,2,0)," ")</f>
        <v>O230117</v>
      </c>
      <c r="Q59" s="131" t="str">
        <f>IFERROR(VLOOKUP(C59,TD!$B$32:$F$36,3,0)," ")</f>
        <v>4503</v>
      </c>
      <c r="R59" s="131">
        <f>IFERROR(VLOOKUP(C59,TD!$B$32:$F$36,4,0)," ")</f>
        <v>20240255</v>
      </c>
      <c r="S59" s="54" t="s">
        <v>178</v>
      </c>
      <c r="T59" s="131" t="str">
        <f>IFERROR(VLOOKUP(S59,TD!$J$33:$K$43,2,0)," ")</f>
        <v>Servicio de capacitaciones en gestión del riesgo de incendios  a la ciudadania.</v>
      </c>
      <c r="U59" s="54" t="str">
        <f t="shared" si="0"/>
        <v>05-Servicio de capacitaciones en gestión del riesgo de incendios  a la ciudadania.</v>
      </c>
      <c r="V59" s="54" t="s">
        <v>235</v>
      </c>
      <c r="W59" s="131" t="str">
        <f>IFERROR(VLOOKUP(V59,TD!$N$33:$O$45,2,0)," ")</f>
        <v>Servicio prevención y control de incendios</v>
      </c>
      <c r="X59" s="54" t="str">
        <f t="shared" si="1"/>
        <v>035_Servicio prevención y control de incendios</v>
      </c>
      <c r="Y59" s="54" t="str">
        <f t="shared" si="2"/>
        <v>05-Servicio de capacitaciones en gestión del riesgo de incendios  a la ciudadania. 035_Servicio prevención y control de incendios</v>
      </c>
      <c r="Z59" s="131" t="str">
        <f t="shared" si="3"/>
        <v>O23011745032024025505035</v>
      </c>
      <c r="AA59" s="131" t="str">
        <f>IFERROR(VLOOKUP(Y59,TD!$K$46:$L$64,2,0)," ")</f>
        <v>PM/0131/0105/45030350255</v>
      </c>
      <c r="AB59" s="57" t="s">
        <v>139</v>
      </c>
      <c r="AC59" s="132" t="s">
        <v>206</v>
      </c>
    </row>
    <row r="60" spans="2:29" s="28" customFormat="1" ht="57">
      <c r="B60" s="85">
        <v>20240802</v>
      </c>
      <c r="C60" s="53" t="s">
        <v>210</v>
      </c>
      <c r="D60" s="129" t="s">
        <v>168</v>
      </c>
      <c r="E60" s="54" t="s">
        <v>381</v>
      </c>
      <c r="F60" s="129" t="s">
        <v>383</v>
      </c>
      <c r="G60" s="129" t="s">
        <v>156</v>
      </c>
      <c r="H60" s="117">
        <v>80111600</v>
      </c>
      <c r="I60" s="130">
        <v>8</v>
      </c>
      <c r="J60" s="130">
        <v>6</v>
      </c>
      <c r="K60" s="56">
        <v>0</v>
      </c>
      <c r="L60" s="57">
        <v>36000000</v>
      </c>
      <c r="M60" s="129" t="s">
        <v>173</v>
      </c>
      <c r="N60" s="57" t="s">
        <v>114</v>
      </c>
      <c r="O60" s="54" t="s">
        <v>222</v>
      </c>
      <c r="P60" s="131" t="str">
        <f>IFERROR(VLOOKUP(C60,TD!$B$32:$F$36,2,0)," ")</f>
        <v>O230117</v>
      </c>
      <c r="Q60" s="131" t="str">
        <f>IFERROR(VLOOKUP(C60,TD!$B$32:$F$36,3,0)," ")</f>
        <v>4503</v>
      </c>
      <c r="R60" s="131">
        <f>IFERROR(VLOOKUP(C60,TD!$B$32:$F$36,4,0)," ")</f>
        <v>20240255</v>
      </c>
      <c r="S60" s="54" t="s">
        <v>178</v>
      </c>
      <c r="T60" s="131" t="str">
        <f>IFERROR(VLOOKUP(S60,TD!$J$33:$K$43,2,0)," ")</f>
        <v>Servicio de capacitaciones en gestión del riesgo de incendios  a la ciudadania.</v>
      </c>
      <c r="U60" s="54" t="str">
        <f t="shared" si="0"/>
        <v>05-Servicio de capacitaciones en gestión del riesgo de incendios  a la ciudadania.</v>
      </c>
      <c r="V60" s="54" t="s">
        <v>235</v>
      </c>
      <c r="W60" s="131" t="str">
        <f>IFERROR(VLOOKUP(V60,TD!$N$33:$O$45,2,0)," ")</f>
        <v>Servicio prevención y control de incendios</v>
      </c>
      <c r="X60" s="54" t="str">
        <f t="shared" si="1"/>
        <v>035_Servicio prevención y control de incendios</v>
      </c>
      <c r="Y60" s="54" t="str">
        <f t="shared" si="2"/>
        <v>05-Servicio de capacitaciones en gestión del riesgo de incendios  a la ciudadania. 035_Servicio prevención y control de incendios</v>
      </c>
      <c r="Z60" s="131" t="str">
        <f t="shared" si="3"/>
        <v>O23011745032024025505035</v>
      </c>
      <c r="AA60" s="131" t="str">
        <f>IFERROR(VLOOKUP(Y60,TD!$K$46:$L$64,2,0)," ")</f>
        <v>PM/0131/0105/45030350255</v>
      </c>
      <c r="AB60" s="57" t="s">
        <v>139</v>
      </c>
      <c r="AC60" s="132" t="s">
        <v>205</v>
      </c>
    </row>
    <row r="61" spans="2:29" s="28" customFormat="1" ht="71.25">
      <c r="B61" s="85">
        <v>20240803</v>
      </c>
      <c r="C61" s="53" t="s">
        <v>210</v>
      </c>
      <c r="D61" s="129" t="s">
        <v>168</v>
      </c>
      <c r="E61" s="54" t="s">
        <v>381</v>
      </c>
      <c r="F61" s="129" t="s">
        <v>384</v>
      </c>
      <c r="G61" s="129" t="s">
        <v>157</v>
      </c>
      <c r="H61" s="117">
        <v>80111600</v>
      </c>
      <c r="I61" s="130">
        <v>8</v>
      </c>
      <c r="J61" s="130">
        <v>6</v>
      </c>
      <c r="K61" s="56">
        <v>0</v>
      </c>
      <c r="L61" s="57">
        <v>15000000</v>
      </c>
      <c r="M61" s="129" t="s">
        <v>173</v>
      </c>
      <c r="N61" s="57" t="s">
        <v>114</v>
      </c>
      <c r="O61" s="54" t="s">
        <v>222</v>
      </c>
      <c r="P61" s="131" t="str">
        <f>IFERROR(VLOOKUP(C61,TD!$B$32:$F$36,2,0)," ")</f>
        <v>O230117</v>
      </c>
      <c r="Q61" s="131" t="str">
        <f>IFERROR(VLOOKUP(C61,TD!$B$32:$F$36,3,0)," ")</f>
        <v>4503</v>
      </c>
      <c r="R61" s="131">
        <f>IFERROR(VLOOKUP(C61,TD!$B$32:$F$36,4,0)," ")</f>
        <v>20240255</v>
      </c>
      <c r="S61" s="54" t="s">
        <v>178</v>
      </c>
      <c r="T61" s="131" t="str">
        <f>IFERROR(VLOOKUP(S61,TD!$J$33:$K$43,2,0)," ")</f>
        <v>Servicio de capacitaciones en gestión del riesgo de incendios  a la ciudadania.</v>
      </c>
      <c r="U61" s="54" t="str">
        <f t="shared" si="0"/>
        <v>05-Servicio de capacitaciones en gestión del riesgo de incendios  a la ciudadania.</v>
      </c>
      <c r="V61" s="54" t="s">
        <v>235</v>
      </c>
      <c r="W61" s="131" t="str">
        <f>IFERROR(VLOOKUP(V61,TD!$N$33:$O$45,2,0)," ")</f>
        <v>Servicio prevención y control de incendios</v>
      </c>
      <c r="X61" s="54" t="str">
        <f t="shared" si="1"/>
        <v>035_Servicio prevención y control de incendios</v>
      </c>
      <c r="Y61" s="54" t="str">
        <f t="shared" si="2"/>
        <v>05-Servicio de capacitaciones en gestión del riesgo de incendios  a la ciudadania. 035_Servicio prevención y control de incendios</v>
      </c>
      <c r="Z61" s="131" t="str">
        <f t="shared" si="3"/>
        <v>O23011745032024025505035</v>
      </c>
      <c r="AA61" s="131" t="str">
        <f>IFERROR(VLOOKUP(Y61,TD!$K$46:$L$64,2,0)," ")</f>
        <v>PM/0131/0105/45030350255</v>
      </c>
      <c r="AB61" s="57" t="s">
        <v>139</v>
      </c>
      <c r="AC61" s="132" t="s">
        <v>205</v>
      </c>
    </row>
    <row r="62" spans="2:29" s="28" customFormat="1" ht="71.25">
      <c r="B62" s="85">
        <v>20240804</v>
      </c>
      <c r="C62" s="53" t="s">
        <v>210</v>
      </c>
      <c r="D62" s="129" t="s">
        <v>168</v>
      </c>
      <c r="E62" s="54" t="s">
        <v>381</v>
      </c>
      <c r="F62" s="129" t="s">
        <v>786</v>
      </c>
      <c r="G62" s="129" t="s">
        <v>157</v>
      </c>
      <c r="H62" s="117">
        <v>80111600</v>
      </c>
      <c r="I62" s="130">
        <v>8</v>
      </c>
      <c r="J62" s="130">
        <v>5</v>
      </c>
      <c r="K62" s="56">
        <v>0</v>
      </c>
      <c r="L62" s="57">
        <v>15000000</v>
      </c>
      <c r="M62" s="129" t="s">
        <v>173</v>
      </c>
      <c r="N62" s="57" t="s">
        <v>114</v>
      </c>
      <c r="O62" s="54" t="s">
        <v>222</v>
      </c>
      <c r="P62" s="131" t="str">
        <f>IFERROR(VLOOKUP(C62,TD!$B$32:$F$36,2,0)," ")</f>
        <v>O230117</v>
      </c>
      <c r="Q62" s="131" t="str">
        <f>IFERROR(VLOOKUP(C62,TD!$B$32:$F$36,3,0)," ")</f>
        <v>4503</v>
      </c>
      <c r="R62" s="131">
        <f>IFERROR(VLOOKUP(C62,TD!$B$32:$F$36,4,0)," ")</f>
        <v>20240255</v>
      </c>
      <c r="S62" s="54" t="s">
        <v>178</v>
      </c>
      <c r="T62" s="131" t="str">
        <f>IFERROR(VLOOKUP(S62,TD!$J$33:$K$43,2,0)," ")</f>
        <v>Servicio de capacitaciones en gestión del riesgo de incendios  a la ciudadania.</v>
      </c>
      <c r="U62" s="54" t="str">
        <f t="shared" si="0"/>
        <v>05-Servicio de capacitaciones en gestión del riesgo de incendios  a la ciudadania.</v>
      </c>
      <c r="V62" s="54" t="s">
        <v>235</v>
      </c>
      <c r="W62" s="131" t="str">
        <f>IFERROR(VLOOKUP(V62,TD!$N$33:$O$45,2,0)," ")</f>
        <v>Servicio prevención y control de incendios</v>
      </c>
      <c r="X62" s="54" t="str">
        <f t="shared" si="1"/>
        <v>035_Servicio prevención y control de incendios</v>
      </c>
      <c r="Y62" s="54" t="str">
        <f t="shared" si="2"/>
        <v>05-Servicio de capacitaciones en gestión del riesgo de incendios  a la ciudadania. 035_Servicio prevención y control de incendios</v>
      </c>
      <c r="Z62" s="131" t="str">
        <f t="shared" si="3"/>
        <v>O23011745032024025505035</v>
      </c>
      <c r="AA62" s="131" t="str">
        <f>IFERROR(VLOOKUP(Y62,TD!$K$46:$L$64,2,0)," ")</f>
        <v>PM/0131/0105/45030350255</v>
      </c>
      <c r="AB62" s="57" t="s">
        <v>139</v>
      </c>
      <c r="AC62" s="132" t="s">
        <v>205</v>
      </c>
    </row>
    <row r="63" spans="2:29" s="28" customFormat="1" ht="71.25">
      <c r="B63" s="85">
        <v>20240805</v>
      </c>
      <c r="C63" s="53" t="s">
        <v>210</v>
      </c>
      <c r="D63" s="129" t="s">
        <v>168</v>
      </c>
      <c r="E63" s="54" t="s">
        <v>381</v>
      </c>
      <c r="F63" s="129" t="s">
        <v>384</v>
      </c>
      <c r="G63" s="129" t="s">
        <v>157</v>
      </c>
      <c r="H63" s="117">
        <v>80111600</v>
      </c>
      <c r="I63" s="130">
        <v>8</v>
      </c>
      <c r="J63" s="130">
        <v>6</v>
      </c>
      <c r="K63" s="56">
        <v>0</v>
      </c>
      <c r="L63" s="57">
        <v>15000000</v>
      </c>
      <c r="M63" s="129" t="s">
        <v>173</v>
      </c>
      <c r="N63" s="57" t="s">
        <v>114</v>
      </c>
      <c r="O63" s="54" t="s">
        <v>222</v>
      </c>
      <c r="P63" s="131" t="str">
        <f>IFERROR(VLOOKUP(C63,TD!$B$32:$F$36,2,0)," ")</f>
        <v>O230117</v>
      </c>
      <c r="Q63" s="131" t="str">
        <f>IFERROR(VLOOKUP(C63,TD!$B$32:$F$36,3,0)," ")</f>
        <v>4503</v>
      </c>
      <c r="R63" s="131">
        <f>IFERROR(VLOOKUP(C63,TD!$B$32:$F$36,4,0)," ")</f>
        <v>20240255</v>
      </c>
      <c r="S63" s="54" t="s">
        <v>178</v>
      </c>
      <c r="T63" s="131" t="str">
        <f>IFERROR(VLOOKUP(S63,TD!$J$33:$K$43,2,0)," ")</f>
        <v>Servicio de capacitaciones en gestión del riesgo de incendios  a la ciudadania.</v>
      </c>
      <c r="U63" s="54" t="str">
        <f t="shared" si="0"/>
        <v>05-Servicio de capacitaciones en gestión del riesgo de incendios  a la ciudadania.</v>
      </c>
      <c r="V63" s="54" t="s">
        <v>235</v>
      </c>
      <c r="W63" s="131" t="str">
        <f>IFERROR(VLOOKUP(V63,TD!$N$33:$O$45,2,0)," ")</f>
        <v>Servicio prevención y control de incendios</v>
      </c>
      <c r="X63" s="54" t="str">
        <f t="shared" si="1"/>
        <v>035_Servicio prevención y control de incendios</v>
      </c>
      <c r="Y63" s="54" t="str">
        <f t="shared" si="2"/>
        <v>05-Servicio de capacitaciones en gestión del riesgo de incendios  a la ciudadania. 035_Servicio prevención y control de incendios</v>
      </c>
      <c r="Z63" s="131" t="str">
        <f t="shared" si="3"/>
        <v>O23011745032024025505035</v>
      </c>
      <c r="AA63" s="131" t="str">
        <f>IFERROR(VLOOKUP(Y63,TD!$K$46:$L$64,2,0)," ")</f>
        <v>PM/0131/0105/45030350255</v>
      </c>
      <c r="AB63" s="57" t="s">
        <v>139</v>
      </c>
      <c r="AC63" s="132" t="s">
        <v>205</v>
      </c>
    </row>
    <row r="64" spans="2:29" s="28" customFormat="1" ht="71.25">
      <c r="B64" s="85">
        <v>20240806</v>
      </c>
      <c r="C64" s="53" t="s">
        <v>210</v>
      </c>
      <c r="D64" s="129" t="s">
        <v>168</v>
      </c>
      <c r="E64" s="54" t="s">
        <v>381</v>
      </c>
      <c r="F64" s="129" t="s">
        <v>385</v>
      </c>
      <c r="G64" s="129" t="s">
        <v>157</v>
      </c>
      <c r="H64" s="117">
        <v>80111600</v>
      </c>
      <c r="I64" s="130">
        <v>8</v>
      </c>
      <c r="J64" s="130">
        <v>5</v>
      </c>
      <c r="K64" s="56">
        <v>0</v>
      </c>
      <c r="L64" s="57">
        <f>13052475+1947525</f>
        <v>15000000</v>
      </c>
      <c r="M64" s="129" t="s">
        <v>173</v>
      </c>
      <c r="N64" s="57" t="s">
        <v>114</v>
      </c>
      <c r="O64" s="54" t="s">
        <v>222</v>
      </c>
      <c r="P64" s="131" t="str">
        <f>IFERROR(VLOOKUP(C64,TD!$B$32:$F$36,2,0)," ")</f>
        <v>O230117</v>
      </c>
      <c r="Q64" s="131" t="str">
        <f>IFERROR(VLOOKUP(C64,TD!$B$32:$F$36,3,0)," ")</f>
        <v>4503</v>
      </c>
      <c r="R64" s="131">
        <f>IFERROR(VLOOKUP(C64,TD!$B$32:$F$36,4,0)," ")</f>
        <v>20240255</v>
      </c>
      <c r="S64" s="54" t="s">
        <v>178</v>
      </c>
      <c r="T64" s="131" t="str">
        <f>IFERROR(VLOOKUP(S64,TD!$J$33:$K$43,2,0)," ")</f>
        <v>Servicio de capacitaciones en gestión del riesgo de incendios  a la ciudadania.</v>
      </c>
      <c r="U64" s="54" t="str">
        <f t="shared" si="0"/>
        <v>05-Servicio de capacitaciones en gestión del riesgo de incendios  a la ciudadania.</v>
      </c>
      <c r="V64" s="54" t="s">
        <v>235</v>
      </c>
      <c r="W64" s="131" t="str">
        <f>IFERROR(VLOOKUP(V64,TD!$N$33:$O$45,2,0)," ")</f>
        <v>Servicio prevención y control de incendios</v>
      </c>
      <c r="X64" s="54" t="str">
        <f t="shared" si="1"/>
        <v>035_Servicio prevención y control de incendios</v>
      </c>
      <c r="Y64" s="54" t="str">
        <f t="shared" si="2"/>
        <v>05-Servicio de capacitaciones en gestión del riesgo de incendios  a la ciudadania. 035_Servicio prevención y control de incendios</v>
      </c>
      <c r="Z64" s="131" t="str">
        <f t="shared" si="3"/>
        <v>O23011745032024025505035</v>
      </c>
      <c r="AA64" s="131" t="str">
        <f>IFERROR(VLOOKUP(Y64,TD!$K$46:$L$64,2,0)," ")</f>
        <v>PM/0131/0105/45030350255</v>
      </c>
      <c r="AB64" s="57" t="s">
        <v>139</v>
      </c>
      <c r="AC64" s="132" t="s">
        <v>205</v>
      </c>
    </row>
    <row r="65" spans="2:29" s="28" customFormat="1" ht="57">
      <c r="B65" s="85">
        <v>20240807</v>
      </c>
      <c r="C65" s="53" t="s">
        <v>210</v>
      </c>
      <c r="D65" s="129" t="s">
        <v>168</v>
      </c>
      <c r="E65" s="54" t="s">
        <v>381</v>
      </c>
      <c r="F65" s="129" t="s">
        <v>386</v>
      </c>
      <c r="G65" s="129" t="s">
        <v>156</v>
      </c>
      <c r="H65" s="117">
        <v>80111600</v>
      </c>
      <c r="I65" s="130">
        <v>8</v>
      </c>
      <c r="J65" s="130">
        <v>7</v>
      </c>
      <c r="K65" s="56">
        <v>0</v>
      </c>
      <c r="L65" s="57">
        <v>50400000</v>
      </c>
      <c r="M65" s="129" t="s">
        <v>173</v>
      </c>
      <c r="N65" s="57" t="s">
        <v>114</v>
      </c>
      <c r="O65" s="54" t="s">
        <v>222</v>
      </c>
      <c r="P65" s="131" t="str">
        <f>IFERROR(VLOOKUP(C65,TD!$B$32:$F$36,2,0)," ")</f>
        <v>O230117</v>
      </c>
      <c r="Q65" s="131" t="str">
        <f>IFERROR(VLOOKUP(C65,TD!$B$32:$F$36,3,0)," ")</f>
        <v>4503</v>
      </c>
      <c r="R65" s="131">
        <f>IFERROR(VLOOKUP(C65,TD!$B$32:$F$36,4,0)," ")</f>
        <v>20240255</v>
      </c>
      <c r="S65" s="54" t="s">
        <v>182</v>
      </c>
      <c r="T65" s="131" t="str">
        <f>IFERROR(VLOOKUP(S65,TD!$J$33:$K$43,2,0)," ")</f>
        <v>Servicio de inspecciones técnicas realizadas</v>
      </c>
      <c r="U65" s="54" t="str">
        <f t="shared" si="0"/>
        <v>06-Servicio de inspecciones técnicas realizadas</v>
      </c>
      <c r="V65" s="54" t="s">
        <v>235</v>
      </c>
      <c r="W65" s="131" t="str">
        <f>IFERROR(VLOOKUP(V65,TD!$N$33:$O$45,2,0)," ")</f>
        <v>Servicio prevención y control de incendios</v>
      </c>
      <c r="X65" s="54" t="str">
        <f t="shared" si="1"/>
        <v>035_Servicio prevención y control de incendios</v>
      </c>
      <c r="Y65" s="54" t="str">
        <f t="shared" si="2"/>
        <v>06-Servicio de inspecciones técnicas realizadas 035_Servicio prevención y control de incendios</v>
      </c>
      <c r="Z65" s="131" t="str">
        <f t="shared" si="3"/>
        <v>O23011745032024025506035</v>
      </c>
      <c r="AA65" s="131" t="str">
        <f>IFERROR(VLOOKUP(Y65,TD!$K$46:$L$64,2,0)," ")</f>
        <v>PM/0131/0106/45030350255</v>
      </c>
      <c r="AB65" s="57" t="s">
        <v>139</v>
      </c>
      <c r="AC65" s="132" t="s">
        <v>205</v>
      </c>
    </row>
    <row r="66" spans="2:29" s="28" customFormat="1" ht="57">
      <c r="B66" s="85">
        <v>20240808</v>
      </c>
      <c r="C66" s="53" t="s">
        <v>210</v>
      </c>
      <c r="D66" s="129" t="s">
        <v>168</v>
      </c>
      <c r="E66" s="54" t="s">
        <v>381</v>
      </c>
      <c r="F66" s="129" t="s">
        <v>387</v>
      </c>
      <c r="G66" s="129" t="s">
        <v>156</v>
      </c>
      <c r="H66" s="117">
        <v>80111600</v>
      </c>
      <c r="I66" s="130">
        <v>8</v>
      </c>
      <c r="J66" s="130">
        <v>6</v>
      </c>
      <c r="K66" s="56">
        <v>0</v>
      </c>
      <c r="L66" s="57">
        <v>30743222</v>
      </c>
      <c r="M66" s="129" t="s">
        <v>173</v>
      </c>
      <c r="N66" s="57" t="s">
        <v>114</v>
      </c>
      <c r="O66" s="54" t="s">
        <v>222</v>
      </c>
      <c r="P66" s="131" t="str">
        <f>IFERROR(VLOOKUP(C66,TD!$B$32:$F$36,2,0)," ")</f>
        <v>O230117</v>
      </c>
      <c r="Q66" s="131" t="str">
        <f>IFERROR(VLOOKUP(C66,TD!$B$32:$F$36,3,0)," ")</f>
        <v>4503</v>
      </c>
      <c r="R66" s="131">
        <f>IFERROR(VLOOKUP(C66,TD!$B$32:$F$36,4,0)," ")</f>
        <v>20240255</v>
      </c>
      <c r="S66" s="54" t="s">
        <v>182</v>
      </c>
      <c r="T66" s="131" t="str">
        <f>IFERROR(VLOOKUP(S66,TD!$J$33:$K$43,2,0)," ")</f>
        <v>Servicio de inspecciones técnicas realizadas</v>
      </c>
      <c r="U66" s="54" t="str">
        <f t="shared" si="0"/>
        <v>06-Servicio de inspecciones técnicas realizadas</v>
      </c>
      <c r="V66" s="54" t="s">
        <v>235</v>
      </c>
      <c r="W66" s="131" t="str">
        <f>IFERROR(VLOOKUP(V66,TD!$N$33:$O$45,2,0)," ")</f>
        <v>Servicio prevención y control de incendios</v>
      </c>
      <c r="X66" s="54" t="str">
        <f t="shared" si="1"/>
        <v>035_Servicio prevención y control de incendios</v>
      </c>
      <c r="Y66" s="54" t="str">
        <f t="shared" si="2"/>
        <v>06-Servicio de inspecciones técnicas realizadas 035_Servicio prevención y control de incendios</v>
      </c>
      <c r="Z66" s="131" t="str">
        <f t="shared" si="3"/>
        <v>O23011745032024025506035</v>
      </c>
      <c r="AA66" s="131" t="str">
        <f>IFERROR(VLOOKUP(Y66,TD!$K$46:$L$64,2,0)," ")</f>
        <v>PM/0131/0106/45030350255</v>
      </c>
      <c r="AB66" s="57" t="s">
        <v>139</v>
      </c>
      <c r="AC66" s="132" t="s">
        <v>205</v>
      </c>
    </row>
    <row r="67" spans="2:29" s="28" customFormat="1" ht="57">
      <c r="B67" s="85">
        <v>20240809</v>
      </c>
      <c r="C67" s="53" t="s">
        <v>210</v>
      </c>
      <c r="D67" s="129" t="s">
        <v>168</v>
      </c>
      <c r="E67" s="54" t="s">
        <v>381</v>
      </c>
      <c r="F67" s="129" t="s">
        <v>388</v>
      </c>
      <c r="G67" s="129" t="s">
        <v>120</v>
      </c>
      <c r="H67" s="117">
        <v>80111600</v>
      </c>
      <c r="I67" s="130">
        <v>8</v>
      </c>
      <c r="J67" s="130">
        <v>3</v>
      </c>
      <c r="K67" s="56">
        <v>0</v>
      </c>
      <c r="L67" s="57">
        <v>20000000</v>
      </c>
      <c r="M67" s="129" t="s">
        <v>173</v>
      </c>
      <c r="N67" s="57" t="s">
        <v>101</v>
      </c>
      <c r="O67" s="54" t="s">
        <v>222</v>
      </c>
      <c r="P67" s="131" t="str">
        <f>IFERROR(VLOOKUP(C67,TD!$B$32:$F$36,2,0)," ")</f>
        <v>O230117</v>
      </c>
      <c r="Q67" s="131" t="str">
        <f>IFERROR(VLOOKUP(C67,TD!$B$32:$F$36,3,0)," ")</f>
        <v>4503</v>
      </c>
      <c r="R67" s="131">
        <f>IFERROR(VLOOKUP(C67,TD!$B$32:$F$36,4,0)," ")</f>
        <v>20240255</v>
      </c>
      <c r="S67" s="54" t="s">
        <v>182</v>
      </c>
      <c r="T67" s="131" t="str">
        <f>IFERROR(VLOOKUP(S67,TD!$J$33:$K$43,2,0)," ")</f>
        <v>Servicio de inspecciones técnicas realizadas</v>
      </c>
      <c r="U67" s="54" t="str">
        <f t="shared" si="0"/>
        <v>06-Servicio de inspecciones técnicas realizadas</v>
      </c>
      <c r="V67" s="54" t="s">
        <v>235</v>
      </c>
      <c r="W67" s="131" t="str">
        <f>IFERROR(VLOOKUP(V67,TD!$N$33:$O$45,2,0)," ")</f>
        <v>Servicio prevención y control de incendios</v>
      </c>
      <c r="X67" s="54" t="str">
        <f t="shared" si="1"/>
        <v>035_Servicio prevención y control de incendios</v>
      </c>
      <c r="Y67" s="54" t="str">
        <f t="shared" si="2"/>
        <v>06-Servicio de inspecciones técnicas realizadas 035_Servicio prevención y control de incendios</v>
      </c>
      <c r="Z67" s="131" t="str">
        <f t="shared" si="3"/>
        <v>O23011745032024025506035</v>
      </c>
      <c r="AA67" s="131" t="str">
        <f>IFERROR(VLOOKUP(Y67,TD!$K$46:$L$64,2,0)," ")</f>
        <v>PM/0131/0106/45030350255</v>
      </c>
      <c r="AB67" s="57" t="s">
        <v>139</v>
      </c>
      <c r="AC67" s="132" t="s">
        <v>205</v>
      </c>
    </row>
    <row r="68" spans="2:29" s="28" customFormat="1" ht="57">
      <c r="B68" s="85">
        <v>20240810</v>
      </c>
      <c r="C68" s="53" t="s">
        <v>210</v>
      </c>
      <c r="D68" s="129" t="s">
        <v>168</v>
      </c>
      <c r="E68" s="54" t="s">
        <v>381</v>
      </c>
      <c r="F68" s="129" t="s">
        <v>389</v>
      </c>
      <c r="G68" s="129" t="s">
        <v>120</v>
      </c>
      <c r="H68" s="117">
        <v>80111600</v>
      </c>
      <c r="I68" s="130">
        <v>8</v>
      </c>
      <c r="J68" s="130">
        <v>3</v>
      </c>
      <c r="K68" s="56">
        <v>0</v>
      </c>
      <c r="L68" s="57">
        <f>91000000-42000000</f>
        <v>49000000</v>
      </c>
      <c r="M68" s="129" t="s">
        <v>173</v>
      </c>
      <c r="N68" s="57" t="s">
        <v>91</v>
      </c>
      <c r="O68" s="54" t="s">
        <v>222</v>
      </c>
      <c r="P68" s="131" t="str">
        <f>IFERROR(VLOOKUP(C68,TD!$B$32:$F$36,2,0)," ")</f>
        <v>O230117</v>
      </c>
      <c r="Q68" s="131" t="str">
        <f>IFERROR(VLOOKUP(C68,TD!$B$32:$F$36,3,0)," ")</f>
        <v>4503</v>
      </c>
      <c r="R68" s="131">
        <f>IFERROR(VLOOKUP(C68,TD!$B$32:$F$36,4,0)," ")</f>
        <v>20240255</v>
      </c>
      <c r="S68" s="54" t="s">
        <v>182</v>
      </c>
      <c r="T68" s="131" t="str">
        <f>IFERROR(VLOOKUP(S68,TD!$J$33:$K$43,2,0)," ")</f>
        <v>Servicio de inspecciones técnicas realizadas</v>
      </c>
      <c r="U68" s="54" t="str">
        <f t="shared" si="0"/>
        <v>06-Servicio de inspecciones técnicas realizadas</v>
      </c>
      <c r="V68" s="54" t="s">
        <v>235</v>
      </c>
      <c r="W68" s="131" t="str">
        <f>IFERROR(VLOOKUP(V68,TD!$N$33:$O$45,2,0)," ")</f>
        <v>Servicio prevención y control de incendios</v>
      </c>
      <c r="X68" s="54" t="str">
        <f t="shared" si="1"/>
        <v>035_Servicio prevención y control de incendios</v>
      </c>
      <c r="Y68" s="54" t="str">
        <f t="shared" si="2"/>
        <v>06-Servicio de inspecciones técnicas realizadas 035_Servicio prevención y control de incendios</v>
      </c>
      <c r="Z68" s="131" t="str">
        <f t="shared" si="3"/>
        <v>O23011745032024025506035</v>
      </c>
      <c r="AA68" s="131" t="str">
        <f>IFERROR(VLOOKUP(Y68,TD!$K$46:$L$64,2,0)," ")</f>
        <v>PM/0131/0106/45030350255</v>
      </c>
      <c r="AB68" s="57" t="s">
        <v>139</v>
      </c>
      <c r="AC68" s="132" t="s">
        <v>205</v>
      </c>
    </row>
    <row r="69" spans="2:29" s="28" customFormat="1" ht="57">
      <c r="B69" s="85">
        <v>20240811</v>
      </c>
      <c r="C69" s="53" t="s">
        <v>210</v>
      </c>
      <c r="D69" s="129" t="s">
        <v>168</v>
      </c>
      <c r="E69" s="54" t="s">
        <v>381</v>
      </c>
      <c r="F69" s="129" t="s">
        <v>390</v>
      </c>
      <c r="G69" s="129" t="s">
        <v>120</v>
      </c>
      <c r="H69" s="117">
        <v>80111600</v>
      </c>
      <c r="I69" s="130">
        <v>10</v>
      </c>
      <c r="J69" s="130">
        <v>3</v>
      </c>
      <c r="K69" s="56">
        <v>0</v>
      </c>
      <c r="L69" s="57">
        <f>12000000-12000000</f>
        <v>0</v>
      </c>
      <c r="M69" s="129" t="s">
        <v>173</v>
      </c>
      <c r="N69" s="57" t="s">
        <v>101</v>
      </c>
      <c r="O69" s="54" t="s">
        <v>222</v>
      </c>
      <c r="P69" s="131" t="str">
        <f>IFERROR(VLOOKUP(C69,TD!$B$32:$F$36,2,0)," ")</f>
        <v>O230117</v>
      </c>
      <c r="Q69" s="131" t="str">
        <f>IFERROR(VLOOKUP(C69,TD!$B$32:$F$36,3,0)," ")</f>
        <v>4503</v>
      </c>
      <c r="R69" s="131">
        <f>IFERROR(VLOOKUP(C69,TD!$B$32:$F$36,4,0)," ")</f>
        <v>20240255</v>
      </c>
      <c r="S69" s="54" t="s">
        <v>182</v>
      </c>
      <c r="T69" s="131" t="str">
        <f>IFERROR(VLOOKUP(S69,TD!$J$33:$K$43,2,0)," ")</f>
        <v>Servicio de inspecciones técnicas realizadas</v>
      </c>
      <c r="U69" s="54" t="str">
        <f t="shared" si="0"/>
        <v>06-Servicio de inspecciones técnicas realizadas</v>
      </c>
      <c r="V69" s="54" t="s">
        <v>235</v>
      </c>
      <c r="W69" s="131" t="str">
        <f>IFERROR(VLOOKUP(V69,TD!$N$33:$O$45,2,0)," ")</f>
        <v>Servicio prevención y control de incendios</v>
      </c>
      <c r="X69" s="54" t="str">
        <f t="shared" si="1"/>
        <v>035_Servicio prevención y control de incendios</v>
      </c>
      <c r="Y69" s="54" t="str">
        <f t="shared" si="2"/>
        <v>06-Servicio de inspecciones técnicas realizadas 035_Servicio prevención y control de incendios</v>
      </c>
      <c r="Z69" s="131" t="str">
        <f t="shared" si="3"/>
        <v>O23011745032024025506035</v>
      </c>
      <c r="AA69" s="131" t="str">
        <f>IFERROR(VLOOKUP(Y69,TD!$K$46:$L$64,2,0)," ")</f>
        <v>PM/0131/0106/45030350255</v>
      </c>
      <c r="AB69" s="57" t="s">
        <v>139</v>
      </c>
      <c r="AC69" s="132" t="s">
        <v>205</v>
      </c>
    </row>
    <row r="70" spans="2:29" s="28" customFormat="1" ht="57">
      <c r="B70" s="85">
        <v>20240812</v>
      </c>
      <c r="C70" s="53" t="s">
        <v>210</v>
      </c>
      <c r="D70" s="129" t="s">
        <v>168</v>
      </c>
      <c r="E70" s="54" t="s">
        <v>381</v>
      </c>
      <c r="F70" s="129" t="s">
        <v>697</v>
      </c>
      <c r="G70" s="129" t="s">
        <v>156</v>
      </c>
      <c r="H70" s="117">
        <v>80111600</v>
      </c>
      <c r="I70" s="130">
        <v>12</v>
      </c>
      <c r="J70" s="130">
        <v>1.5</v>
      </c>
      <c r="K70" s="56">
        <v>0</v>
      </c>
      <c r="L70" s="57">
        <f>8250000+2750000</f>
        <v>11000000</v>
      </c>
      <c r="M70" s="129" t="s">
        <v>173</v>
      </c>
      <c r="N70" s="57" t="s">
        <v>114</v>
      </c>
      <c r="O70" s="54" t="s">
        <v>222</v>
      </c>
      <c r="P70" s="131" t="str">
        <f>IFERROR(VLOOKUP(C70,TD!$B$32:$F$36,2,0)," ")</f>
        <v>O230117</v>
      </c>
      <c r="Q70" s="131" t="str">
        <f>IFERROR(VLOOKUP(C70,TD!$B$32:$F$36,3,0)," ")</f>
        <v>4503</v>
      </c>
      <c r="R70" s="131">
        <f>IFERROR(VLOOKUP(C70,TD!$B$32:$F$36,4,0)," ")</f>
        <v>20240255</v>
      </c>
      <c r="S70" s="54" t="s">
        <v>182</v>
      </c>
      <c r="T70" s="131" t="str">
        <f>IFERROR(VLOOKUP(S70,TD!$J$33:$K$43,2,0)," ")</f>
        <v>Servicio de inspecciones técnicas realizadas</v>
      </c>
      <c r="U70" s="54" t="str">
        <f t="shared" si="0"/>
        <v>06-Servicio de inspecciones técnicas realizadas</v>
      </c>
      <c r="V70" s="54" t="s">
        <v>235</v>
      </c>
      <c r="W70" s="131" t="str">
        <f>IFERROR(VLOOKUP(V70,TD!$N$33:$O$45,2,0)," ")</f>
        <v>Servicio prevención y control de incendios</v>
      </c>
      <c r="X70" s="54" t="str">
        <f t="shared" si="1"/>
        <v>035_Servicio prevención y control de incendios</v>
      </c>
      <c r="Y70" s="54" t="str">
        <f t="shared" si="2"/>
        <v>06-Servicio de inspecciones técnicas realizadas 035_Servicio prevención y control de incendios</v>
      </c>
      <c r="Z70" s="131" t="str">
        <f t="shared" si="3"/>
        <v>O23011745032024025506035</v>
      </c>
      <c r="AA70" s="131" t="str">
        <f>IFERROR(VLOOKUP(Y70,TD!$K$46:$L$64,2,0)," ")</f>
        <v>PM/0131/0106/45030350255</v>
      </c>
      <c r="AB70" s="57" t="s">
        <v>139</v>
      </c>
      <c r="AC70" s="132" t="s">
        <v>206</v>
      </c>
    </row>
    <row r="71" spans="2:29" s="28" customFormat="1" ht="71.25">
      <c r="B71" s="85">
        <v>20240813</v>
      </c>
      <c r="C71" s="53" t="s">
        <v>210</v>
      </c>
      <c r="D71" s="129" t="s">
        <v>168</v>
      </c>
      <c r="E71" s="54" t="s">
        <v>381</v>
      </c>
      <c r="F71" s="129" t="s">
        <v>698</v>
      </c>
      <c r="G71" s="129" t="s">
        <v>157</v>
      </c>
      <c r="H71" s="117">
        <v>80111600</v>
      </c>
      <c r="I71" s="130">
        <v>12</v>
      </c>
      <c r="J71" s="130">
        <v>2</v>
      </c>
      <c r="K71" s="56">
        <v>0</v>
      </c>
      <c r="L71" s="57">
        <f>3700000+3700000</f>
        <v>7400000</v>
      </c>
      <c r="M71" s="129" t="s">
        <v>173</v>
      </c>
      <c r="N71" s="57" t="s">
        <v>114</v>
      </c>
      <c r="O71" s="54" t="s">
        <v>222</v>
      </c>
      <c r="P71" s="131" t="str">
        <f>IFERROR(VLOOKUP(C71,TD!$B$32:$F$36,2,0)," ")</f>
        <v>O230117</v>
      </c>
      <c r="Q71" s="131" t="str">
        <f>IFERROR(VLOOKUP(C71,TD!$B$32:$F$36,3,0)," ")</f>
        <v>4503</v>
      </c>
      <c r="R71" s="131">
        <f>IFERROR(VLOOKUP(C71,TD!$B$32:$F$36,4,0)," ")</f>
        <v>20240255</v>
      </c>
      <c r="S71" s="54" t="s">
        <v>182</v>
      </c>
      <c r="T71" s="131" t="str">
        <f>IFERROR(VLOOKUP(S71,TD!$J$33:$K$43,2,0)," ")</f>
        <v>Servicio de inspecciones técnicas realizadas</v>
      </c>
      <c r="U71" s="54" t="str">
        <f t="shared" si="0"/>
        <v>06-Servicio de inspecciones técnicas realizadas</v>
      </c>
      <c r="V71" s="54" t="s">
        <v>235</v>
      </c>
      <c r="W71" s="131" t="str">
        <f>IFERROR(VLOOKUP(V71,TD!$N$33:$O$45,2,0)," ")</f>
        <v>Servicio prevención y control de incendios</v>
      </c>
      <c r="X71" s="54" t="str">
        <f t="shared" si="1"/>
        <v>035_Servicio prevención y control de incendios</v>
      </c>
      <c r="Y71" s="54" t="str">
        <f t="shared" si="2"/>
        <v>06-Servicio de inspecciones técnicas realizadas 035_Servicio prevención y control de incendios</v>
      </c>
      <c r="Z71" s="131" t="str">
        <f t="shared" si="3"/>
        <v>O23011745032024025506035</v>
      </c>
      <c r="AA71" s="131" t="str">
        <f>IFERROR(VLOOKUP(Y71,TD!$K$46:$L$64,2,0)," ")</f>
        <v>PM/0131/0106/45030350255</v>
      </c>
      <c r="AB71" s="57" t="s">
        <v>139</v>
      </c>
      <c r="AC71" s="132" t="s">
        <v>206</v>
      </c>
    </row>
    <row r="72" spans="2:29" s="28" customFormat="1" ht="71.25">
      <c r="B72" s="85">
        <v>20240814</v>
      </c>
      <c r="C72" s="53" t="s">
        <v>210</v>
      </c>
      <c r="D72" s="129" t="s">
        <v>168</v>
      </c>
      <c r="E72" s="54" t="s">
        <v>381</v>
      </c>
      <c r="F72" s="129" t="s">
        <v>391</v>
      </c>
      <c r="G72" s="129" t="s">
        <v>157</v>
      </c>
      <c r="H72" s="117">
        <v>80111600</v>
      </c>
      <c r="I72" s="130">
        <v>8</v>
      </c>
      <c r="J72" s="130">
        <v>4</v>
      </c>
      <c r="K72" s="56">
        <v>0</v>
      </c>
      <c r="L72" s="57">
        <v>12000000</v>
      </c>
      <c r="M72" s="129" t="s">
        <v>173</v>
      </c>
      <c r="N72" s="57" t="s">
        <v>114</v>
      </c>
      <c r="O72" s="54" t="s">
        <v>222</v>
      </c>
      <c r="P72" s="131" t="str">
        <f>IFERROR(VLOOKUP(C72,TD!$B$32:$F$36,2,0)," ")</f>
        <v>O230117</v>
      </c>
      <c r="Q72" s="131" t="str">
        <f>IFERROR(VLOOKUP(C72,TD!$B$32:$F$36,3,0)," ")</f>
        <v>4503</v>
      </c>
      <c r="R72" s="131">
        <f>IFERROR(VLOOKUP(C72,TD!$B$32:$F$36,4,0)," ")</f>
        <v>20240255</v>
      </c>
      <c r="S72" s="54" t="s">
        <v>182</v>
      </c>
      <c r="T72" s="131" t="str">
        <f>IFERROR(VLOOKUP(S72,TD!$J$33:$K$43,2,0)," ")</f>
        <v>Servicio de inspecciones técnicas realizadas</v>
      </c>
      <c r="U72" s="54" t="str">
        <f t="shared" si="0"/>
        <v>06-Servicio de inspecciones técnicas realizadas</v>
      </c>
      <c r="V72" s="54" t="s">
        <v>235</v>
      </c>
      <c r="W72" s="131" t="str">
        <f>IFERROR(VLOOKUP(V72,TD!$N$33:$O$45,2,0)," ")</f>
        <v>Servicio prevención y control de incendios</v>
      </c>
      <c r="X72" s="54" t="str">
        <f t="shared" si="1"/>
        <v>035_Servicio prevención y control de incendios</v>
      </c>
      <c r="Y72" s="54" t="str">
        <f t="shared" si="2"/>
        <v>06-Servicio de inspecciones técnicas realizadas 035_Servicio prevención y control de incendios</v>
      </c>
      <c r="Z72" s="131" t="str">
        <f t="shared" si="3"/>
        <v>O23011745032024025506035</v>
      </c>
      <c r="AA72" s="131" t="str">
        <f>IFERROR(VLOOKUP(Y72,TD!$K$46:$L$64,2,0)," ")</f>
        <v>PM/0131/0106/45030350255</v>
      </c>
      <c r="AB72" s="57" t="s">
        <v>139</v>
      </c>
      <c r="AC72" s="132" t="s">
        <v>205</v>
      </c>
    </row>
    <row r="73" spans="2:29" s="28" customFormat="1" ht="57">
      <c r="B73" s="85">
        <v>20240815</v>
      </c>
      <c r="C73" s="53" t="s">
        <v>210</v>
      </c>
      <c r="D73" s="129" t="s">
        <v>168</v>
      </c>
      <c r="E73" s="54" t="s">
        <v>381</v>
      </c>
      <c r="F73" s="129" t="s">
        <v>392</v>
      </c>
      <c r="G73" s="129" t="s">
        <v>156</v>
      </c>
      <c r="H73" s="117">
        <v>80111600</v>
      </c>
      <c r="I73" s="130">
        <v>8</v>
      </c>
      <c r="J73" s="130">
        <v>6</v>
      </c>
      <c r="K73" s="56">
        <v>0</v>
      </c>
      <c r="L73" s="57">
        <v>33000000</v>
      </c>
      <c r="M73" s="129" t="s">
        <v>173</v>
      </c>
      <c r="N73" s="57" t="s">
        <v>114</v>
      </c>
      <c r="O73" s="54" t="s">
        <v>222</v>
      </c>
      <c r="P73" s="131" t="str">
        <f>IFERROR(VLOOKUP(C73,TD!$B$32:$F$36,2,0)," ")</f>
        <v>O230117</v>
      </c>
      <c r="Q73" s="131" t="str">
        <f>IFERROR(VLOOKUP(C73,TD!$B$32:$F$36,3,0)," ")</f>
        <v>4503</v>
      </c>
      <c r="R73" s="131">
        <f>IFERROR(VLOOKUP(C73,TD!$B$32:$F$36,4,0)," ")</f>
        <v>20240255</v>
      </c>
      <c r="S73" s="54" t="s">
        <v>178</v>
      </c>
      <c r="T73" s="131" t="str">
        <f>IFERROR(VLOOKUP(S73,TD!$J$33:$K$43,2,0)," ")</f>
        <v>Servicio de capacitaciones en gestión del riesgo de incendios  a la ciudadania.</v>
      </c>
      <c r="U73" s="54" t="str">
        <f t="shared" si="0"/>
        <v>05-Servicio de capacitaciones en gestión del riesgo de incendios  a la ciudadania.</v>
      </c>
      <c r="V73" s="54" t="s">
        <v>235</v>
      </c>
      <c r="W73" s="131" t="str">
        <f>IFERROR(VLOOKUP(V73,TD!$N$33:$O$45,2,0)," ")</f>
        <v>Servicio prevención y control de incendios</v>
      </c>
      <c r="X73" s="152" t="str">
        <f t="shared" si="1"/>
        <v>035_Servicio prevención y control de incendios</v>
      </c>
      <c r="Y73" s="152" t="str">
        <f t="shared" si="2"/>
        <v>05-Servicio de capacitaciones en gestión del riesgo de incendios  a la ciudadania. 035_Servicio prevención y control de incendios</v>
      </c>
      <c r="Z73" s="153" t="str">
        <f t="shared" si="3"/>
        <v>O23011745032024025505035</v>
      </c>
      <c r="AA73" s="131" t="str">
        <f>IFERROR(VLOOKUP(Y73,TD!$K$46:$L$64,2,0)," ")</f>
        <v>PM/0131/0105/45030350255</v>
      </c>
      <c r="AB73" s="57" t="s">
        <v>139</v>
      </c>
      <c r="AC73" s="132" t="s">
        <v>205</v>
      </c>
    </row>
    <row r="74" spans="2:29" s="28" customFormat="1" ht="57">
      <c r="B74" s="85">
        <v>20240816</v>
      </c>
      <c r="C74" s="53" t="s">
        <v>210</v>
      </c>
      <c r="D74" s="129" t="s">
        <v>168</v>
      </c>
      <c r="E74" s="54" t="s">
        <v>381</v>
      </c>
      <c r="F74" s="129" t="s">
        <v>392</v>
      </c>
      <c r="G74" s="129" t="s">
        <v>156</v>
      </c>
      <c r="H74" s="117">
        <v>80111600</v>
      </c>
      <c r="I74" s="130">
        <v>8</v>
      </c>
      <c r="J74" s="130">
        <v>6</v>
      </c>
      <c r="K74" s="56">
        <v>0</v>
      </c>
      <c r="L74" s="57">
        <v>33000000</v>
      </c>
      <c r="M74" s="129" t="s">
        <v>173</v>
      </c>
      <c r="N74" s="57" t="s">
        <v>114</v>
      </c>
      <c r="O74" s="54" t="s">
        <v>222</v>
      </c>
      <c r="P74" s="131" t="str">
        <f>IFERROR(VLOOKUP(C74,TD!$B$32:$F$36,2,0)," ")</f>
        <v>O230117</v>
      </c>
      <c r="Q74" s="131" t="str">
        <f>IFERROR(VLOOKUP(C74,TD!$B$32:$F$36,3,0)," ")</f>
        <v>4503</v>
      </c>
      <c r="R74" s="131">
        <f>IFERROR(VLOOKUP(C74,TD!$B$32:$F$36,4,0)," ")</f>
        <v>20240255</v>
      </c>
      <c r="S74" s="54" t="s">
        <v>182</v>
      </c>
      <c r="T74" s="131" t="str">
        <f>IFERROR(VLOOKUP(S74,TD!$J$33:$K$43,2,0)," ")</f>
        <v>Servicio de inspecciones técnicas realizadas</v>
      </c>
      <c r="U74" s="54" t="str">
        <f t="shared" si="0"/>
        <v>06-Servicio de inspecciones técnicas realizadas</v>
      </c>
      <c r="V74" s="54" t="s">
        <v>235</v>
      </c>
      <c r="W74" s="131" t="str">
        <f>IFERROR(VLOOKUP(V74,TD!$N$33:$O$45,2,0)," ")</f>
        <v>Servicio prevención y control de incendios</v>
      </c>
      <c r="X74" s="54" t="str">
        <f t="shared" si="1"/>
        <v>035_Servicio prevención y control de incendios</v>
      </c>
      <c r="Y74" s="54" t="str">
        <f t="shared" si="2"/>
        <v>06-Servicio de inspecciones técnicas realizadas 035_Servicio prevención y control de incendios</v>
      </c>
      <c r="Z74" s="131" t="str">
        <f t="shared" si="3"/>
        <v>O23011745032024025506035</v>
      </c>
      <c r="AA74" s="131" t="str">
        <f>IFERROR(VLOOKUP(Y74,TD!$K$46:$L$64,2,0)," ")</f>
        <v>PM/0131/0106/45030350255</v>
      </c>
      <c r="AB74" s="57" t="s">
        <v>139</v>
      </c>
      <c r="AC74" s="132" t="s">
        <v>205</v>
      </c>
    </row>
    <row r="75" spans="2:29" s="28" customFormat="1" ht="57">
      <c r="B75" s="85">
        <v>20240817</v>
      </c>
      <c r="C75" s="53" t="s">
        <v>210</v>
      </c>
      <c r="D75" s="129" t="s">
        <v>168</v>
      </c>
      <c r="E75" s="54" t="s">
        <v>381</v>
      </c>
      <c r="F75" s="129" t="s">
        <v>393</v>
      </c>
      <c r="G75" s="129" t="s">
        <v>156</v>
      </c>
      <c r="H75" s="117">
        <v>80111600</v>
      </c>
      <c r="I75" s="130">
        <v>8</v>
      </c>
      <c r="J75" s="130">
        <v>5</v>
      </c>
      <c r="K75" s="56">
        <v>15</v>
      </c>
      <c r="L75" s="57">
        <v>33000000</v>
      </c>
      <c r="M75" s="129" t="s">
        <v>173</v>
      </c>
      <c r="N75" s="57" t="s">
        <v>114</v>
      </c>
      <c r="O75" s="54" t="s">
        <v>222</v>
      </c>
      <c r="P75" s="131" t="str">
        <f>IFERROR(VLOOKUP(C75,TD!$B$32:$F$36,2,0)," ")</f>
        <v>O230117</v>
      </c>
      <c r="Q75" s="131" t="str">
        <f>IFERROR(VLOOKUP(C75,TD!$B$32:$F$36,3,0)," ")</f>
        <v>4503</v>
      </c>
      <c r="R75" s="131">
        <f>IFERROR(VLOOKUP(C75,TD!$B$32:$F$36,4,0)," ")</f>
        <v>20240255</v>
      </c>
      <c r="S75" s="54" t="s">
        <v>182</v>
      </c>
      <c r="T75" s="131" t="str">
        <f>IFERROR(VLOOKUP(S75,TD!$J$33:$K$43,2,0)," ")</f>
        <v>Servicio de inspecciones técnicas realizadas</v>
      </c>
      <c r="U75" s="54" t="str">
        <f t="shared" ref="U75:U138" si="4">CONCATENATE(S75,"-",T75)</f>
        <v>06-Servicio de inspecciones técnicas realizadas</v>
      </c>
      <c r="V75" s="54" t="s">
        <v>235</v>
      </c>
      <c r="W75" s="131" t="str">
        <f>IFERROR(VLOOKUP(V75,TD!$N$33:$O$45,2,0)," ")</f>
        <v>Servicio prevención y control de incendios</v>
      </c>
      <c r="X75" s="54" t="str">
        <f t="shared" ref="X75:X138" si="5">CONCATENATE(V75,"_",W75)</f>
        <v>035_Servicio prevención y control de incendios</v>
      </c>
      <c r="Y75" s="54" t="str">
        <f t="shared" ref="Y75:Y138" si="6">CONCATENATE(U75," ",X75)</f>
        <v>06-Servicio de inspecciones técnicas realizadas 035_Servicio prevención y control de incendios</v>
      </c>
      <c r="Z75" s="131" t="str">
        <f t="shared" ref="Z75:Z138" si="7">CONCATENATE(P75,Q75,R75,S75,V75)</f>
        <v>O23011745032024025506035</v>
      </c>
      <c r="AA75" s="131" t="str">
        <f>IFERROR(VLOOKUP(Y75,TD!$K$46:$L$64,2,0)," ")</f>
        <v>PM/0131/0106/45030350255</v>
      </c>
      <c r="AB75" s="57" t="s">
        <v>139</v>
      </c>
      <c r="AC75" s="132" t="s">
        <v>205</v>
      </c>
    </row>
    <row r="76" spans="2:29" s="28" customFormat="1" ht="71.25">
      <c r="B76" s="85">
        <v>20240818</v>
      </c>
      <c r="C76" s="53" t="s">
        <v>210</v>
      </c>
      <c r="D76" s="129" t="s">
        <v>168</v>
      </c>
      <c r="E76" s="54" t="s">
        <v>381</v>
      </c>
      <c r="F76" s="129" t="s">
        <v>391</v>
      </c>
      <c r="G76" s="129" t="s">
        <v>157</v>
      </c>
      <c r="H76" s="117">
        <v>80111600</v>
      </c>
      <c r="I76" s="130">
        <v>8</v>
      </c>
      <c r="J76" s="130">
        <v>5</v>
      </c>
      <c r="K76" s="56">
        <v>0</v>
      </c>
      <c r="L76" s="57">
        <v>15000000</v>
      </c>
      <c r="M76" s="129" t="s">
        <v>173</v>
      </c>
      <c r="N76" s="57" t="s">
        <v>114</v>
      </c>
      <c r="O76" s="54" t="s">
        <v>222</v>
      </c>
      <c r="P76" s="131" t="str">
        <f>IFERROR(VLOOKUP(C76,TD!$B$32:$F$36,2,0)," ")</f>
        <v>O230117</v>
      </c>
      <c r="Q76" s="131" t="str">
        <f>IFERROR(VLOOKUP(C76,TD!$B$32:$F$36,3,0)," ")</f>
        <v>4503</v>
      </c>
      <c r="R76" s="131">
        <f>IFERROR(VLOOKUP(C76,TD!$B$32:$F$36,4,0)," ")</f>
        <v>20240255</v>
      </c>
      <c r="S76" s="54" t="s">
        <v>182</v>
      </c>
      <c r="T76" s="131" t="str">
        <f>IFERROR(VLOOKUP(S76,TD!$J$33:$K$43,2,0)," ")</f>
        <v>Servicio de inspecciones técnicas realizadas</v>
      </c>
      <c r="U76" s="54" t="str">
        <f t="shared" si="4"/>
        <v>06-Servicio de inspecciones técnicas realizadas</v>
      </c>
      <c r="V76" s="54" t="s">
        <v>235</v>
      </c>
      <c r="W76" s="131" t="str">
        <f>IFERROR(VLOOKUP(V76,TD!$N$33:$O$45,2,0)," ")</f>
        <v>Servicio prevención y control de incendios</v>
      </c>
      <c r="X76" s="54" t="str">
        <f t="shared" si="5"/>
        <v>035_Servicio prevención y control de incendios</v>
      </c>
      <c r="Y76" s="54" t="str">
        <f t="shared" si="6"/>
        <v>06-Servicio de inspecciones técnicas realizadas 035_Servicio prevención y control de incendios</v>
      </c>
      <c r="Z76" s="131" t="str">
        <f t="shared" si="7"/>
        <v>O23011745032024025506035</v>
      </c>
      <c r="AA76" s="131" t="str">
        <f>IFERROR(VLOOKUP(Y76,TD!$K$46:$L$64,2,0)," ")</f>
        <v>PM/0131/0106/45030350255</v>
      </c>
      <c r="AB76" s="57" t="s">
        <v>139</v>
      </c>
      <c r="AC76" s="132" t="s">
        <v>205</v>
      </c>
    </row>
    <row r="77" spans="2:29" s="28" customFormat="1" ht="71.25">
      <c r="B77" s="85">
        <v>20240819</v>
      </c>
      <c r="C77" s="53" t="s">
        <v>210</v>
      </c>
      <c r="D77" s="129" t="s">
        <v>168</v>
      </c>
      <c r="E77" s="54" t="s">
        <v>381</v>
      </c>
      <c r="F77" s="129" t="s">
        <v>391</v>
      </c>
      <c r="G77" s="129" t="s">
        <v>157</v>
      </c>
      <c r="H77" s="117">
        <v>80111600</v>
      </c>
      <c r="I77" s="130">
        <v>8</v>
      </c>
      <c r="J77" s="130">
        <v>5</v>
      </c>
      <c r="K77" s="56">
        <v>0</v>
      </c>
      <c r="L77" s="57">
        <v>15000000</v>
      </c>
      <c r="M77" s="129" t="s">
        <v>173</v>
      </c>
      <c r="N77" s="57" t="s">
        <v>114</v>
      </c>
      <c r="O77" s="54" t="s">
        <v>222</v>
      </c>
      <c r="P77" s="131" t="str">
        <f>IFERROR(VLOOKUP(C77,TD!$B$32:$F$36,2,0)," ")</f>
        <v>O230117</v>
      </c>
      <c r="Q77" s="131" t="str">
        <f>IFERROR(VLOOKUP(C77,TD!$B$32:$F$36,3,0)," ")</f>
        <v>4503</v>
      </c>
      <c r="R77" s="131">
        <f>IFERROR(VLOOKUP(C77,TD!$B$32:$F$36,4,0)," ")</f>
        <v>20240255</v>
      </c>
      <c r="S77" s="54" t="s">
        <v>182</v>
      </c>
      <c r="T77" s="131" t="str">
        <f>IFERROR(VLOOKUP(S77,TD!$J$33:$K$43,2,0)," ")</f>
        <v>Servicio de inspecciones técnicas realizadas</v>
      </c>
      <c r="U77" s="54" t="str">
        <f t="shared" si="4"/>
        <v>06-Servicio de inspecciones técnicas realizadas</v>
      </c>
      <c r="V77" s="54" t="s">
        <v>235</v>
      </c>
      <c r="W77" s="131" t="str">
        <f>IFERROR(VLOOKUP(V77,TD!$N$33:$O$45,2,0)," ")</f>
        <v>Servicio prevención y control de incendios</v>
      </c>
      <c r="X77" s="54" t="str">
        <f t="shared" si="5"/>
        <v>035_Servicio prevención y control de incendios</v>
      </c>
      <c r="Y77" s="54" t="str">
        <f t="shared" si="6"/>
        <v>06-Servicio de inspecciones técnicas realizadas 035_Servicio prevención y control de incendios</v>
      </c>
      <c r="Z77" s="131" t="str">
        <f t="shared" si="7"/>
        <v>O23011745032024025506035</v>
      </c>
      <c r="AA77" s="131" t="str">
        <f>IFERROR(VLOOKUP(Y77,TD!$K$46:$L$64,2,0)," ")</f>
        <v>PM/0131/0106/45030350255</v>
      </c>
      <c r="AB77" s="57" t="s">
        <v>139</v>
      </c>
      <c r="AC77" s="132" t="s">
        <v>205</v>
      </c>
    </row>
    <row r="78" spans="2:29" s="28" customFormat="1" ht="71.25">
      <c r="B78" s="85">
        <v>20240820</v>
      </c>
      <c r="C78" s="53" t="s">
        <v>210</v>
      </c>
      <c r="D78" s="129" t="s">
        <v>168</v>
      </c>
      <c r="E78" s="54" t="s">
        <v>381</v>
      </c>
      <c r="F78" s="129" t="s">
        <v>391</v>
      </c>
      <c r="G78" s="129" t="s">
        <v>157</v>
      </c>
      <c r="H78" s="117">
        <v>80111600</v>
      </c>
      <c r="I78" s="130">
        <v>8</v>
      </c>
      <c r="J78" s="130">
        <v>5</v>
      </c>
      <c r="K78" s="56">
        <v>0</v>
      </c>
      <c r="L78" s="57">
        <v>15000000</v>
      </c>
      <c r="M78" s="129" t="s">
        <v>173</v>
      </c>
      <c r="N78" s="57" t="s">
        <v>114</v>
      </c>
      <c r="O78" s="54" t="s">
        <v>222</v>
      </c>
      <c r="P78" s="131" t="str">
        <f>IFERROR(VLOOKUP(C78,TD!$B$32:$F$36,2,0)," ")</f>
        <v>O230117</v>
      </c>
      <c r="Q78" s="131" t="str">
        <f>IFERROR(VLOOKUP(C78,TD!$B$32:$F$36,3,0)," ")</f>
        <v>4503</v>
      </c>
      <c r="R78" s="131">
        <f>IFERROR(VLOOKUP(C78,TD!$B$32:$F$36,4,0)," ")</f>
        <v>20240255</v>
      </c>
      <c r="S78" s="54" t="s">
        <v>182</v>
      </c>
      <c r="T78" s="131" t="str">
        <f>IFERROR(VLOOKUP(S78,TD!$J$33:$K$43,2,0)," ")</f>
        <v>Servicio de inspecciones técnicas realizadas</v>
      </c>
      <c r="U78" s="54" t="str">
        <f t="shared" si="4"/>
        <v>06-Servicio de inspecciones técnicas realizadas</v>
      </c>
      <c r="V78" s="54" t="s">
        <v>235</v>
      </c>
      <c r="W78" s="131" t="str">
        <f>IFERROR(VLOOKUP(V78,TD!$N$33:$O$45,2,0)," ")</f>
        <v>Servicio prevención y control de incendios</v>
      </c>
      <c r="X78" s="54" t="str">
        <f t="shared" si="5"/>
        <v>035_Servicio prevención y control de incendios</v>
      </c>
      <c r="Y78" s="54" t="str">
        <f t="shared" si="6"/>
        <v>06-Servicio de inspecciones técnicas realizadas 035_Servicio prevención y control de incendios</v>
      </c>
      <c r="Z78" s="131" t="str">
        <f t="shared" si="7"/>
        <v>O23011745032024025506035</v>
      </c>
      <c r="AA78" s="131" t="str">
        <f>IFERROR(VLOOKUP(Y78,TD!$K$46:$L$64,2,0)," ")</f>
        <v>PM/0131/0106/45030350255</v>
      </c>
      <c r="AB78" s="57" t="s">
        <v>139</v>
      </c>
      <c r="AC78" s="132" t="s">
        <v>205</v>
      </c>
    </row>
    <row r="79" spans="2:29" s="28" customFormat="1" ht="71.25">
      <c r="B79" s="85">
        <v>20240821</v>
      </c>
      <c r="C79" s="53" t="s">
        <v>210</v>
      </c>
      <c r="D79" s="129" t="s">
        <v>168</v>
      </c>
      <c r="E79" s="54" t="s">
        <v>381</v>
      </c>
      <c r="F79" s="129" t="s">
        <v>391</v>
      </c>
      <c r="G79" s="129" t="s">
        <v>157</v>
      </c>
      <c r="H79" s="117">
        <v>80111600</v>
      </c>
      <c r="I79" s="130">
        <v>8</v>
      </c>
      <c r="J79" s="130">
        <v>5</v>
      </c>
      <c r="K79" s="56">
        <v>0</v>
      </c>
      <c r="L79" s="57">
        <v>15000000</v>
      </c>
      <c r="M79" s="129" t="s">
        <v>173</v>
      </c>
      <c r="N79" s="57" t="s">
        <v>114</v>
      </c>
      <c r="O79" s="54" t="s">
        <v>222</v>
      </c>
      <c r="P79" s="131" t="str">
        <f>IFERROR(VLOOKUP(C79,TD!$B$32:$F$36,2,0)," ")</f>
        <v>O230117</v>
      </c>
      <c r="Q79" s="131" t="str">
        <f>IFERROR(VLOOKUP(C79,TD!$B$32:$F$36,3,0)," ")</f>
        <v>4503</v>
      </c>
      <c r="R79" s="131">
        <f>IFERROR(VLOOKUP(C79,TD!$B$32:$F$36,4,0)," ")</f>
        <v>20240255</v>
      </c>
      <c r="S79" s="54" t="s">
        <v>182</v>
      </c>
      <c r="T79" s="131" t="str">
        <f>IFERROR(VLOOKUP(S79,TD!$J$33:$K$43,2,0)," ")</f>
        <v>Servicio de inspecciones técnicas realizadas</v>
      </c>
      <c r="U79" s="54" t="str">
        <f t="shared" si="4"/>
        <v>06-Servicio de inspecciones técnicas realizadas</v>
      </c>
      <c r="V79" s="54" t="s">
        <v>235</v>
      </c>
      <c r="W79" s="131" t="str">
        <f>IFERROR(VLOOKUP(V79,TD!$N$33:$O$45,2,0)," ")</f>
        <v>Servicio prevención y control de incendios</v>
      </c>
      <c r="X79" s="54" t="str">
        <f t="shared" si="5"/>
        <v>035_Servicio prevención y control de incendios</v>
      </c>
      <c r="Y79" s="54" t="str">
        <f t="shared" si="6"/>
        <v>06-Servicio de inspecciones técnicas realizadas 035_Servicio prevención y control de incendios</v>
      </c>
      <c r="Z79" s="131" t="str">
        <f t="shared" si="7"/>
        <v>O23011745032024025506035</v>
      </c>
      <c r="AA79" s="131" t="str">
        <f>IFERROR(VLOOKUP(Y79,TD!$K$46:$L$64,2,0)," ")</f>
        <v>PM/0131/0106/45030350255</v>
      </c>
      <c r="AB79" s="57" t="s">
        <v>139</v>
      </c>
      <c r="AC79" s="132" t="s">
        <v>205</v>
      </c>
    </row>
    <row r="80" spans="2:29" s="28" customFormat="1" ht="71.25">
      <c r="B80" s="85">
        <v>20240822</v>
      </c>
      <c r="C80" s="53" t="s">
        <v>210</v>
      </c>
      <c r="D80" s="129" t="s">
        <v>168</v>
      </c>
      <c r="E80" s="54" t="s">
        <v>381</v>
      </c>
      <c r="F80" s="129" t="s">
        <v>394</v>
      </c>
      <c r="G80" s="129" t="s">
        <v>157</v>
      </c>
      <c r="H80" s="117">
        <v>80111600</v>
      </c>
      <c r="I80" s="130">
        <v>7</v>
      </c>
      <c r="J80" s="130">
        <v>6</v>
      </c>
      <c r="K80" s="56">
        <v>0</v>
      </c>
      <c r="L80" s="57">
        <f>14800000+7400000</f>
        <v>22200000</v>
      </c>
      <c r="M80" s="129" t="s">
        <v>173</v>
      </c>
      <c r="N80" s="57" t="s">
        <v>114</v>
      </c>
      <c r="O80" s="54" t="s">
        <v>227</v>
      </c>
      <c r="P80" s="131" t="str">
        <f>IFERROR(VLOOKUP(C80,TD!$B$32:$F$36,2,0)," ")</f>
        <v>O230117</v>
      </c>
      <c r="Q80" s="131" t="str">
        <f>IFERROR(VLOOKUP(C80,TD!$B$32:$F$36,3,0)," ")</f>
        <v>4503</v>
      </c>
      <c r="R80" s="131">
        <f>IFERROR(VLOOKUP(C80,TD!$B$32:$F$36,4,0)," ")</f>
        <v>20240255</v>
      </c>
      <c r="S80" s="54" t="s">
        <v>180</v>
      </c>
      <c r="T80" s="131" t="str">
        <f>IFERROR(VLOOKUP(S80,TD!$J$33:$K$43,2,0)," ")</f>
        <v>Infraestructura Tecnológica   (Sistemas de Información y Tecnologia)</v>
      </c>
      <c r="U80" s="54" t="str">
        <f t="shared" si="4"/>
        <v>11-Infraestructura Tecnológica   (Sistemas de Información y Tecnologia)</v>
      </c>
      <c r="V80" s="54" t="s">
        <v>236</v>
      </c>
      <c r="W80" s="131" t="str">
        <f>IFERROR(VLOOKUP(V80,TD!$N$33:$O$45,2,0)," ")</f>
        <v>"Servicio de monitoreo y seguimiento para la gestión del riesgo"</v>
      </c>
      <c r="X80" s="54" t="str">
        <f t="shared" si="5"/>
        <v>018_"Servicio de monitoreo y seguimiento para la gestión del riesgo"</v>
      </c>
      <c r="Y80" s="54" t="str">
        <f t="shared" si="6"/>
        <v>11-Infraestructura Tecnológica   (Sistemas de Información y Tecnologia) 018_"Servicio de monitoreo y seguimiento para la gestión del riesgo"</v>
      </c>
      <c r="Z80" s="131" t="str">
        <f t="shared" si="7"/>
        <v>O23011745032024025511018</v>
      </c>
      <c r="AA80" s="131" t="str">
        <f>IFERROR(VLOOKUP(Y80,TD!$K$46:$L$64,2,0)," ")</f>
        <v>PM/0131/0111/45030180255</v>
      </c>
      <c r="AB80" s="57" t="s">
        <v>139</v>
      </c>
      <c r="AC80" s="132" t="s">
        <v>205</v>
      </c>
    </row>
    <row r="81" spans="2:29" s="28" customFormat="1" ht="71.25">
      <c r="B81" s="85">
        <v>20240823</v>
      </c>
      <c r="C81" s="53" t="s">
        <v>210</v>
      </c>
      <c r="D81" s="129" t="s">
        <v>168</v>
      </c>
      <c r="E81" s="54" t="s">
        <v>381</v>
      </c>
      <c r="F81" s="129" t="s">
        <v>395</v>
      </c>
      <c r="G81" s="129" t="s">
        <v>157</v>
      </c>
      <c r="H81" s="117">
        <v>80111600</v>
      </c>
      <c r="I81" s="130">
        <v>8</v>
      </c>
      <c r="J81" s="130">
        <v>6</v>
      </c>
      <c r="K81" s="56">
        <v>0</v>
      </c>
      <c r="L81" s="57">
        <f>5000000+10000000</f>
        <v>15000000</v>
      </c>
      <c r="M81" s="129" t="s">
        <v>173</v>
      </c>
      <c r="N81" s="57" t="s">
        <v>114</v>
      </c>
      <c r="O81" s="54" t="s">
        <v>227</v>
      </c>
      <c r="P81" s="131" t="str">
        <f>IFERROR(VLOOKUP(C81,TD!$B$32:$F$36,2,0)," ")</f>
        <v>O230117</v>
      </c>
      <c r="Q81" s="131" t="str">
        <f>IFERROR(VLOOKUP(C81,TD!$B$32:$F$36,3,0)," ")</f>
        <v>4503</v>
      </c>
      <c r="R81" s="131">
        <f>IFERROR(VLOOKUP(C81,TD!$B$32:$F$36,4,0)," ")</f>
        <v>20240255</v>
      </c>
      <c r="S81" s="54" t="s">
        <v>180</v>
      </c>
      <c r="T81" s="131" t="str">
        <f>IFERROR(VLOOKUP(S81,TD!$J$33:$K$43,2,0)," ")</f>
        <v>Infraestructura Tecnológica   (Sistemas de Información y Tecnologia)</v>
      </c>
      <c r="U81" s="54" t="str">
        <f t="shared" si="4"/>
        <v>11-Infraestructura Tecnológica   (Sistemas de Información y Tecnologia)</v>
      </c>
      <c r="V81" s="54" t="s">
        <v>236</v>
      </c>
      <c r="W81" s="131" t="str">
        <f>IFERROR(VLOOKUP(V81,TD!$N$33:$O$45,2,0)," ")</f>
        <v>"Servicio de monitoreo y seguimiento para la gestión del riesgo"</v>
      </c>
      <c r="X81" s="54" t="str">
        <f t="shared" si="5"/>
        <v>018_"Servicio de monitoreo y seguimiento para la gestión del riesgo"</v>
      </c>
      <c r="Y81" s="54" t="str">
        <f t="shared" si="6"/>
        <v>11-Infraestructura Tecnológica   (Sistemas de Información y Tecnologia) 018_"Servicio de monitoreo y seguimiento para la gestión del riesgo"</v>
      </c>
      <c r="Z81" s="131" t="str">
        <f t="shared" si="7"/>
        <v>O23011745032024025511018</v>
      </c>
      <c r="AA81" s="131" t="str">
        <f>IFERROR(VLOOKUP(Y81,TD!$K$46:$L$64,2,0)," ")</f>
        <v>PM/0131/0111/45030180255</v>
      </c>
      <c r="AB81" s="57" t="s">
        <v>139</v>
      </c>
      <c r="AC81" s="132" t="s">
        <v>205</v>
      </c>
    </row>
    <row r="82" spans="2:29" s="28" customFormat="1" ht="71.25">
      <c r="B82" s="85">
        <v>20240824</v>
      </c>
      <c r="C82" s="53" t="s">
        <v>210</v>
      </c>
      <c r="D82" s="129" t="s">
        <v>168</v>
      </c>
      <c r="E82" s="54" t="s">
        <v>381</v>
      </c>
      <c r="F82" s="129" t="s">
        <v>395</v>
      </c>
      <c r="G82" s="129" t="s">
        <v>157</v>
      </c>
      <c r="H82" s="117">
        <v>80111600</v>
      </c>
      <c r="I82" s="130">
        <v>8</v>
      </c>
      <c r="J82" s="130">
        <v>6</v>
      </c>
      <c r="K82" s="56">
        <v>0</v>
      </c>
      <c r="L82" s="57">
        <f>1967209+13032791</f>
        <v>15000000</v>
      </c>
      <c r="M82" s="129" t="s">
        <v>173</v>
      </c>
      <c r="N82" s="57" t="s">
        <v>114</v>
      </c>
      <c r="O82" s="54" t="s">
        <v>227</v>
      </c>
      <c r="P82" s="131" t="str">
        <f>IFERROR(VLOOKUP(C82,TD!$B$32:$F$36,2,0)," ")</f>
        <v>O230117</v>
      </c>
      <c r="Q82" s="131" t="str">
        <f>IFERROR(VLOOKUP(C82,TD!$B$32:$F$36,3,0)," ")</f>
        <v>4503</v>
      </c>
      <c r="R82" s="131">
        <f>IFERROR(VLOOKUP(C82,TD!$B$32:$F$36,4,0)," ")</f>
        <v>20240255</v>
      </c>
      <c r="S82" s="54" t="s">
        <v>180</v>
      </c>
      <c r="T82" s="131" t="str">
        <f>IFERROR(VLOOKUP(S82,TD!$J$33:$K$43,2,0)," ")</f>
        <v>Infraestructura Tecnológica   (Sistemas de Información y Tecnologia)</v>
      </c>
      <c r="U82" s="54" t="str">
        <f t="shared" si="4"/>
        <v>11-Infraestructura Tecnológica   (Sistemas de Información y Tecnologia)</v>
      </c>
      <c r="V82" s="54" t="s">
        <v>236</v>
      </c>
      <c r="W82" s="131" t="str">
        <f>IFERROR(VLOOKUP(V82,TD!$N$33:$O$45,2,0)," ")</f>
        <v>"Servicio de monitoreo y seguimiento para la gestión del riesgo"</v>
      </c>
      <c r="X82" s="54" t="str">
        <f t="shared" si="5"/>
        <v>018_"Servicio de monitoreo y seguimiento para la gestión del riesgo"</v>
      </c>
      <c r="Y82" s="54" t="str">
        <f t="shared" si="6"/>
        <v>11-Infraestructura Tecnológica   (Sistemas de Información y Tecnologia) 018_"Servicio de monitoreo y seguimiento para la gestión del riesgo"</v>
      </c>
      <c r="Z82" s="131" t="str">
        <f t="shared" si="7"/>
        <v>O23011745032024025511018</v>
      </c>
      <c r="AA82" s="131" t="str">
        <f>IFERROR(VLOOKUP(Y82,TD!$K$46:$L$64,2,0)," ")</f>
        <v>PM/0131/0111/45030180255</v>
      </c>
      <c r="AB82" s="57" t="s">
        <v>139</v>
      </c>
      <c r="AC82" s="132" t="s">
        <v>205</v>
      </c>
    </row>
    <row r="83" spans="2:29" s="28" customFormat="1" ht="71.25">
      <c r="B83" s="85">
        <v>20240825</v>
      </c>
      <c r="C83" s="53" t="s">
        <v>210</v>
      </c>
      <c r="D83" s="129" t="s">
        <v>168</v>
      </c>
      <c r="E83" s="54" t="s">
        <v>381</v>
      </c>
      <c r="F83" s="129" t="s">
        <v>396</v>
      </c>
      <c r="G83" s="129" t="s">
        <v>157</v>
      </c>
      <c r="H83" s="117">
        <v>80111600</v>
      </c>
      <c r="I83" s="130">
        <v>8</v>
      </c>
      <c r="J83" s="130">
        <v>6</v>
      </c>
      <c r="K83" s="56">
        <v>0</v>
      </c>
      <c r="L83" s="57">
        <v>18000000</v>
      </c>
      <c r="M83" s="129" t="s">
        <v>173</v>
      </c>
      <c r="N83" s="57" t="s">
        <v>114</v>
      </c>
      <c r="O83" s="54" t="s">
        <v>226</v>
      </c>
      <c r="P83" s="131" t="str">
        <f>IFERROR(VLOOKUP(C83,TD!$B$32:$F$36,2,0)," ")</f>
        <v>O230117</v>
      </c>
      <c r="Q83" s="131" t="str">
        <f>IFERROR(VLOOKUP(C83,TD!$B$32:$F$36,3,0)," ")</f>
        <v>4503</v>
      </c>
      <c r="R83" s="131">
        <f>IFERROR(VLOOKUP(C83,TD!$B$32:$F$36,4,0)," ")</f>
        <v>20240255</v>
      </c>
      <c r="S83" s="54" t="s">
        <v>180</v>
      </c>
      <c r="T83" s="131" t="str">
        <f>IFERROR(VLOOKUP(S83,TD!$J$33:$K$43,2,0)," ")</f>
        <v>Infraestructura Tecnológica   (Sistemas de Información y Tecnologia)</v>
      </c>
      <c r="U83" s="54" t="str">
        <f t="shared" si="4"/>
        <v>11-Infraestructura Tecnológica   (Sistemas de Información y Tecnologia)</v>
      </c>
      <c r="V83" s="54" t="s">
        <v>236</v>
      </c>
      <c r="W83" s="131" t="str">
        <f>IFERROR(VLOOKUP(V83,TD!$N$33:$O$45,2,0)," ")</f>
        <v>"Servicio de monitoreo y seguimiento para la gestión del riesgo"</v>
      </c>
      <c r="X83" s="54" t="str">
        <f t="shared" si="5"/>
        <v>018_"Servicio de monitoreo y seguimiento para la gestión del riesgo"</v>
      </c>
      <c r="Y83" s="54" t="str">
        <f t="shared" si="6"/>
        <v>11-Infraestructura Tecnológica   (Sistemas de Información y Tecnologia) 018_"Servicio de monitoreo y seguimiento para la gestión del riesgo"</v>
      </c>
      <c r="Z83" s="131" t="str">
        <f t="shared" si="7"/>
        <v>O23011745032024025511018</v>
      </c>
      <c r="AA83" s="131" t="str">
        <f>IFERROR(VLOOKUP(Y83,TD!$K$46:$L$64,2,0)," ")</f>
        <v>PM/0131/0111/45030180255</v>
      </c>
      <c r="AB83" s="57" t="s">
        <v>139</v>
      </c>
      <c r="AC83" s="132" t="s">
        <v>205</v>
      </c>
    </row>
    <row r="84" spans="2:29" s="28" customFormat="1" ht="71.25">
      <c r="B84" s="85">
        <v>20240826</v>
      </c>
      <c r="C84" s="53" t="s">
        <v>210</v>
      </c>
      <c r="D84" s="129" t="s">
        <v>168</v>
      </c>
      <c r="E84" s="54" t="s">
        <v>381</v>
      </c>
      <c r="F84" s="129" t="s">
        <v>396</v>
      </c>
      <c r="G84" s="129" t="s">
        <v>157</v>
      </c>
      <c r="H84" s="117">
        <v>80111600</v>
      </c>
      <c r="I84" s="130">
        <v>8</v>
      </c>
      <c r="J84" s="130">
        <v>6</v>
      </c>
      <c r="K84" s="56">
        <v>0</v>
      </c>
      <c r="L84" s="57">
        <v>18000000</v>
      </c>
      <c r="M84" s="129" t="s">
        <v>173</v>
      </c>
      <c r="N84" s="57" t="s">
        <v>114</v>
      </c>
      <c r="O84" s="54" t="s">
        <v>226</v>
      </c>
      <c r="P84" s="131" t="str">
        <f>IFERROR(VLOOKUP(C84,TD!$B$32:$F$36,2,0)," ")</f>
        <v>O230117</v>
      </c>
      <c r="Q84" s="131" t="str">
        <f>IFERROR(VLOOKUP(C84,TD!$B$32:$F$36,3,0)," ")</f>
        <v>4503</v>
      </c>
      <c r="R84" s="131">
        <f>IFERROR(VLOOKUP(C84,TD!$B$32:$F$36,4,0)," ")</f>
        <v>20240255</v>
      </c>
      <c r="S84" s="54" t="s">
        <v>180</v>
      </c>
      <c r="T84" s="131" t="str">
        <f>IFERROR(VLOOKUP(S84,TD!$J$33:$K$43,2,0)," ")</f>
        <v>Infraestructura Tecnológica   (Sistemas de Información y Tecnologia)</v>
      </c>
      <c r="U84" s="54" t="str">
        <f t="shared" si="4"/>
        <v>11-Infraestructura Tecnológica   (Sistemas de Información y Tecnologia)</v>
      </c>
      <c r="V84" s="54" t="s">
        <v>236</v>
      </c>
      <c r="W84" s="131" t="str">
        <f>IFERROR(VLOOKUP(V84,TD!$N$33:$O$45,2,0)," ")</f>
        <v>"Servicio de monitoreo y seguimiento para la gestión del riesgo"</v>
      </c>
      <c r="X84" s="54" t="str">
        <f t="shared" si="5"/>
        <v>018_"Servicio de monitoreo y seguimiento para la gestión del riesgo"</v>
      </c>
      <c r="Y84" s="54" t="str">
        <f t="shared" si="6"/>
        <v>11-Infraestructura Tecnológica   (Sistemas de Información y Tecnologia) 018_"Servicio de monitoreo y seguimiento para la gestión del riesgo"</v>
      </c>
      <c r="Z84" s="131" t="str">
        <f t="shared" si="7"/>
        <v>O23011745032024025511018</v>
      </c>
      <c r="AA84" s="131" t="str">
        <f>IFERROR(VLOOKUP(Y84,TD!$K$46:$L$64,2,0)," ")</f>
        <v>PM/0131/0111/45030180255</v>
      </c>
      <c r="AB84" s="57" t="s">
        <v>139</v>
      </c>
      <c r="AC84" s="132" t="s">
        <v>205</v>
      </c>
    </row>
    <row r="85" spans="2:29" s="28" customFormat="1" ht="71.25">
      <c r="B85" s="85">
        <v>20240827</v>
      </c>
      <c r="C85" s="53" t="s">
        <v>210</v>
      </c>
      <c r="D85" s="129" t="s">
        <v>168</v>
      </c>
      <c r="E85" s="54" t="s">
        <v>381</v>
      </c>
      <c r="F85" s="129" t="s">
        <v>396</v>
      </c>
      <c r="G85" s="129" t="s">
        <v>157</v>
      </c>
      <c r="H85" s="117">
        <v>80111600</v>
      </c>
      <c r="I85" s="130">
        <v>8</v>
      </c>
      <c r="J85" s="130">
        <v>6</v>
      </c>
      <c r="K85" s="56">
        <v>0</v>
      </c>
      <c r="L85" s="57">
        <v>18000000</v>
      </c>
      <c r="M85" s="129" t="s">
        <v>173</v>
      </c>
      <c r="N85" s="57" t="s">
        <v>114</v>
      </c>
      <c r="O85" s="54" t="s">
        <v>226</v>
      </c>
      <c r="P85" s="131" t="str">
        <f>IFERROR(VLOOKUP(C85,TD!$B$32:$F$36,2,0)," ")</f>
        <v>O230117</v>
      </c>
      <c r="Q85" s="131" t="str">
        <f>IFERROR(VLOOKUP(C85,TD!$B$32:$F$36,3,0)," ")</f>
        <v>4503</v>
      </c>
      <c r="R85" s="131">
        <f>IFERROR(VLOOKUP(C85,TD!$B$32:$F$36,4,0)," ")</f>
        <v>20240255</v>
      </c>
      <c r="S85" s="54" t="s">
        <v>180</v>
      </c>
      <c r="T85" s="131" t="str">
        <f>IFERROR(VLOOKUP(S85,TD!$J$33:$K$43,2,0)," ")</f>
        <v>Infraestructura Tecnológica   (Sistemas de Información y Tecnologia)</v>
      </c>
      <c r="U85" s="54" t="str">
        <f t="shared" si="4"/>
        <v>11-Infraestructura Tecnológica   (Sistemas de Información y Tecnologia)</v>
      </c>
      <c r="V85" s="54" t="s">
        <v>236</v>
      </c>
      <c r="W85" s="131" t="str">
        <f>IFERROR(VLOOKUP(V85,TD!$N$33:$O$45,2,0)," ")</f>
        <v>"Servicio de monitoreo y seguimiento para la gestión del riesgo"</v>
      </c>
      <c r="X85" s="54" t="str">
        <f t="shared" si="5"/>
        <v>018_"Servicio de monitoreo y seguimiento para la gestión del riesgo"</v>
      </c>
      <c r="Y85" s="54" t="str">
        <f t="shared" si="6"/>
        <v>11-Infraestructura Tecnológica   (Sistemas de Información y Tecnologia) 018_"Servicio de monitoreo y seguimiento para la gestión del riesgo"</v>
      </c>
      <c r="Z85" s="131" t="str">
        <f t="shared" si="7"/>
        <v>O23011745032024025511018</v>
      </c>
      <c r="AA85" s="131" t="str">
        <f>IFERROR(VLOOKUP(Y85,TD!$K$46:$L$64,2,0)," ")</f>
        <v>PM/0131/0111/45030180255</v>
      </c>
      <c r="AB85" s="57" t="s">
        <v>139</v>
      </c>
      <c r="AC85" s="132" t="s">
        <v>205</v>
      </c>
    </row>
    <row r="86" spans="2:29" s="28" customFormat="1" ht="71.25">
      <c r="B86" s="85">
        <v>20240828</v>
      </c>
      <c r="C86" s="53" t="s">
        <v>210</v>
      </c>
      <c r="D86" s="129" t="s">
        <v>168</v>
      </c>
      <c r="E86" s="54" t="s">
        <v>381</v>
      </c>
      <c r="F86" s="129" t="s">
        <v>396</v>
      </c>
      <c r="G86" s="129" t="s">
        <v>157</v>
      </c>
      <c r="H86" s="117">
        <v>80111600</v>
      </c>
      <c r="I86" s="130">
        <v>8</v>
      </c>
      <c r="J86" s="130">
        <v>6</v>
      </c>
      <c r="K86" s="56">
        <v>0</v>
      </c>
      <c r="L86" s="57">
        <v>18000000</v>
      </c>
      <c r="M86" s="129" t="s">
        <v>173</v>
      </c>
      <c r="N86" s="57" t="s">
        <v>114</v>
      </c>
      <c r="O86" s="54" t="s">
        <v>226</v>
      </c>
      <c r="P86" s="131" t="str">
        <f>IFERROR(VLOOKUP(C86,TD!$B$32:$F$36,2,0)," ")</f>
        <v>O230117</v>
      </c>
      <c r="Q86" s="131" t="str">
        <f>IFERROR(VLOOKUP(C86,TD!$B$32:$F$36,3,0)," ")</f>
        <v>4503</v>
      </c>
      <c r="R86" s="131">
        <f>IFERROR(VLOOKUP(C86,TD!$B$32:$F$36,4,0)," ")</f>
        <v>20240255</v>
      </c>
      <c r="S86" s="54" t="s">
        <v>180</v>
      </c>
      <c r="T86" s="131" t="str">
        <f>IFERROR(VLOOKUP(S86,TD!$J$33:$K$43,2,0)," ")</f>
        <v>Infraestructura Tecnológica   (Sistemas de Información y Tecnologia)</v>
      </c>
      <c r="U86" s="54" t="str">
        <f t="shared" si="4"/>
        <v>11-Infraestructura Tecnológica   (Sistemas de Información y Tecnologia)</v>
      </c>
      <c r="V86" s="54" t="s">
        <v>236</v>
      </c>
      <c r="W86" s="131" t="str">
        <f>IFERROR(VLOOKUP(V86,TD!$N$33:$O$45,2,0)," ")</f>
        <v>"Servicio de monitoreo y seguimiento para la gestión del riesgo"</v>
      </c>
      <c r="X86" s="54" t="str">
        <f t="shared" si="5"/>
        <v>018_"Servicio de monitoreo y seguimiento para la gestión del riesgo"</v>
      </c>
      <c r="Y86" s="54" t="str">
        <f t="shared" si="6"/>
        <v>11-Infraestructura Tecnológica   (Sistemas de Información y Tecnologia) 018_"Servicio de monitoreo y seguimiento para la gestión del riesgo"</v>
      </c>
      <c r="Z86" s="131" t="str">
        <f t="shared" si="7"/>
        <v>O23011745032024025511018</v>
      </c>
      <c r="AA86" s="131" t="str">
        <f>IFERROR(VLOOKUP(Y86,TD!$K$46:$L$64,2,0)," ")</f>
        <v>PM/0131/0111/45030180255</v>
      </c>
      <c r="AB86" s="57" t="s">
        <v>139</v>
      </c>
      <c r="AC86" s="132" t="s">
        <v>205</v>
      </c>
    </row>
    <row r="87" spans="2:29" s="28" customFormat="1" ht="71.25">
      <c r="B87" s="85">
        <v>20240829</v>
      </c>
      <c r="C87" s="53" t="s">
        <v>210</v>
      </c>
      <c r="D87" s="129" t="s">
        <v>168</v>
      </c>
      <c r="E87" s="54" t="s">
        <v>381</v>
      </c>
      <c r="F87" s="129" t="s">
        <v>396</v>
      </c>
      <c r="G87" s="129" t="s">
        <v>157</v>
      </c>
      <c r="H87" s="117">
        <v>80111600</v>
      </c>
      <c r="I87" s="130">
        <v>8</v>
      </c>
      <c r="J87" s="130">
        <v>5</v>
      </c>
      <c r="K87" s="56">
        <v>0</v>
      </c>
      <c r="L87" s="57">
        <v>15000000</v>
      </c>
      <c r="M87" s="129" t="s">
        <v>173</v>
      </c>
      <c r="N87" s="57" t="s">
        <v>114</v>
      </c>
      <c r="O87" s="54" t="s">
        <v>226</v>
      </c>
      <c r="P87" s="131" t="str">
        <f>IFERROR(VLOOKUP(C87,TD!$B$32:$F$36,2,0)," ")</f>
        <v>O230117</v>
      </c>
      <c r="Q87" s="131" t="str">
        <f>IFERROR(VLOOKUP(C87,TD!$B$32:$F$36,3,0)," ")</f>
        <v>4503</v>
      </c>
      <c r="R87" s="131">
        <f>IFERROR(VLOOKUP(C87,TD!$B$32:$F$36,4,0)," ")</f>
        <v>20240255</v>
      </c>
      <c r="S87" s="54" t="s">
        <v>180</v>
      </c>
      <c r="T87" s="131" t="str">
        <f>IFERROR(VLOOKUP(S87,TD!$J$33:$K$43,2,0)," ")</f>
        <v>Infraestructura Tecnológica   (Sistemas de Información y Tecnologia)</v>
      </c>
      <c r="U87" s="54" t="str">
        <f t="shared" si="4"/>
        <v>11-Infraestructura Tecnológica   (Sistemas de Información y Tecnologia)</v>
      </c>
      <c r="V87" s="54" t="s">
        <v>236</v>
      </c>
      <c r="W87" s="131" t="str">
        <f>IFERROR(VLOOKUP(V87,TD!$N$33:$O$45,2,0)," ")</f>
        <v>"Servicio de monitoreo y seguimiento para la gestión del riesgo"</v>
      </c>
      <c r="X87" s="54" t="str">
        <f t="shared" si="5"/>
        <v>018_"Servicio de monitoreo y seguimiento para la gestión del riesgo"</v>
      </c>
      <c r="Y87" s="54" t="str">
        <f t="shared" si="6"/>
        <v>11-Infraestructura Tecnológica   (Sistemas de Información y Tecnologia) 018_"Servicio de monitoreo y seguimiento para la gestión del riesgo"</v>
      </c>
      <c r="Z87" s="131" t="str">
        <f t="shared" si="7"/>
        <v>O23011745032024025511018</v>
      </c>
      <c r="AA87" s="131" t="str">
        <f>IFERROR(VLOOKUP(Y87,TD!$K$46:$L$64,2,0)," ")</f>
        <v>PM/0131/0111/45030180255</v>
      </c>
      <c r="AB87" s="57" t="s">
        <v>139</v>
      </c>
      <c r="AC87" s="132" t="s">
        <v>205</v>
      </c>
    </row>
    <row r="88" spans="2:29" s="28" customFormat="1" ht="71.25">
      <c r="B88" s="85">
        <v>20240830</v>
      </c>
      <c r="C88" s="53" t="s">
        <v>210</v>
      </c>
      <c r="D88" s="129" t="s">
        <v>168</v>
      </c>
      <c r="E88" s="54" t="s">
        <v>381</v>
      </c>
      <c r="F88" s="129" t="s">
        <v>395</v>
      </c>
      <c r="G88" s="129" t="s">
        <v>97</v>
      </c>
      <c r="H88" s="117">
        <v>80111600</v>
      </c>
      <c r="I88" s="130">
        <v>8</v>
      </c>
      <c r="J88" s="130">
        <v>6</v>
      </c>
      <c r="K88" s="56">
        <v>0</v>
      </c>
      <c r="L88" s="57">
        <f>7500000+7500000</f>
        <v>15000000</v>
      </c>
      <c r="M88" s="129" t="s">
        <v>173</v>
      </c>
      <c r="N88" s="57" t="s">
        <v>114</v>
      </c>
      <c r="O88" s="54" t="s">
        <v>227</v>
      </c>
      <c r="P88" s="131" t="str">
        <f>IFERROR(VLOOKUP(C88,TD!$B$32:$F$36,2,0)," ")</f>
        <v>O230117</v>
      </c>
      <c r="Q88" s="131" t="str">
        <f>IFERROR(VLOOKUP(C88,TD!$B$32:$F$36,3,0)," ")</f>
        <v>4503</v>
      </c>
      <c r="R88" s="131">
        <f>IFERROR(VLOOKUP(C88,TD!$B$32:$F$36,4,0)," ")</f>
        <v>20240255</v>
      </c>
      <c r="S88" s="54" t="s">
        <v>180</v>
      </c>
      <c r="T88" s="131" t="str">
        <f>IFERROR(VLOOKUP(S88,TD!$J$33:$K$43,2,0)," ")</f>
        <v>Infraestructura Tecnológica   (Sistemas de Información y Tecnologia)</v>
      </c>
      <c r="U88" s="54" t="str">
        <f t="shared" si="4"/>
        <v>11-Infraestructura Tecnológica   (Sistemas de Información y Tecnologia)</v>
      </c>
      <c r="V88" s="54" t="s">
        <v>236</v>
      </c>
      <c r="W88" s="131" t="str">
        <f>IFERROR(VLOOKUP(V88,TD!$N$33:$O$45,2,0)," ")</f>
        <v>"Servicio de monitoreo y seguimiento para la gestión del riesgo"</v>
      </c>
      <c r="X88" s="54" t="str">
        <f t="shared" si="5"/>
        <v>018_"Servicio de monitoreo y seguimiento para la gestión del riesgo"</v>
      </c>
      <c r="Y88" s="54" t="str">
        <f t="shared" si="6"/>
        <v>11-Infraestructura Tecnológica   (Sistemas de Información y Tecnologia) 018_"Servicio de monitoreo y seguimiento para la gestión del riesgo"</v>
      </c>
      <c r="Z88" s="131" t="str">
        <f t="shared" si="7"/>
        <v>O23011745032024025511018</v>
      </c>
      <c r="AA88" s="131" t="str">
        <f>IFERROR(VLOOKUP(Y88,TD!$K$46:$L$64,2,0)," ")</f>
        <v>PM/0131/0111/45030180255</v>
      </c>
      <c r="AB88" s="57" t="s">
        <v>139</v>
      </c>
      <c r="AC88" s="132" t="s">
        <v>205</v>
      </c>
    </row>
    <row r="89" spans="2:29" s="28" customFormat="1" ht="71.25">
      <c r="B89" s="85">
        <v>20240831</v>
      </c>
      <c r="C89" s="53" t="s">
        <v>210</v>
      </c>
      <c r="D89" s="129" t="s">
        <v>168</v>
      </c>
      <c r="E89" s="54" t="s">
        <v>381</v>
      </c>
      <c r="F89" s="129" t="s">
        <v>397</v>
      </c>
      <c r="G89" s="129" t="s">
        <v>155</v>
      </c>
      <c r="H89" s="117">
        <v>80111600</v>
      </c>
      <c r="I89" s="130">
        <v>8</v>
      </c>
      <c r="J89" s="130">
        <v>1</v>
      </c>
      <c r="K89" s="56">
        <v>0</v>
      </c>
      <c r="L89" s="57">
        <v>35600000</v>
      </c>
      <c r="M89" s="129" t="s">
        <v>174</v>
      </c>
      <c r="N89" s="57" t="s">
        <v>101</v>
      </c>
      <c r="O89" s="54" t="s">
        <v>226</v>
      </c>
      <c r="P89" s="131" t="str">
        <f>IFERROR(VLOOKUP(C89,TD!$B$32:$F$36,2,0)," ")</f>
        <v>O230117</v>
      </c>
      <c r="Q89" s="131" t="str">
        <f>IFERROR(VLOOKUP(C89,TD!$B$32:$F$36,3,0)," ")</f>
        <v>4503</v>
      </c>
      <c r="R89" s="131">
        <f>IFERROR(VLOOKUP(C89,TD!$B$32:$F$36,4,0)," ")</f>
        <v>20240255</v>
      </c>
      <c r="S89" s="54" t="s">
        <v>180</v>
      </c>
      <c r="T89" s="131" t="str">
        <f>IFERROR(VLOOKUP(S89,TD!$J$33:$K$43,2,0)," ")</f>
        <v>Infraestructura Tecnológica   (Sistemas de Información y Tecnologia)</v>
      </c>
      <c r="U89" s="54" t="str">
        <f t="shared" si="4"/>
        <v>11-Infraestructura Tecnológica   (Sistemas de Información y Tecnologia)</v>
      </c>
      <c r="V89" s="54" t="s">
        <v>236</v>
      </c>
      <c r="W89" s="131" t="str">
        <f>IFERROR(VLOOKUP(V89,TD!$N$33:$O$45,2,0)," ")</f>
        <v>"Servicio de monitoreo y seguimiento para la gestión del riesgo"</v>
      </c>
      <c r="X89" s="54" t="str">
        <f t="shared" si="5"/>
        <v>018_"Servicio de monitoreo y seguimiento para la gestión del riesgo"</v>
      </c>
      <c r="Y89" s="54" t="str">
        <f t="shared" si="6"/>
        <v>11-Infraestructura Tecnológica   (Sistemas de Información y Tecnologia) 018_"Servicio de monitoreo y seguimiento para la gestión del riesgo"</v>
      </c>
      <c r="Z89" s="131" t="str">
        <f t="shared" si="7"/>
        <v>O23011745032024025511018</v>
      </c>
      <c r="AA89" s="131" t="str">
        <f>IFERROR(VLOOKUP(Y89,TD!$K$46:$L$64,2,0)," ")</f>
        <v>PM/0131/0111/45030180255</v>
      </c>
      <c r="AB89" s="57" t="s">
        <v>139</v>
      </c>
      <c r="AC89" s="132" t="s">
        <v>206</v>
      </c>
    </row>
    <row r="90" spans="2:29" s="28" customFormat="1" ht="71.25">
      <c r="B90" s="85">
        <v>20240832</v>
      </c>
      <c r="C90" s="53" t="s">
        <v>210</v>
      </c>
      <c r="D90" s="129" t="s">
        <v>168</v>
      </c>
      <c r="E90" s="54" t="s">
        <v>381</v>
      </c>
      <c r="F90" s="129" t="s">
        <v>395</v>
      </c>
      <c r="G90" s="129" t="s">
        <v>157</v>
      </c>
      <c r="H90" s="117">
        <v>80111600</v>
      </c>
      <c r="I90" s="130">
        <v>8</v>
      </c>
      <c r="J90" s="130">
        <v>6</v>
      </c>
      <c r="K90" s="56">
        <v>0</v>
      </c>
      <c r="L90" s="57">
        <f>7500000+7500000</f>
        <v>15000000</v>
      </c>
      <c r="M90" s="129" t="s">
        <v>173</v>
      </c>
      <c r="N90" s="57" t="s">
        <v>114</v>
      </c>
      <c r="O90" s="54" t="s">
        <v>227</v>
      </c>
      <c r="P90" s="131" t="str">
        <f>IFERROR(VLOOKUP(C90,TD!$B$32:$F$36,2,0)," ")</f>
        <v>O230117</v>
      </c>
      <c r="Q90" s="131" t="str">
        <f>IFERROR(VLOOKUP(C90,TD!$B$32:$F$36,3,0)," ")</f>
        <v>4503</v>
      </c>
      <c r="R90" s="131">
        <f>IFERROR(VLOOKUP(C90,TD!$B$32:$F$36,4,0)," ")</f>
        <v>20240255</v>
      </c>
      <c r="S90" s="54" t="s">
        <v>180</v>
      </c>
      <c r="T90" s="131" t="str">
        <f>IFERROR(VLOOKUP(S90,TD!$J$33:$K$43,2,0)," ")</f>
        <v>Infraestructura Tecnológica   (Sistemas de Información y Tecnologia)</v>
      </c>
      <c r="U90" s="54" t="str">
        <f t="shared" si="4"/>
        <v>11-Infraestructura Tecnológica   (Sistemas de Información y Tecnologia)</v>
      </c>
      <c r="V90" s="54" t="s">
        <v>236</v>
      </c>
      <c r="W90" s="131" t="str">
        <f>IFERROR(VLOOKUP(V90,TD!$N$33:$O$45,2,0)," ")</f>
        <v>"Servicio de monitoreo y seguimiento para la gestión del riesgo"</v>
      </c>
      <c r="X90" s="54" t="str">
        <f t="shared" si="5"/>
        <v>018_"Servicio de monitoreo y seguimiento para la gestión del riesgo"</v>
      </c>
      <c r="Y90" s="54" t="str">
        <f t="shared" si="6"/>
        <v>11-Infraestructura Tecnológica   (Sistemas de Información y Tecnologia) 018_"Servicio de monitoreo y seguimiento para la gestión del riesgo"</v>
      </c>
      <c r="Z90" s="131" t="str">
        <f t="shared" si="7"/>
        <v>O23011745032024025511018</v>
      </c>
      <c r="AA90" s="131" t="str">
        <f>IFERROR(VLOOKUP(Y90,TD!$K$46:$L$64,2,0)," ")</f>
        <v>PM/0131/0111/45030180255</v>
      </c>
      <c r="AB90" s="57" t="s">
        <v>139</v>
      </c>
      <c r="AC90" s="132" t="s">
        <v>205</v>
      </c>
    </row>
    <row r="91" spans="2:29" s="28" customFormat="1" ht="71.25">
      <c r="B91" s="85">
        <v>20240833</v>
      </c>
      <c r="C91" s="53" t="s">
        <v>210</v>
      </c>
      <c r="D91" s="129" t="s">
        <v>168</v>
      </c>
      <c r="E91" s="54" t="s">
        <v>381</v>
      </c>
      <c r="F91" s="129" t="s">
        <v>395</v>
      </c>
      <c r="G91" s="129" t="s">
        <v>157</v>
      </c>
      <c r="H91" s="117">
        <v>80111600</v>
      </c>
      <c r="I91" s="130">
        <v>8</v>
      </c>
      <c r="J91" s="130">
        <v>6</v>
      </c>
      <c r="K91" s="56">
        <v>0</v>
      </c>
      <c r="L91" s="57">
        <f>7500000+7500000</f>
        <v>15000000</v>
      </c>
      <c r="M91" s="129" t="s">
        <v>173</v>
      </c>
      <c r="N91" s="57" t="s">
        <v>114</v>
      </c>
      <c r="O91" s="54" t="s">
        <v>227</v>
      </c>
      <c r="P91" s="131" t="str">
        <f>IFERROR(VLOOKUP(C91,TD!$B$32:$F$36,2,0)," ")</f>
        <v>O230117</v>
      </c>
      <c r="Q91" s="131" t="str">
        <f>IFERROR(VLOOKUP(C91,TD!$B$32:$F$36,3,0)," ")</f>
        <v>4503</v>
      </c>
      <c r="R91" s="131">
        <f>IFERROR(VLOOKUP(C91,TD!$B$32:$F$36,4,0)," ")</f>
        <v>20240255</v>
      </c>
      <c r="S91" s="54" t="s">
        <v>180</v>
      </c>
      <c r="T91" s="131" t="str">
        <f>IFERROR(VLOOKUP(S91,TD!$J$33:$K$43,2,0)," ")</f>
        <v>Infraestructura Tecnológica   (Sistemas de Información y Tecnologia)</v>
      </c>
      <c r="U91" s="54" t="str">
        <f t="shared" si="4"/>
        <v>11-Infraestructura Tecnológica   (Sistemas de Información y Tecnologia)</v>
      </c>
      <c r="V91" s="54" t="s">
        <v>236</v>
      </c>
      <c r="W91" s="131" t="str">
        <f>IFERROR(VLOOKUP(V91,TD!$N$33:$O$45,2,0)," ")</f>
        <v>"Servicio de monitoreo y seguimiento para la gestión del riesgo"</v>
      </c>
      <c r="X91" s="54" t="str">
        <f t="shared" si="5"/>
        <v>018_"Servicio de monitoreo y seguimiento para la gestión del riesgo"</v>
      </c>
      <c r="Y91" s="54" t="str">
        <f t="shared" si="6"/>
        <v>11-Infraestructura Tecnológica   (Sistemas de Información y Tecnologia) 018_"Servicio de monitoreo y seguimiento para la gestión del riesgo"</v>
      </c>
      <c r="Z91" s="131" t="str">
        <f t="shared" si="7"/>
        <v>O23011745032024025511018</v>
      </c>
      <c r="AA91" s="131" t="str">
        <f>IFERROR(VLOOKUP(Y91,TD!$K$46:$L$64,2,0)," ")</f>
        <v>PM/0131/0111/45030180255</v>
      </c>
      <c r="AB91" s="57" t="s">
        <v>139</v>
      </c>
      <c r="AC91" s="132" t="s">
        <v>205</v>
      </c>
    </row>
    <row r="92" spans="2:29" s="28" customFormat="1" ht="71.25">
      <c r="B92" s="85">
        <v>20240834</v>
      </c>
      <c r="C92" s="53" t="s">
        <v>210</v>
      </c>
      <c r="D92" s="129" t="s">
        <v>168</v>
      </c>
      <c r="E92" s="54" t="s">
        <v>381</v>
      </c>
      <c r="F92" s="129" t="s">
        <v>395</v>
      </c>
      <c r="G92" s="129" t="s">
        <v>157</v>
      </c>
      <c r="H92" s="117">
        <v>80111600</v>
      </c>
      <c r="I92" s="130">
        <v>8</v>
      </c>
      <c r="J92" s="130">
        <v>6</v>
      </c>
      <c r="K92" s="56">
        <v>0</v>
      </c>
      <c r="L92" s="57">
        <f>7500000+7500000</f>
        <v>15000000</v>
      </c>
      <c r="M92" s="129" t="s">
        <v>173</v>
      </c>
      <c r="N92" s="57" t="s">
        <v>114</v>
      </c>
      <c r="O92" s="54" t="s">
        <v>227</v>
      </c>
      <c r="P92" s="131" t="str">
        <f>IFERROR(VLOOKUP(C92,TD!$B$32:$F$36,2,0)," ")</f>
        <v>O230117</v>
      </c>
      <c r="Q92" s="131" t="str">
        <f>IFERROR(VLOOKUP(C92,TD!$B$32:$F$36,3,0)," ")</f>
        <v>4503</v>
      </c>
      <c r="R92" s="131">
        <f>IFERROR(VLOOKUP(C92,TD!$B$32:$F$36,4,0)," ")</f>
        <v>20240255</v>
      </c>
      <c r="S92" s="54" t="s">
        <v>180</v>
      </c>
      <c r="T92" s="131" t="str">
        <f>IFERROR(VLOOKUP(S92,TD!$J$33:$K$43,2,0)," ")</f>
        <v>Infraestructura Tecnológica   (Sistemas de Información y Tecnologia)</v>
      </c>
      <c r="U92" s="54" t="str">
        <f t="shared" si="4"/>
        <v>11-Infraestructura Tecnológica   (Sistemas de Información y Tecnologia)</v>
      </c>
      <c r="V92" s="54" t="s">
        <v>236</v>
      </c>
      <c r="W92" s="131" t="str">
        <f>IFERROR(VLOOKUP(V92,TD!$N$33:$O$45,2,0)," ")</f>
        <v>"Servicio de monitoreo y seguimiento para la gestión del riesgo"</v>
      </c>
      <c r="X92" s="54" t="str">
        <f t="shared" si="5"/>
        <v>018_"Servicio de monitoreo y seguimiento para la gestión del riesgo"</v>
      </c>
      <c r="Y92" s="54" t="str">
        <f t="shared" si="6"/>
        <v>11-Infraestructura Tecnológica   (Sistemas de Información y Tecnologia) 018_"Servicio de monitoreo y seguimiento para la gestión del riesgo"</v>
      </c>
      <c r="Z92" s="131" t="str">
        <f t="shared" si="7"/>
        <v>O23011745032024025511018</v>
      </c>
      <c r="AA92" s="131" t="str">
        <f>IFERROR(VLOOKUP(Y92,TD!$K$46:$L$64,2,0)," ")</f>
        <v>PM/0131/0111/45030180255</v>
      </c>
      <c r="AB92" s="57" t="s">
        <v>139</v>
      </c>
      <c r="AC92" s="132" t="s">
        <v>205</v>
      </c>
    </row>
    <row r="93" spans="2:29" s="28" customFormat="1" ht="71.25">
      <c r="B93" s="85">
        <v>20240835</v>
      </c>
      <c r="C93" s="53" t="s">
        <v>210</v>
      </c>
      <c r="D93" s="129" t="s">
        <v>168</v>
      </c>
      <c r="E93" s="54" t="s">
        <v>381</v>
      </c>
      <c r="F93" s="129" t="s">
        <v>396</v>
      </c>
      <c r="G93" s="129" t="s">
        <v>157</v>
      </c>
      <c r="H93" s="117">
        <v>80111600</v>
      </c>
      <c r="I93" s="130">
        <v>8</v>
      </c>
      <c r="J93" s="130">
        <v>5</v>
      </c>
      <c r="K93" s="56">
        <v>0</v>
      </c>
      <c r="L93" s="57">
        <f>15000000-3000000</f>
        <v>12000000</v>
      </c>
      <c r="M93" s="129" t="s">
        <v>173</v>
      </c>
      <c r="N93" s="57" t="s">
        <v>114</v>
      </c>
      <c r="O93" s="54" t="s">
        <v>226</v>
      </c>
      <c r="P93" s="131" t="str">
        <f>IFERROR(VLOOKUP(C93,TD!$B$32:$F$36,2,0)," ")</f>
        <v>O230117</v>
      </c>
      <c r="Q93" s="131" t="str">
        <f>IFERROR(VLOOKUP(C93,TD!$B$32:$F$36,3,0)," ")</f>
        <v>4503</v>
      </c>
      <c r="R93" s="131">
        <f>IFERROR(VLOOKUP(C93,TD!$B$32:$F$36,4,0)," ")</f>
        <v>20240255</v>
      </c>
      <c r="S93" s="54" t="s">
        <v>180</v>
      </c>
      <c r="T93" s="131" t="str">
        <f>IFERROR(VLOOKUP(S93,TD!$J$33:$K$43,2,0)," ")</f>
        <v>Infraestructura Tecnológica   (Sistemas de Información y Tecnologia)</v>
      </c>
      <c r="U93" s="54" t="str">
        <f t="shared" si="4"/>
        <v>11-Infraestructura Tecnológica   (Sistemas de Información y Tecnologia)</v>
      </c>
      <c r="V93" s="54" t="s">
        <v>236</v>
      </c>
      <c r="W93" s="131" t="str">
        <f>IFERROR(VLOOKUP(V93,TD!$N$33:$O$45,2,0)," ")</f>
        <v>"Servicio de monitoreo y seguimiento para la gestión del riesgo"</v>
      </c>
      <c r="X93" s="54" t="str">
        <f t="shared" si="5"/>
        <v>018_"Servicio de monitoreo y seguimiento para la gestión del riesgo"</v>
      </c>
      <c r="Y93" s="54" t="str">
        <f t="shared" si="6"/>
        <v>11-Infraestructura Tecnológica   (Sistemas de Información y Tecnologia) 018_"Servicio de monitoreo y seguimiento para la gestión del riesgo"</v>
      </c>
      <c r="Z93" s="131" t="str">
        <f t="shared" si="7"/>
        <v>O23011745032024025511018</v>
      </c>
      <c r="AA93" s="131" t="str">
        <f>IFERROR(VLOOKUP(Y93,TD!$K$46:$L$64,2,0)," ")</f>
        <v>PM/0131/0111/45030180255</v>
      </c>
      <c r="AB93" s="57" t="s">
        <v>139</v>
      </c>
      <c r="AC93" s="132" t="s">
        <v>205</v>
      </c>
    </row>
    <row r="94" spans="2:29" s="28" customFormat="1" ht="71.25">
      <c r="B94" s="85">
        <v>20240836</v>
      </c>
      <c r="C94" s="53" t="s">
        <v>210</v>
      </c>
      <c r="D94" s="129" t="s">
        <v>168</v>
      </c>
      <c r="E94" s="54" t="s">
        <v>381</v>
      </c>
      <c r="F94" s="129" t="s">
        <v>396</v>
      </c>
      <c r="G94" s="129" t="s">
        <v>157</v>
      </c>
      <c r="H94" s="117">
        <v>80111600</v>
      </c>
      <c r="I94" s="130">
        <v>8</v>
      </c>
      <c r="J94" s="130">
        <v>5</v>
      </c>
      <c r="K94" s="56">
        <v>0</v>
      </c>
      <c r="L94" s="57">
        <v>15000000</v>
      </c>
      <c r="M94" s="129" t="s">
        <v>173</v>
      </c>
      <c r="N94" s="57" t="s">
        <v>114</v>
      </c>
      <c r="O94" s="54" t="s">
        <v>226</v>
      </c>
      <c r="P94" s="131" t="str">
        <f>IFERROR(VLOOKUP(C94,TD!$B$32:$F$36,2,0)," ")</f>
        <v>O230117</v>
      </c>
      <c r="Q94" s="131" t="str">
        <f>IFERROR(VLOOKUP(C94,TD!$B$32:$F$36,3,0)," ")</f>
        <v>4503</v>
      </c>
      <c r="R94" s="131">
        <f>IFERROR(VLOOKUP(C94,TD!$B$32:$F$36,4,0)," ")</f>
        <v>20240255</v>
      </c>
      <c r="S94" s="54" t="s">
        <v>180</v>
      </c>
      <c r="T94" s="131" t="str">
        <f>IFERROR(VLOOKUP(S94,TD!$J$33:$K$43,2,0)," ")</f>
        <v>Infraestructura Tecnológica   (Sistemas de Información y Tecnologia)</v>
      </c>
      <c r="U94" s="54" t="str">
        <f t="shared" si="4"/>
        <v>11-Infraestructura Tecnológica   (Sistemas de Información y Tecnologia)</v>
      </c>
      <c r="V94" s="54" t="s">
        <v>236</v>
      </c>
      <c r="W94" s="131" t="str">
        <f>IFERROR(VLOOKUP(V94,TD!$N$33:$O$45,2,0)," ")</f>
        <v>"Servicio de monitoreo y seguimiento para la gestión del riesgo"</v>
      </c>
      <c r="X94" s="54" t="str">
        <f t="shared" si="5"/>
        <v>018_"Servicio de monitoreo y seguimiento para la gestión del riesgo"</v>
      </c>
      <c r="Y94" s="54" t="str">
        <f t="shared" si="6"/>
        <v>11-Infraestructura Tecnológica   (Sistemas de Información y Tecnologia) 018_"Servicio de monitoreo y seguimiento para la gestión del riesgo"</v>
      </c>
      <c r="Z94" s="131" t="str">
        <f t="shared" si="7"/>
        <v>O23011745032024025511018</v>
      </c>
      <c r="AA94" s="131" t="str">
        <f>IFERROR(VLOOKUP(Y94,TD!$K$46:$L$64,2,0)," ")</f>
        <v>PM/0131/0111/45030180255</v>
      </c>
      <c r="AB94" s="57" t="s">
        <v>139</v>
      </c>
      <c r="AC94" s="132" t="s">
        <v>205</v>
      </c>
    </row>
    <row r="95" spans="2:29" s="28" customFormat="1" ht="71.25">
      <c r="B95" s="85">
        <v>20240837</v>
      </c>
      <c r="C95" s="53" t="s">
        <v>210</v>
      </c>
      <c r="D95" s="129" t="s">
        <v>168</v>
      </c>
      <c r="E95" s="54" t="s">
        <v>381</v>
      </c>
      <c r="F95" s="129" t="s">
        <v>396</v>
      </c>
      <c r="G95" s="129" t="s">
        <v>157</v>
      </c>
      <c r="H95" s="117">
        <v>80111600</v>
      </c>
      <c r="I95" s="130">
        <v>8</v>
      </c>
      <c r="J95" s="130">
        <v>5</v>
      </c>
      <c r="K95" s="56">
        <v>0</v>
      </c>
      <c r="L95" s="57">
        <v>15000000</v>
      </c>
      <c r="M95" s="129" t="s">
        <v>173</v>
      </c>
      <c r="N95" s="57" t="s">
        <v>114</v>
      </c>
      <c r="O95" s="54" t="s">
        <v>226</v>
      </c>
      <c r="P95" s="131" t="str">
        <f>IFERROR(VLOOKUP(C95,TD!$B$32:$F$36,2,0)," ")</f>
        <v>O230117</v>
      </c>
      <c r="Q95" s="131" t="str">
        <f>IFERROR(VLOOKUP(C95,TD!$B$32:$F$36,3,0)," ")</f>
        <v>4503</v>
      </c>
      <c r="R95" s="131">
        <f>IFERROR(VLOOKUP(C95,TD!$B$32:$F$36,4,0)," ")</f>
        <v>20240255</v>
      </c>
      <c r="S95" s="54" t="s">
        <v>180</v>
      </c>
      <c r="T95" s="131" t="str">
        <f>IFERROR(VLOOKUP(S95,TD!$J$33:$K$43,2,0)," ")</f>
        <v>Infraestructura Tecnológica   (Sistemas de Información y Tecnologia)</v>
      </c>
      <c r="U95" s="54" t="str">
        <f t="shared" si="4"/>
        <v>11-Infraestructura Tecnológica   (Sistemas de Información y Tecnologia)</v>
      </c>
      <c r="V95" s="54" t="s">
        <v>236</v>
      </c>
      <c r="W95" s="131" t="str">
        <f>IFERROR(VLOOKUP(V95,TD!$N$33:$O$45,2,0)," ")</f>
        <v>"Servicio de monitoreo y seguimiento para la gestión del riesgo"</v>
      </c>
      <c r="X95" s="54" t="str">
        <f t="shared" si="5"/>
        <v>018_"Servicio de monitoreo y seguimiento para la gestión del riesgo"</v>
      </c>
      <c r="Y95" s="54" t="str">
        <f t="shared" si="6"/>
        <v>11-Infraestructura Tecnológica   (Sistemas de Información y Tecnologia) 018_"Servicio de monitoreo y seguimiento para la gestión del riesgo"</v>
      </c>
      <c r="Z95" s="131" t="str">
        <f t="shared" si="7"/>
        <v>O23011745032024025511018</v>
      </c>
      <c r="AA95" s="131" t="str">
        <f>IFERROR(VLOOKUP(Y95,TD!$K$46:$L$64,2,0)," ")</f>
        <v>PM/0131/0111/45030180255</v>
      </c>
      <c r="AB95" s="57" t="s">
        <v>139</v>
      </c>
      <c r="AC95" s="132" t="s">
        <v>205</v>
      </c>
    </row>
    <row r="96" spans="2:29" s="28" customFormat="1" ht="99.75">
      <c r="B96" s="85">
        <v>20240838</v>
      </c>
      <c r="C96" s="53" t="s">
        <v>210</v>
      </c>
      <c r="D96" s="129" t="s">
        <v>168</v>
      </c>
      <c r="E96" s="54" t="s">
        <v>381</v>
      </c>
      <c r="F96" s="129" t="s">
        <v>398</v>
      </c>
      <c r="G96" s="129" t="s">
        <v>97</v>
      </c>
      <c r="H96" s="117" t="s">
        <v>804</v>
      </c>
      <c r="I96" s="130">
        <v>8</v>
      </c>
      <c r="J96" s="130">
        <v>4</v>
      </c>
      <c r="K96" s="56">
        <v>0</v>
      </c>
      <c r="L96" s="57">
        <f>40785000+1662000</f>
        <v>42447000</v>
      </c>
      <c r="M96" s="129" t="s">
        <v>173</v>
      </c>
      <c r="N96" s="57" t="s">
        <v>101</v>
      </c>
      <c r="O96" s="54" t="s">
        <v>226</v>
      </c>
      <c r="P96" s="131" t="str">
        <f>IFERROR(VLOOKUP(C96,TD!$B$32:$F$36,2,0)," ")</f>
        <v>O230117</v>
      </c>
      <c r="Q96" s="131" t="str">
        <f>IFERROR(VLOOKUP(C96,TD!$B$32:$F$36,3,0)," ")</f>
        <v>4503</v>
      </c>
      <c r="R96" s="131">
        <f>IFERROR(VLOOKUP(C96,TD!$B$32:$F$36,4,0)," ")</f>
        <v>20240255</v>
      </c>
      <c r="S96" s="54" t="s">
        <v>180</v>
      </c>
      <c r="T96" s="131" t="str">
        <f>IFERROR(VLOOKUP(S96,TD!$J$33:$K$43,2,0)," ")</f>
        <v>Infraestructura Tecnológica   (Sistemas de Información y Tecnologia)</v>
      </c>
      <c r="U96" s="54" t="str">
        <f t="shared" si="4"/>
        <v>11-Infraestructura Tecnológica   (Sistemas de Información y Tecnologia)</v>
      </c>
      <c r="V96" s="54" t="s">
        <v>236</v>
      </c>
      <c r="W96" s="131" t="str">
        <f>IFERROR(VLOOKUP(V96,TD!$N$33:$O$45,2,0)," ")</f>
        <v>"Servicio de monitoreo y seguimiento para la gestión del riesgo"</v>
      </c>
      <c r="X96" s="54" t="str">
        <f t="shared" si="5"/>
        <v>018_"Servicio de monitoreo y seguimiento para la gestión del riesgo"</v>
      </c>
      <c r="Y96" s="54" t="str">
        <f t="shared" si="6"/>
        <v>11-Infraestructura Tecnológica   (Sistemas de Información y Tecnologia) 018_"Servicio de monitoreo y seguimiento para la gestión del riesgo"</v>
      </c>
      <c r="Z96" s="131" t="str">
        <f t="shared" si="7"/>
        <v>O23011745032024025511018</v>
      </c>
      <c r="AA96" s="131" t="str">
        <f>IFERROR(VLOOKUP(Y96,TD!$K$46:$L$64,2,0)," ")</f>
        <v>PM/0131/0111/45030180255</v>
      </c>
      <c r="AB96" s="57" t="s">
        <v>139</v>
      </c>
      <c r="AC96" s="132" t="s">
        <v>205</v>
      </c>
    </row>
    <row r="97" spans="2:29" s="28" customFormat="1" ht="71.25">
      <c r="B97" s="85">
        <v>20240839</v>
      </c>
      <c r="C97" s="53" t="s">
        <v>210</v>
      </c>
      <c r="D97" s="129" t="s">
        <v>168</v>
      </c>
      <c r="E97" s="54" t="s">
        <v>381</v>
      </c>
      <c r="F97" s="129" t="s">
        <v>404</v>
      </c>
      <c r="G97" s="129" t="s">
        <v>156</v>
      </c>
      <c r="H97" s="117" t="s">
        <v>805</v>
      </c>
      <c r="I97" s="130">
        <v>9</v>
      </c>
      <c r="J97" s="130">
        <v>3</v>
      </c>
      <c r="K97" s="56">
        <v>12</v>
      </c>
      <c r="L97" s="57">
        <f>32004303-10892065</f>
        <v>21112238</v>
      </c>
      <c r="M97" s="129" t="s">
        <v>173</v>
      </c>
      <c r="N97" s="57" t="s">
        <v>114</v>
      </c>
      <c r="O97" s="54" t="s">
        <v>226</v>
      </c>
      <c r="P97" s="131" t="str">
        <f>IFERROR(VLOOKUP(C97,TD!$B$32:$F$36,2,0)," ")</f>
        <v>O230117</v>
      </c>
      <c r="Q97" s="131" t="str">
        <f>IFERROR(VLOOKUP(C97,TD!$B$32:$F$36,3,0)," ")</f>
        <v>4503</v>
      </c>
      <c r="R97" s="131">
        <f>IFERROR(VLOOKUP(C97,TD!$B$32:$F$36,4,0)," ")</f>
        <v>20240255</v>
      </c>
      <c r="S97" s="54" t="s">
        <v>180</v>
      </c>
      <c r="T97" s="131" t="str">
        <f>IFERROR(VLOOKUP(S97,TD!$J$33:$K$43,2,0)," ")</f>
        <v>Infraestructura Tecnológica   (Sistemas de Información y Tecnologia)</v>
      </c>
      <c r="U97" s="54" t="str">
        <f t="shared" si="4"/>
        <v>11-Infraestructura Tecnológica   (Sistemas de Información y Tecnologia)</v>
      </c>
      <c r="V97" s="54" t="s">
        <v>236</v>
      </c>
      <c r="W97" s="131" t="str">
        <f>IFERROR(VLOOKUP(V97,TD!$N$33:$O$45,2,0)," ")</f>
        <v>"Servicio de monitoreo y seguimiento para la gestión del riesgo"</v>
      </c>
      <c r="X97" s="54" t="str">
        <f t="shared" si="5"/>
        <v>018_"Servicio de monitoreo y seguimiento para la gestión del riesgo"</v>
      </c>
      <c r="Y97" s="54" t="str">
        <f t="shared" si="6"/>
        <v>11-Infraestructura Tecnológica   (Sistemas de Información y Tecnologia) 018_"Servicio de monitoreo y seguimiento para la gestión del riesgo"</v>
      </c>
      <c r="Z97" s="131" t="str">
        <f t="shared" si="7"/>
        <v>O23011745032024025511018</v>
      </c>
      <c r="AA97" s="131" t="str">
        <f>IFERROR(VLOOKUP(Y97,TD!$K$46:$L$64,2,0)," ")</f>
        <v>PM/0131/0111/45030180255</v>
      </c>
      <c r="AB97" s="57" t="s">
        <v>139</v>
      </c>
      <c r="AC97" s="132" t="s">
        <v>206</v>
      </c>
    </row>
    <row r="98" spans="2:29" s="28" customFormat="1" ht="71.25">
      <c r="B98" s="85">
        <v>20240840</v>
      </c>
      <c r="C98" s="53" t="s">
        <v>210</v>
      </c>
      <c r="D98" s="129" t="s">
        <v>168</v>
      </c>
      <c r="E98" s="54" t="s">
        <v>381</v>
      </c>
      <c r="F98" s="129" t="s">
        <v>399</v>
      </c>
      <c r="G98" s="129" t="s">
        <v>156</v>
      </c>
      <c r="H98" s="117">
        <v>80111600</v>
      </c>
      <c r="I98" s="130">
        <v>8</v>
      </c>
      <c r="J98" s="130">
        <v>6</v>
      </c>
      <c r="K98" s="56">
        <v>0</v>
      </c>
      <c r="L98" s="57">
        <f>54000000+6000000-20000000</f>
        <v>40000000</v>
      </c>
      <c r="M98" s="129" t="s">
        <v>173</v>
      </c>
      <c r="N98" s="57" t="s">
        <v>114</v>
      </c>
      <c r="O98" s="54" t="s">
        <v>226</v>
      </c>
      <c r="P98" s="131" t="str">
        <f>IFERROR(VLOOKUP(C98,TD!$B$32:$F$36,2,0)," ")</f>
        <v>O230117</v>
      </c>
      <c r="Q98" s="131" t="str">
        <f>IFERROR(VLOOKUP(C98,TD!$B$32:$F$36,3,0)," ")</f>
        <v>4503</v>
      </c>
      <c r="R98" s="131">
        <f>IFERROR(VLOOKUP(C98,TD!$B$32:$F$36,4,0)," ")</f>
        <v>20240255</v>
      </c>
      <c r="S98" s="54" t="s">
        <v>180</v>
      </c>
      <c r="T98" s="131" t="str">
        <f>IFERROR(VLOOKUP(S98,TD!$J$33:$K$43,2,0)," ")</f>
        <v>Infraestructura Tecnológica   (Sistemas de Información y Tecnologia)</v>
      </c>
      <c r="U98" s="54" t="str">
        <f t="shared" si="4"/>
        <v>11-Infraestructura Tecnológica   (Sistemas de Información y Tecnologia)</v>
      </c>
      <c r="V98" s="54" t="s">
        <v>236</v>
      </c>
      <c r="W98" s="131" t="str">
        <f>IFERROR(VLOOKUP(V98,TD!$N$33:$O$45,2,0)," ")</f>
        <v>"Servicio de monitoreo y seguimiento para la gestión del riesgo"</v>
      </c>
      <c r="X98" s="54" t="str">
        <f t="shared" si="5"/>
        <v>018_"Servicio de monitoreo y seguimiento para la gestión del riesgo"</v>
      </c>
      <c r="Y98" s="54" t="str">
        <f t="shared" si="6"/>
        <v>11-Infraestructura Tecnológica   (Sistemas de Información y Tecnologia) 018_"Servicio de monitoreo y seguimiento para la gestión del riesgo"</v>
      </c>
      <c r="Z98" s="131" t="str">
        <f t="shared" si="7"/>
        <v>O23011745032024025511018</v>
      </c>
      <c r="AA98" s="131" t="str">
        <f>IFERROR(VLOOKUP(Y98,TD!$K$46:$L$64,2,0)," ")</f>
        <v>PM/0131/0111/45030180255</v>
      </c>
      <c r="AB98" s="57" t="s">
        <v>139</v>
      </c>
      <c r="AC98" s="132" t="s">
        <v>205</v>
      </c>
    </row>
    <row r="99" spans="2:29" s="28" customFormat="1" ht="71.25">
      <c r="B99" s="85">
        <v>20240841</v>
      </c>
      <c r="C99" s="53" t="s">
        <v>210</v>
      </c>
      <c r="D99" s="129" t="s">
        <v>168</v>
      </c>
      <c r="E99" s="54" t="s">
        <v>381</v>
      </c>
      <c r="F99" s="129" t="s">
        <v>399</v>
      </c>
      <c r="G99" s="129" t="s">
        <v>156</v>
      </c>
      <c r="H99" s="117">
        <v>80111600</v>
      </c>
      <c r="I99" s="130">
        <v>8</v>
      </c>
      <c r="J99" s="130">
        <v>5</v>
      </c>
      <c r="K99" s="56">
        <v>0</v>
      </c>
      <c r="L99" s="57">
        <f>25000000-5000000</f>
        <v>20000000</v>
      </c>
      <c r="M99" s="129" t="s">
        <v>173</v>
      </c>
      <c r="N99" s="57" t="s">
        <v>114</v>
      </c>
      <c r="O99" s="54" t="s">
        <v>226</v>
      </c>
      <c r="P99" s="131" t="str">
        <f>IFERROR(VLOOKUP(C99,TD!$B$32:$F$36,2,0)," ")</f>
        <v>O230117</v>
      </c>
      <c r="Q99" s="131" t="str">
        <f>IFERROR(VLOOKUP(C99,TD!$B$32:$F$36,3,0)," ")</f>
        <v>4503</v>
      </c>
      <c r="R99" s="131">
        <f>IFERROR(VLOOKUP(C99,TD!$B$32:$F$36,4,0)," ")</f>
        <v>20240255</v>
      </c>
      <c r="S99" s="54" t="s">
        <v>180</v>
      </c>
      <c r="T99" s="131" t="str">
        <f>IFERROR(VLOOKUP(S99,TD!$J$33:$K$43,2,0)," ")</f>
        <v>Infraestructura Tecnológica   (Sistemas de Información y Tecnologia)</v>
      </c>
      <c r="U99" s="54" t="str">
        <f t="shared" si="4"/>
        <v>11-Infraestructura Tecnológica   (Sistemas de Información y Tecnologia)</v>
      </c>
      <c r="V99" s="54" t="s">
        <v>236</v>
      </c>
      <c r="W99" s="131" t="str">
        <f>IFERROR(VLOOKUP(V99,TD!$N$33:$O$45,2,0)," ")</f>
        <v>"Servicio de monitoreo y seguimiento para la gestión del riesgo"</v>
      </c>
      <c r="X99" s="54" t="str">
        <f t="shared" si="5"/>
        <v>018_"Servicio de monitoreo y seguimiento para la gestión del riesgo"</v>
      </c>
      <c r="Y99" s="54" t="str">
        <f t="shared" si="6"/>
        <v>11-Infraestructura Tecnológica   (Sistemas de Información y Tecnologia) 018_"Servicio de monitoreo y seguimiento para la gestión del riesgo"</v>
      </c>
      <c r="Z99" s="131" t="str">
        <f t="shared" si="7"/>
        <v>O23011745032024025511018</v>
      </c>
      <c r="AA99" s="131" t="str">
        <f>IFERROR(VLOOKUP(Y99,TD!$K$46:$L$64,2,0)," ")</f>
        <v>PM/0131/0111/45030180255</v>
      </c>
      <c r="AB99" s="57" t="s">
        <v>139</v>
      </c>
      <c r="AC99" s="132" t="s">
        <v>205</v>
      </c>
    </row>
    <row r="100" spans="2:29" s="28" customFormat="1" ht="71.25">
      <c r="B100" s="85">
        <v>20240842</v>
      </c>
      <c r="C100" s="53" t="s">
        <v>210</v>
      </c>
      <c r="D100" s="129" t="s">
        <v>168</v>
      </c>
      <c r="E100" s="54" t="s">
        <v>381</v>
      </c>
      <c r="F100" s="129" t="s">
        <v>399</v>
      </c>
      <c r="G100" s="129" t="s">
        <v>156</v>
      </c>
      <c r="H100" s="117">
        <v>80111600</v>
      </c>
      <c r="I100" s="130">
        <v>8</v>
      </c>
      <c r="J100" s="130">
        <v>5</v>
      </c>
      <c r="K100" s="56">
        <v>0</v>
      </c>
      <c r="L100" s="57">
        <v>25000000</v>
      </c>
      <c r="M100" s="129" t="s">
        <v>173</v>
      </c>
      <c r="N100" s="57" t="s">
        <v>114</v>
      </c>
      <c r="O100" s="54" t="s">
        <v>226</v>
      </c>
      <c r="P100" s="131" t="str">
        <f>IFERROR(VLOOKUP(C100,TD!$B$32:$F$36,2,0)," ")</f>
        <v>O230117</v>
      </c>
      <c r="Q100" s="131" t="str">
        <f>IFERROR(VLOOKUP(C100,TD!$B$32:$F$36,3,0)," ")</f>
        <v>4503</v>
      </c>
      <c r="R100" s="131">
        <f>IFERROR(VLOOKUP(C100,TD!$B$32:$F$36,4,0)," ")</f>
        <v>20240255</v>
      </c>
      <c r="S100" s="54" t="s">
        <v>180</v>
      </c>
      <c r="T100" s="131" t="str">
        <f>IFERROR(VLOOKUP(S100,TD!$J$33:$K$43,2,0)," ")</f>
        <v>Infraestructura Tecnológica   (Sistemas de Información y Tecnologia)</v>
      </c>
      <c r="U100" s="54" t="str">
        <f t="shared" si="4"/>
        <v>11-Infraestructura Tecnológica   (Sistemas de Información y Tecnologia)</v>
      </c>
      <c r="V100" s="54" t="s">
        <v>236</v>
      </c>
      <c r="W100" s="131" t="str">
        <f>IFERROR(VLOOKUP(V100,TD!$N$33:$O$45,2,0)," ")</f>
        <v>"Servicio de monitoreo y seguimiento para la gestión del riesgo"</v>
      </c>
      <c r="X100" s="54" t="str">
        <f t="shared" si="5"/>
        <v>018_"Servicio de monitoreo y seguimiento para la gestión del riesgo"</v>
      </c>
      <c r="Y100" s="54" t="str">
        <f t="shared" si="6"/>
        <v>11-Infraestructura Tecnológica   (Sistemas de Información y Tecnologia) 018_"Servicio de monitoreo y seguimiento para la gestión del riesgo"</v>
      </c>
      <c r="Z100" s="131" t="str">
        <f t="shared" si="7"/>
        <v>O23011745032024025511018</v>
      </c>
      <c r="AA100" s="131" t="str">
        <f>IFERROR(VLOOKUP(Y100,TD!$K$46:$L$64,2,0)," ")</f>
        <v>PM/0131/0111/45030180255</v>
      </c>
      <c r="AB100" s="57" t="s">
        <v>139</v>
      </c>
      <c r="AC100" s="132" t="s">
        <v>205</v>
      </c>
    </row>
    <row r="101" spans="2:29" s="28" customFormat="1" ht="71.25">
      <c r="B101" s="85">
        <v>20240843</v>
      </c>
      <c r="C101" s="53" t="s">
        <v>210</v>
      </c>
      <c r="D101" s="129" t="s">
        <v>168</v>
      </c>
      <c r="E101" s="54" t="s">
        <v>381</v>
      </c>
      <c r="F101" s="129" t="s">
        <v>399</v>
      </c>
      <c r="G101" s="129" t="s">
        <v>156</v>
      </c>
      <c r="H101" s="117">
        <v>80111600</v>
      </c>
      <c r="I101" s="130">
        <v>8</v>
      </c>
      <c r="J101" s="130">
        <v>6</v>
      </c>
      <c r="K101" s="56">
        <v>0</v>
      </c>
      <c r="L101" s="57">
        <f>36000000-6000000</f>
        <v>30000000</v>
      </c>
      <c r="M101" s="129" t="s">
        <v>173</v>
      </c>
      <c r="N101" s="57" t="s">
        <v>114</v>
      </c>
      <c r="O101" s="54" t="s">
        <v>226</v>
      </c>
      <c r="P101" s="131" t="str">
        <f>IFERROR(VLOOKUP(C101,TD!$B$32:$F$36,2,0)," ")</f>
        <v>O230117</v>
      </c>
      <c r="Q101" s="131" t="str">
        <f>IFERROR(VLOOKUP(C101,TD!$B$32:$F$36,3,0)," ")</f>
        <v>4503</v>
      </c>
      <c r="R101" s="131">
        <f>IFERROR(VLOOKUP(C101,TD!$B$32:$F$36,4,0)," ")</f>
        <v>20240255</v>
      </c>
      <c r="S101" s="54" t="s">
        <v>180</v>
      </c>
      <c r="T101" s="131" t="str">
        <f>IFERROR(VLOOKUP(S101,TD!$J$33:$K$43,2,0)," ")</f>
        <v>Infraestructura Tecnológica   (Sistemas de Información y Tecnologia)</v>
      </c>
      <c r="U101" s="54" t="str">
        <f t="shared" si="4"/>
        <v>11-Infraestructura Tecnológica   (Sistemas de Información y Tecnologia)</v>
      </c>
      <c r="V101" s="54" t="s">
        <v>236</v>
      </c>
      <c r="W101" s="131" t="str">
        <f>IFERROR(VLOOKUP(V101,TD!$N$33:$O$45,2,0)," ")</f>
        <v>"Servicio de monitoreo y seguimiento para la gestión del riesgo"</v>
      </c>
      <c r="X101" s="54" t="str">
        <f t="shared" si="5"/>
        <v>018_"Servicio de monitoreo y seguimiento para la gestión del riesgo"</v>
      </c>
      <c r="Y101" s="54" t="str">
        <f t="shared" si="6"/>
        <v>11-Infraestructura Tecnológica   (Sistemas de Información y Tecnologia) 018_"Servicio de monitoreo y seguimiento para la gestión del riesgo"</v>
      </c>
      <c r="Z101" s="131" t="str">
        <f t="shared" si="7"/>
        <v>O23011745032024025511018</v>
      </c>
      <c r="AA101" s="131" t="str">
        <f>IFERROR(VLOOKUP(Y101,TD!$K$46:$L$64,2,0)," ")</f>
        <v>PM/0131/0111/45030180255</v>
      </c>
      <c r="AB101" s="57" t="s">
        <v>139</v>
      </c>
      <c r="AC101" s="132" t="s">
        <v>205</v>
      </c>
    </row>
    <row r="102" spans="2:29" s="28" customFormat="1" ht="71.25">
      <c r="B102" s="85">
        <v>20240844</v>
      </c>
      <c r="C102" s="53" t="s">
        <v>210</v>
      </c>
      <c r="D102" s="129" t="s">
        <v>168</v>
      </c>
      <c r="E102" s="54" t="s">
        <v>381</v>
      </c>
      <c r="F102" s="129" t="s">
        <v>399</v>
      </c>
      <c r="G102" s="129" t="s">
        <v>156</v>
      </c>
      <c r="H102" s="117">
        <v>80111600</v>
      </c>
      <c r="I102" s="130">
        <v>8</v>
      </c>
      <c r="J102" s="130">
        <v>4</v>
      </c>
      <c r="K102" s="56">
        <v>0</v>
      </c>
      <c r="L102" s="57">
        <f>28000000+2000000-6000000</f>
        <v>24000000</v>
      </c>
      <c r="M102" s="129" t="s">
        <v>173</v>
      </c>
      <c r="N102" s="57" t="s">
        <v>114</v>
      </c>
      <c r="O102" s="54" t="s">
        <v>226</v>
      </c>
      <c r="P102" s="131" t="str">
        <f>IFERROR(VLOOKUP(C102,TD!$B$32:$F$36,2,0)," ")</f>
        <v>O230117</v>
      </c>
      <c r="Q102" s="131" t="str">
        <f>IFERROR(VLOOKUP(C102,TD!$B$32:$F$36,3,0)," ")</f>
        <v>4503</v>
      </c>
      <c r="R102" s="131">
        <f>IFERROR(VLOOKUP(C102,TD!$B$32:$F$36,4,0)," ")</f>
        <v>20240255</v>
      </c>
      <c r="S102" s="54" t="s">
        <v>180</v>
      </c>
      <c r="T102" s="131" t="str">
        <f>IFERROR(VLOOKUP(S102,TD!$J$33:$K$43,2,0)," ")</f>
        <v>Infraestructura Tecnológica   (Sistemas de Información y Tecnologia)</v>
      </c>
      <c r="U102" s="54" t="str">
        <f t="shared" si="4"/>
        <v>11-Infraestructura Tecnológica   (Sistemas de Información y Tecnologia)</v>
      </c>
      <c r="V102" s="54" t="s">
        <v>236</v>
      </c>
      <c r="W102" s="131" t="str">
        <f>IFERROR(VLOOKUP(V102,TD!$N$33:$O$45,2,0)," ")</f>
        <v>"Servicio de monitoreo y seguimiento para la gestión del riesgo"</v>
      </c>
      <c r="X102" s="54" t="str">
        <f t="shared" si="5"/>
        <v>018_"Servicio de monitoreo y seguimiento para la gestión del riesgo"</v>
      </c>
      <c r="Y102" s="54" t="str">
        <f t="shared" si="6"/>
        <v>11-Infraestructura Tecnológica   (Sistemas de Información y Tecnologia) 018_"Servicio de monitoreo y seguimiento para la gestión del riesgo"</v>
      </c>
      <c r="Z102" s="131" t="str">
        <f t="shared" si="7"/>
        <v>O23011745032024025511018</v>
      </c>
      <c r="AA102" s="131" t="str">
        <f>IFERROR(VLOOKUP(Y102,TD!$K$46:$L$64,2,0)," ")</f>
        <v>PM/0131/0111/45030180255</v>
      </c>
      <c r="AB102" s="57" t="s">
        <v>139</v>
      </c>
      <c r="AC102" s="132" t="s">
        <v>205</v>
      </c>
    </row>
    <row r="103" spans="2:29" s="28" customFormat="1" ht="71.25">
      <c r="B103" s="85">
        <v>20240845</v>
      </c>
      <c r="C103" s="53" t="s">
        <v>210</v>
      </c>
      <c r="D103" s="129" t="s">
        <v>168</v>
      </c>
      <c r="E103" s="54" t="s">
        <v>381</v>
      </c>
      <c r="F103" s="129" t="s">
        <v>400</v>
      </c>
      <c r="G103" s="129" t="s">
        <v>156</v>
      </c>
      <c r="H103" s="117">
        <v>80111600</v>
      </c>
      <c r="I103" s="130">
        <v>8</v>
      </c>
      <c r="J103" s="130">
        <v>5</v>
      </c>
      <c r="K103" s="56">
        <v>0</v>
      </c>
      <c r="L103" s="57">
        <f>25000000-5000000</f>
        <v>20000000</v>
      </c>
      <c r="M103" s="129" t="s">
        <v>173</v>
      </c>
      <c r="N103" s="57" t="s">
        <v>114</v>
      </c>
      <c r="O103" s="54" t="s">
        <v>226</v>
      </c>
      <c r="P103" s="131" t="str">
        <f>IFERROR(VLOOKUP(C103,TD!$B$32:$F$36,2,0)," ")</f>
        <v>O230117</v>
      </c>
      <c r="Q103" s="131" t="str">
        <f>IFERROR(VLOOKUP(C103,TD!$B$32:$F$36,3,0)," ")</f>
        <v>4503</v>
      </c>
      <c r="R103" s="131">
        <f>IFERROR(VLOOKUP(C103,TD!$B$32:$F$36,4,0)," ")</f>
        <v>20240255</v>
      </c>
      <c r="S103" s="54" t="s">
        <v>180</v>
      </c>
      <c r="T103" s="131" t="str">
        <f>IFERROR(VLOOKUP(S103,TD!$J$33:$K$43,2,0)," ")</f>
        <v>Infraestructura Tecnológica   (Sistemas de Información y Tecnologia)</v>
      </c>
      <c r="U103" s="54" t="str">
        <f t="shared" si="4"/>
        <v>11-Infraestructura Tecnológica   (Sistemas de Información y Tecnologia)</v>
      </c>
      <c r="V103" s="54" t="s">
        <v>236</v>
      </c>
      <c r="W103" s="131" t="str">
        <f>IFERROR(VLOOKUP(V103,TD!$N$33:$O$45,2,0)," ")</f>
        <v>"Servicio de monitoreo y seguimiento para la gestión del riesgo"</v>
      </c>
      <c r="X103" s="54" t="str">
        <f t="shared" si="5"/>
        <v>018_"Servicio de monitoreo y seguimiento para la gestión del riesgo"</v>
      </c>
      <c r="Y103" s="54" t="str">
        <f t="shared" si="6"/>
        <v>11-Infraestructura Tecnológica   (Sistemas de Información y Tecnologia) 018_"Servicio de monitoreo y seguimiento para la gestión del riesgo"</v>
      </c>
      <c r="Z103" s="131" t="str">
        <f t="shared" si="7"/>
        <v>O23011745032024025511018</v>
      </c>
      <c r="AA103" s="131" t="str">
        <f>IFERROR(VLOOKUP(Y103,TD!$K$46:$L$64,2,0)," ")</f>
        <v>PM/0131/0111/45030180255</v>
      </c>
      <c r="AB103" s="57" t="s">
        <v>139</v>
      </c>
      <c r="AC103" s="132" t="s">
        <v>205</v>
      </c>
    </row>
    <row r="104" spans="2:29" s="28" customFormat="1" ht="71.25">
      <c r="B104" s="85">
        <v>20240846</v>
      </c>
      <c r="C104" s="53" t="s">
        <v>210</v>
      </c>
      <c r="D104" s="129" t="s">
        <v>168</v>
      </c>
      <c r="E104" s="54" t="s">
        <v>381</v>
      </c>
      <c r="F104" s="129" t="s">
        <v>399</v>
      </c>
      <c r="G104" s="129" t="s">
        <v>156</v>
      </c>
      <c r="H104" s="117">
        <v>80111600</v>
      </c>
      <c r="I104" s="130">
        <v>8</v>
      </c>
      <c r="J104" s="130">
        <v>6</v>
      </c>
      <c r="K104" s="56">
        <v>0</v>
      </c>
      <c r="L104" s="57">
        <v>36000000</v>
      </c>
      <c r="M104" s="129" t="s">
        <v>173</v>
      </c>
      <c r="N104" s="57" t="s">
        <v>114</v>
      </c>
      <c r="O104" s="54" t="s">
        <v>226</v>
      </c>
      <c r="P104" s="131" t="str">
        <f>IFERROR(VLOOKUP(C104,TD!$B$32:$F$36,2,0)," ")</f>
        <v>O230117</v>
      </c>
      <c r="Q104" s="131" t="str">
        <f>IFERROR(VLOOKUP(C104,TD!$B$32:$F$36,3,0)," ")</f>
        <v>4503</v>
      </c>
      <c r="R104" s="131">
        <f>IFERROR(VLOOKUP(C104,TD!$B$32:$F$36,4,0)," ")</f>
        <v>20240255</v>
      </c>
      <c r="S104" s="54" t="s">
        <v>180</v>
      </c>
      <c r="T104" s="131" t="str">
        <f>IFERROR(VLOOKUP(S104,TD!$J$33:$K$43,2,0)," ")</f>
        <v>Infraestructura Tecnológica   (Sistemas de Información y Tecnologia)</v>
      </c>
      <c r="U104" s="54" t="str">
        <f t="shared" si="4"/>
        <v>11-Infraestructura Tecnológica   (Sistemas de Información y Tecnologia)</v>
      </c>
      <c r="V104" s="54" t="s">
        <v>236</v>
      </c>
      <c r="W104" s="131" t="str">
        <f>IFERROR(VLOOKUP(V104,TD!$N$33:$O$45,2,0)," ")</f>
        <v>"Servicio de monitoreo y seguimiento para la gestión del riesgo"</v>
      </c>
      <c r="X104" s="54" t="str">
        <f t="shared" si="5"/>
        <v>018_"Servicio de monitoreo y seguimiento para la gestión del riesgo"</v>
      </c>
      <c r="Y104" s="54" t="str">
        <f t="shared" si="6"/>
        <v>11-Infraestructura Tecnológica   (Sistemas de Información y Tecnologia) 018_"Servicio de monitoreo y seguimiento para la gestión del riesgo"</v>
      </c>
      <c r="Z104" s="131" t="str">
        <f t="shared" si="7"/>
        <v>O23011745032024025511018</v>
      </c>
      <c r="AA104" s="131" t="str">
        <f>IFERROR(VLOOKUP(Y104,TD!$K$46:$L$64,2,0)," ")</f>
        <v>PM/0131/0111/45030180255</v>
      </c>
      <c r="AB104" s="57" t="s">
        <v>139</v>
      </c>
      <c r="AC104" s="132" t="s">
        <v>205</v>
      </c>
    </row>
    <row r="105" spans="2:29" s="28" customFormat="1" ht="71.25">
      <c r="B105" s="85">
        <v>20240847</v>
      </c>
      <c r="C105" s="53" t="s">
        <v>210</v>
      </c>
      <c r="D105" s="129" t="s">
        <v>168</v>
      </c>
      <c r="E105" s="54" t="s">
        <v>381</v>
      </c>
      <c r="F105" s="129" t="s">
        <v>401</v>
      </c>
      <c r="G105" s="129" t="s">
        <v>156</v>
      </c>
      <c r="H105" s="117">
        <v>80111600</v>
      </c>
      <c r="I105" s="130">
        <v>8</v>
      </c>
      <c r="J105" s="130">
        <v>5</v>
      </c>
      <c r="K105" s="56">
        <v>0</v>
      </c>
      <c r="L105" s="57">
        <f>25000000-7000000</f>
        <v>18000000</v>
      </c>
      <c r="M105" s="129" t="s">
        <v>173</v>
      </c>
      <c r="N105" s="57" t="s">
        <v>114</v>
      </c>
      <c r="O105" s="54" t="s">
        <v>226</v>
      </c>
      <c r="P105" s="131" t="str">
        <f>IFERROR(VLOOKUP(C105,TD!$B$32:$F$36,2,0)," ")</f>
        <v>O230117</v>
      </c>
      <c r="Q105" s="131" t="str">
        <f>IFERROR(VLOOKUP(C105,TD!$B$32:$F$36,3,0)," ")</f>
        <v>4503</v>
      </c>
      <c r="R105" s="131">
        <f>IFERROR(VLOOKUP(C105,TD!$B$32:$F$36,4,0)," ")</f>
        <v>20240255</v>
      </c>
      <c r="S105" s="54" t="s">
        <v>180</v>
      </c>
      <c r="T105" s="131" t="str">
        <f>IFERROR(VLOOKUP(S105,TD!$J$33:$K$43,2,0)," ")</f>
        <v>Infraestructura Tecnológica   (Sistemas de Información y Tecnologia)</v>
      </c>
      <c r="U105" s="54" t="str">
        <f t="shared" si="4"/>
        <v>11-Infraestructura Tecnológica   (Sistemas de Información y Tecnologia)</v>
      </c>
      <c r="V105" s="54" t="s">
        <v>236</v>
      </c>
      <c r="W105" s="131" t="str">
        <f>IFERROR(VLOOKUP(V105,TD!$N$33:$O$45,2,0)," ")</f>
        <v>"Servicio de monitoreo y seguimiento para la gestión del riesgo"</v>
      </c>
      <c r="X105" s="54" t="str">
        <f t="shared" si="5"/>
        <v>018_"Servicio de monitoreo y seguimiento para la gestión del riesgo"</v>
      </c>
      <c r="Y105" s="54" t="str">
        <f t="shared" si="6"/>
        <v>11-Infraestructura Tecnológica   (Sistemas de Información y Tecnologia) 018_"Servicio de monitoreo y seguimiento para la gestión del riesgo"</v>
      </c>
      <c r="Z105" s="131" t="str">
        <f t="shared" si="7"/>
        <v>O23011745032024025511018</v>
      </c>
      <c r="AA105" s="131" t="str">
        <f>IFERROR(VLOOKUP(Y105,TD!$K$46:$L$64,2,0)," ")</f>
        <v>PM/0131/0111/45030180255</v>
      </c>
      <c r="AB105" s="57" t="s">
        <v>139</v>
      </c>
      <c r="AC105" s="132" t="s">
        <v>205</v>
      </c>
    </row>
    <row r="106" spans="2:29" s="28" customFormat="1" ht="71.25">
      <c r="B106" s="85">
        <v>20240848</v>
      </c>
      <c r="C106" s="53" t="s">
        <v>210</v>
      </c>
      <c r="D106" s="129" t="s">
        <v>168</v>
      </c>
      <c r="E106" s="54" t="s">
        <v>381</v>
      </c>
      <c r="F106" s="129" t="s">
        <v>699</v>
      </c>
      <c r="G106" s="129" t="s">
        <v>157</v>
      </c>
      <c r="H106" s="117">
        <v>80111600</v>
      </c>
      <c r="I106" s="130">
        <v>8</v>
      </c>
      <c r="J106" s="130">
        <v>6</v>
      </c>
      <c r="K106" s="56">
        <v>0</v>
      </c>
      <c r="L106" s="57">
        <v>18000000</v>
      </c>
      <c r="M106" s="129" t="s">
        <v>173</v>
      </c>
      <c r="N106" s="57" t="s">
        <v>114</v>
      </c>
      <c r="O106" s="54" t="s">
        <v>222</v>
      </c>
      <c r="P106" s="131" t="str">
        <f>IFERROR(VLOOKUP(C106,TD!$B$32:$F$36,2,0)," ")</f>
        <v>O230117</v>
      </c>
      <c r="Q106" s="131" t="str">
        <f>IFERROR(VLOOKUP(C106,TD!$B$32:$F$36,3,0)," ")</f>
        <v>4503</v>
      </c>
      <c r="R106" s="131">
        <f>IFERROR(VLOOKUP(C106,TD!$B$32:$F$36,4,0)," ")</f>
        <v>20240255</v>
      </c>
      <c r="S106" s="54" t="s">
        <v>178</v>
      </c>
      <c r="T106" s="131" t="str">
        <f>IFERROR(VLOOKUP(S106,TD!$J$33:$K$43,2,0)," ")</f>
        <v>Servicio de capacitaciones en gestión del riesgo de incendios  a la ciudadania.</v>
      </c>
      <c r="U106" s="54" t="str">
        <f t="shared" si="4"/>
        <v>05-Servicio de capacitaciones en gestión del riesgo de incendios  a la ciudadania.</v>
      </c>
      <c r="V106" s="54" t="s">
        <v>234</v>
      </c>
      <c r="W106" s="131" t="str">
        <f>IFERROR(VLOOKUP(V106,TD!$N$33:$O$45,2,0)," ")</f>
        <v>Servicio de educación informal</v>
      </c>
      <c r="X106" s="54" t="str">
        <f t="shared" si="5"/>
        <v>002_Servicio de educación informal</v>
      </c>
      <c r="Y106" s="54" t="str">
        <f t="shared" si="6"/>
        <v>05-Servicio de capacitaciones en gestión del riesgo de incendios  a la ciudadania. 002_Servicio de educación informal</v>
      </c>
      <c r="Z106" s="131" t="str">
        <f t="shared" si="7"/>
        <v>O23011745032024025505002</v>
      </c>
      <c r="AA106" s="131" t="str">
        <f>IFERROR(VLOOKUP(Y106,TD!$K$46:$L$64,2,0)," ")</f>
        <v>PM/0131/0105/45030020255</v>
      </c>
      <c r="AB106" s="57" t="s">
        <v>139</v>
      </c>
      <c r="AC106" s="132" t="s">
        <v>205</v>
      </c>
    </row>
    <row r="107" spans="2:29" s="28" customFormat="1" ht="57">
      <c r="B107" s="85">
        <v>20240849</v>
      </c>
      <c r="C107" s="53" t="s">
        <v>210</v>
      </c>
      <c r="D107" s="129" t="s">
        <v>168</v>
      </c>
      <c r="E107" s="54" t="s">
        <v>381</v>
      </c>
      <c r="F107" s="129" t="s">
        <v>405</v>
      </c>
      <c r="G107" s="129" t="s">
        <v>156</v>
      </c>
      <c r="H107" s="117">
        <v>80111600</v>
      </c>
      <c r="I107" s="130">
        <v>8</v>
      </c>
      <c r="J107" s="130">
        <v>6</v>
      </c>
      <c r="K107" s="56">
        <v>0</v>
      </c>
      <c r="L107" s="57">
        <v>24000000</v>
      </c>
      <c r="M107" s="129" t="s">
        <v>173</v>
      </c>
      <c r="N107" s="57" t="s">
        <v>114</v>
      </c>
      <c r="O107" s="54" t="s">
        <v>222</v>
      </c>
      <c r="P107" s="131" t="str">
        <f>IFERROR(VLOOKUP(C107,TD!$B$32:$F$36,2,0)," ")</f>
        <v>O230117</v>
      </c>
      <c r="Q107" s="131" t="str">
        <f>IFERROR(VLOOKUP(C107,TD!$B$32:$F$36,3,0)," ")</f>
        <v>4503</v>
      </c>
      <c r="R107" s="131">
        <f>IFERROR(VLOOKUP(C107,TD!$B$32:$F$36,4,0)," ")</f>
        <v>20240255</v>
      </c>
      <c r="S107" s="54" t="s">
        <v>178</v>
      </c>
      <c r="T107" s="131" t="str">
        <f>IFERROR(VLOOKUP(S107,TD!$J$33:$K$43,2,0)," ")</f>
        <v>Servicio de capacitaciones en gestión del riesgo de incendios  a la ciudadania.</v>
      </c>
      <c r="U107" s="54" t="str">
        <f t="shared" si="4"/>
        <v>05-Servicio de capacitaciones en gestión del riesgo de incendios  a la ciudadania.</v>
      </c>
      <c r="V107" s="54" t="s">
        <v>234</v>
      </c>
      <c r="W107" s="131" t="str">
        <f>IFERROR(VLOOKUP(V107,TD!$N$33:$O$45,2,0)," ")</f>
        <v>Servicio de educación informal</v>
      </c>
      <c r="X107" s="54" t="str">
        <f t="shared" si="5"/>
        <v>002_Servicio de educación informal</v>
      </c>
      <c r="Y107" s="54" t="str">
        <f t="shared" si="6"/>
        <v>05-Servicio de capacitaciones en gestión del riesgo de incendios  a la ciudadania. 002_Servicio de educación informal</v>
      </c>
      <c r="Z107" s="131" t="str">
        <f t="shared" si="7"/>
        <v>O23011745032024025505002</v>
      </c>
      <c r="AA107" s="131" t="str">
        <f>IFERROR(VLOOKUP(Y107,TD!$K$46:$L$64,2,0)," ")</f>
        <v>PM/0131/0105/45030020255</v>
      </c>
      <c r="AB107" s="57" t="s">
        <v>139</v>
      </c>
      <c r="AC107" s="132" t="s">
        <v>205</v>
      </c>
    </row>
    <row r="108" spans="2:29" s="28" customFormat="1" ht="57">
      <c r="B108" s="85">
        <v>20240850</v>
      </c>
      <c r="C108" s="53" t="s">
        <v>210</v>
      </c>
      <c r="D108" s="129" t="s">
        <v>168</v>
      </c>
      <c r="E108" s="54" t="s">
        <v>381</v>
      </c>
      <c r="F108" s="129" t="s">
        <v>406</v>
      </c>
      <c r="G108" s="129" t="s">
        <v>156</v>
      </c>
      <c r="H108" s="117">
        <v>80111600</v>
      </c>
      <c r="I108" s="130">
        <v>8</v>
      </c>
      <c r="J108" s="130">
        <v>6</v>
      </c>
      <c r="K108" s="56">
        <v>0</v>
      </c>
      <c r="L108" s="57">
        <f>28400000+4600000</f>
        <v>33000000</v>
      </c>
      <c r="M108" s="129" t="s">
        <v>173</v>
      </c>
      <c r="N108" s="57" t="s">
        <v>114</v>
      </c>
      <c r="O108" s="54" t="s">
        <v>222</v>
      </c>
      <c r="P108" s="131" t="str">
        <f>IFERROR(VLOOKUP(C108,TD!$B$32:$F$36,2,0)," ")</f>
        <v>O230117</v>
      </c>
      <c r="Q108" s="131" t="str">
        <f>IFERROR(VLOOKUP(C108,TD!$B$32:$F$36,3,0)," ")</f>
        <v>4503</v>
      </c>
      <c r="R108" s="131">
        <f>IFERROR(VLOOKUP(C108,TD!$B$32:$F$36,4,0)," ")</f>
        <v>20240255</v>
      </c>
      <c r="S108" s="54" t="s">
        <v>178</v>
      </c>
      <c r="T108" s="131" t="str">
        <f>IFERROR(VLOOKUP(S108,TD!$J$33:$K$43,2,0)," ")</f>
        <v>Servicio de capacitaciones en gestión del riesgo de incendios  a la ciudadania.</v>
      </c>
      <c r="U108" s="54" t="str">
        <f t="shared" si="4"/>
        <v>05-Servicio de capacitaciones en gestión del riesgo de incendios  a la ciudadania.</v>
      </c>
      <c r="V108" s="54" t="s">
        <v>234</v>
      </c>
      <c r="W108" s="131" t="str">
        <f>IFERROR(VLOOKUP(V108,TD!$N$33:$O$45,2,0)," ")</f>
        <v>Servicio de educación informal</v>
      </c>
      <c r="X108" s="54" t="str">
        <f t="shared" si="5"/>
        <v>002_Servicio de educación informal</v>
      </c>
      <c r="Y108" s="54" t="str">
        <f t="shared" si="6"/>
        <v>05-Servicio de capacitaciones en gestión del riesgo de incendios  a la ciudadania. 002_Servicio de educación informal</v>
      </c>
      <c r="Z108" s="131" t="str">
        <f t="shared" si="7"/>
        <v>O23011745032024025505002</v>
      </c>
      <c r="AA108" s="131" t="str">
        <f>IFERROR(VLOOKUP(Y108,TD!$K$46:$L$64,2,0)," ")</f>
        <v>PM/0131/0105/45030020255</v>
      </c>
      <c r="AB108" s="57" t="s">
        <v>139</v>
      </c>
      <c r="AC108" s="132" t="s">
        <v>205</v>
      </c>
    </row>
    <row r="109" spans="2:29" s="28" customFormat="1" ht="57">
      <c r="B109" s="85">
        <v>20240851</v>
      </c>
      <c r="C109" s="53" t="s">
        <v>210</v>
      </c>
      <c r="D109" s="129" t="s">
        <v>168</v>
      </c>
      <c r="E109" s="54" t="s">
        <v>381</v>
      </c>
      <c r="F109" s="129" t="s">
        <v>407</v>
      </c>
      <c r="G109" s="129" t="s">
        <v>156</v>
      </c>
      <c r="H109" s="117">
        <v>80111600</v>
      </c>
      <c r="I109" s="130">
        <v>8</v>
      </c>
      <c r="J109" s="130">
        <v>6</v>
      </c>
      <c r="K109" s="56">
        <v>0</v>
      </c>
      <c r="L109" s="57">
        <v>26100000</v>
      </c>
      <c r="M109" s="129" t="s">
        <v>173</v>
      </c>
      <c r="N109" s="57" t="s">
        <v>114</v>
      </c>
      <c r="O109" s="54" t="s">
        <v>222</v>
      </c>
      <c r="P109" s="131" t="str">
        <f>IFERROR(VLOOKUP(C109,TD!$B$32:$F$36,2,0)," ")</f>
        <v>O230117</v>
      </c>
      <c r="Q109" s="131" t="str">
        <f>IFERROR(VLOOKUP(C109,TD!$B$32:$F$36,3,0)," ")</f>
        <v>4503</v>
      </c>
      <c r="R109" s="131">
        <f>IFERROR(VLOOKUP(C109,TD!$B$32:$F$36,4,0)," ")</f>
        <v>20240255</v>
      </c>
      <c r="S109" s="54" t="s">
        <v>178</v>
      </c>
      <c r="T109" s="131" t="str">
        <f>IFERROR(VLOOKUP(S109,TD!$J$33:$K$43,2,0)," ")</f>
        <v>Servicio de capacitaciones en gestión del riesgo de incendios  a la ciudadania.</v>
      </c>
      <c r="U109" s="54" t="str">
        <f t="shared" si="4"/>
        <v>05-Servicio de capacitaciones en gestión del riesgo de incendios  a la ciudadania.</v>
      </c>
      <c r="V109" s="54" t="s">
        <v>234</v>
      </c>
      <c r="W109" s="131" t="str">
        <f>IFERROR(VLOOKUP(V109,TD!$N$33:$O$45,2,0)," ")</f>
        <v>Servicio de educación informal</v>
      </c>
      <c r="X109" s="54" t="str">
        <f t="shared" si="5"/>
        <v>002_Servicio de educación informal</v>
      </c>
      <c r="Y109" s="54" t="str">
        <f t="shared" si="6"/>
        <v>05-Servicio de capacitaciones en gestión del riesgo de incendios  a la ciudadania. 002_Servicio de educación informal</v>
      </c>
      <c r="Z109" s="131" t="str">
        <f t="shared" si="7"/>
        <v>O23011745032024025505002</v>
      </c>
      <c r="AA109" s="131" t="str">
        <f>IFERROR(VLOOKUP(Y109,TD!$K$46:$L$64,2,0)," ")</f>
        <v>PM/0131/0105/45030020255</v>
      </c>
      <c r="AB109" s="57" t="s">
        <v>139</v>
      </c>
      <c r="AC109" s="132" t="s">
        <v>205</v>
      </c>
    </row>
    <row r="110" spans="2:29" s="28" customFormat="1" ht="57">
      <c r="B110" s="85">
        <v>20240852</v>
      </c>
      <c r="C110" s="53" t="s">
        <v>210</v>
      </c>
      <c r="D110" s="129" t="s">
        <v>168</v>
      </c>
      <c r="E110" s="54" t="s">
        <v>381</v>
      </c>
      <c r="F110" s="129" t="s">
        <v>407</v>
      </c>
      <c r="G110" s="129" t="s">
        <v>156</v>
      </c>
      <c r="H110" s="117">
        <v>80111600</v>
      </c>
      <c r="I110" s="130">
        <v>8</v>
      </c>
      <c r="J110" s="130">
        <v>4</v>
      </c>
      <c r="K110" s="56">
        <v>0</v>
      </c>
      <c r="L110" s="57">
        <v>24000000</v>
      </c>
      <c r="M110" s="129" t="s">
        <v>173</v>
      </c>
      <c r="N110" s="57" t="s">
        <v>114</v>
      </c>
      <c r="O110" s="54" t="s">
        <v>222</v>
      </c>
      <c r="P110" s="131" t="str">
        <f>IFERROR(VLOOKUP(C110,TD!$B$32:$F$36,2,0)," ")</f>
        <v>O230117</v>
      </c>
      <c r="Q110" s="131" t="str">
        <f>IFERROR(VLOOKUP(C110,TD!$B$32:$F$36,3,0)," ")</f>
        <v>4503</v>
      </c>
      <c r="R110" s="131">
        <f>IFERROR(VLOOKUP(C110,TD!$B$32:$F$36,4,0)," ")</f>
        <v>20240255</v>
      </c>
      <c r="S110" s="54" t="s">
        <v>178</v>
      </c>
      <c r="T110" s="131" t="str">
        <f>IFERROR(VLOOKUP(S110,TD!$J$33:$K$43,2,0)," ")</f>
        <v>Servicio de capacitaciones en gestión del riesgo de incendios  a la ciudadania.</v>
      </c>
      <c r="U110" s="54" t="str">
        <f t="shared" si="4"/>
        <v>05-Servicio de capacitaciones en gestión del riesgo de incendios  a la ciudadania.</v>
      </c>
      <c r="V110" s="54" t="s">
        <v>234</v>
      </c>
      <c r="W110" s="131" t="str">
        <f>IFERROR(VLOOKUP(V110,TD!$N$33:$O$45,2,0)," ")</f>
        <v>Servicio de educación informal</v>
      </c>
      <c r="X110" s="54" t="str">
        <f t="shared" si="5"/>
        <v>002_Servicio de educación informal</v>
      </c>
      <c r="Y110" s="54" t="str">
        <f t="shared" si="6"/>
        <v>05-Servicio de capacitaciones en gestión del riesgo de incendios  a la ciudadania. 002_Servicio de educación informal</v>
      </c>
      <c r="Z110" s="131" t="str">
        <f t="shared" si="7"/>
        <v>O23011745032024025505002</v>
      </c>
      <c r="AA110" s="131" t="str">
        <f>IFERROR(VLOOKUP(Y110,TD!$K$46:$L$64,2,0)," ")</f>
        <v>PM/0131/0105/45030020255</v>
      </c>
      <c r="AB110" s="57" t="s">
        <v>139</v>
      </c>
      <c r="AC110" s="132" t="s">
        <v>205</v>
      </c>
    </row>
    <row r="111" spans="2:29" s="28" customFormat="1" ht="57">
      <c r="B111" s="85">
        <v>20240853</v>
      </c>
      <c r="C111" s="53" t="s">
        <v>210</v>
      </c>
      <c r="D111" s="129" t="s">
        <v>168</v>
      </c>
      <c r="E111" s="54" t="s">
        <v>381</v>
      </c>
      <c r="F111" s="129" t="s">
        <v>700</v>
      </c>
      <c r="G111" s="129" t="s">
        <v>156</v>
      </c>
      <c r="H111" s="117">
        <v>80111600</v>
      </c>
      <c r="I111" s="130">
        <v>8</v>
      </c>
      <c r="J111" s="130">
        <v>3</v>
      </c>
      <c r="K111" s="56">
        <v>0</v>
      </c>
      <c r="L111" s="57">
        <v>24000000</v>
      </c>
      <c r="M111" s="129" t="s">
        <v>173</v>
      </c>
      <c r="N111" s="57" t="s">
        <v>114</v>
      </c>
      <c r="O111" s="54" t="s">
        <v>222</v>
      </c>
      <c r="P111" s="131" t="str">
        <f>IFERROR(VLOOKUP(C111,TD!$B$32:$F$36,2,0)," ")</f>
        <v>O230117</v>
      </c>
      <c r="Q111" s="131" t="str">
        <f>IFERROR(VLOOKUP(C111,TD!$B$32:$F$36,3,0)," ")</f>
        <v>4503</v>
      </c>
      <c r="R111" s="131">
        <f>IFERROR(VLOOKUP(C111,TD!$B$32:$F$36,4,0)," ")</f>
        <v>20240255</v>
      </c>
      <c r="S111" s="54" t="s">
        <v>178</v>
      </c>
      <c r="T111" s="131" t="str">
        <f>IFERROR(VLOOKUP(S111,TD!$J$33:$K$43,2,0)," ")</f>
        <v>Servicio de capacitaciones en gestión del riesgo de incendios  a la ciudadania.</v>
      </c>
      <c r="U111" s="54" t="str">
        <f t="shared" si="4"/>
        <v>05-Servicio de capacitaciones en gestión del riesgo de incendios  a la ciudadania.</v>
      </c>
      <c r="V111" s="54" t="s">
        <v>234</v>
      </c>
      <c r="W111" s="131" t="str">
        <f>IFERROR(VLOOKUP(V111,TD!$N$33:$O$45,2,0)," ")</f>
        <v>Servicio de educación informal</v>
      </c>
      <c r="X111" s="54" t="str">
        <f t="shared" si="5"/>
        <v>002_Servicio de educación informal</v>
      </c>
      <c r="Y111" s="54" t="str">
        <f t="shared" si="6"/>
        <v>05-Servicio de capacitaciones en gestión del riesgo de incendios  a la ciudadania. 002_Servicio de educación informal</v>
      </c>
      <c r="Z111" s="131" t="str">
        <f t="shared" si="7"/>
        <v>O23011745032024025505002</v>
      </c>
      <c r="AA111" s="131" t="str">
        <f>IFERROR(VLOOKUP(Y111,TD!$K$46:$L$64,2,0)," ")</f>
        <v>PM/0131/0105/45030020255</v>
      </c>
      <c r="AB111" s="57" t="s">
        <v>139</v>
      </c>
      <c r="AC111" s="132" t="s">
        <v>206</v>
      </c>
    </row>
    <row r="112" spans="2:29" s="28" customFormat="1" ht="71.25">
      <c r="B112" s="85">
        <v>20240854</v>
      </c>
      <c r="C112" s="53" t="s">
        <v>210</v>
      </c>
      <c r="D112" s="129" t="s">
        <v>168</v>
      </c>
      <c r="E112" s="54" t="s">
        <v>381</v>
      </c>
      <c r="F112" s="129" t="s">
        <v>402</v>
      </c>
      <c r="G112" s="129" t="s">
        <v>157</v>
      </c>
      <c r="H112" s="117">
        <v>80111600</v>
      </c>
      <c r="I112" s="130">
        <v>8</v>
      </c>
      <c r="J112" s="130">
        <v>6</v>
      </c>
      <c r="K112" s="56">
        <v>0</v>
      </c>
      <c r="L112" s="57">
        <v>18000000</v>
      </c>
      <c r="M112" s="129" t="s">
        <v>173</v>
      </c>
      <c r="N112" s="57" t="s">
        <v>114</v>
      </c>
      <c r="O112" s="54" t="s">
        <v>222</v>
      </c>
      <c r="P112" s="131" t="str">
        <f>IFERROR(VLOOKUP(C112,TD!$B$32:$F$36,2,0)," ")</f>
        <v>O230117</v>
      </c>
      <c r="Q112" s="131" t="str">
        <f>IFERROR(VLOOKUP(C112,TD!$B$32:$F$36,3,0)," ")</f>
        <v>4503</v>
      </c>
      <c r="R112" s="131">
        <f>IFERROR(VLOOKUP(C112,TD!$B$32:$F$36,4,0)," ")</f>
        <v>20240255</v>
      </c>
      <c r="S112" s="54" t="s">
        <v>178</v>
      </c>
      <c r="T112" s="131" t="str">
        <f>IFERROR(VLOOKUP(S112,TD!$J$33:$K$43,2,0)," ")</f>
        <v>Servicio de capacitaciones en gestión del riesgo de incendios  a la ciudadania.</v>
      </c>
      <c r="U112" s="54" t="str">
        <f t="shared" si="4"/>
        <v>05-Servicio de capacitaciones en gestión del riesgo de incendios  a la ciudadania.</v>
      </c>
      <c r="V112" s="54" t="s">
        <v>234</v>
      </c>
      <c r="W112" s="131" t="str">
        <f>IFERROR(VLOOKUP(V112,TD!$N$33:$O$45,2,0)," ")</f>
        <v>Servicio de educación informal</v>
      </c>
      <c r="X112" s="54" t="str">
        <f t="shared" si="5"/>
        <v>002_Servicio de educación informal</v>
      </c>
      <c r="Y112" s="54" t="str">
        <f t="shared" si="6"/>
        <v>05-Servicio de capacitaciones en gestión del riesgo de incendios  a la ciudadania. 002_Servicio de educación informal</v>
      </c>
      <c r="Z112" s="131" t="str">
        <f t="shared" si="7"/>
        <v>O23011745032024025505002</v>
      </c>
      <c r="AA112" s="131" t="str">
        <f>IFERROR(VLOOKUP(Y112,TD!$K$46:$L$64,2,0)," ")</f>
        <v>PM/0131/0105/45030020255</v>
      </c>
      <c r="AB112" s="57" t="s">
        <v>139</v>
      </c>
      <c r="AC112" s="132" t="s">
        <v>205</v>
      </c>
    </row>
    <row r="113" spans="2:29" s="28" customFormat="1" ht="71.25">
      <c r="B113" s="85">
        <v>20240855</v>
      </c>
      <c r="C113" s="53" t="s">
        <v>210</v>
      </c>
      <c r="D113" s="129" t="s">
        <v>168</v>
      </c>
      <c r="E113" s="54" t="s">
        <v>381</v>
      </c>
      <c r="F113" s="129" t="s">
        <v>701</v>
      </c>
      <c r="G113" s="129" t="s">
        <v>156</v>
      </c>
      <c r="H113" s="117">
        <v>80111600</v>
      </c>
      <c r="I113" s="130">
        <v>10</v>
      </c>
      <c r="J113" s="130">
        <v>1</v>
      </c>
      <c r="K113" s="56">
        <v>0</v>
      </c>
      <c r="L113" s="57">
        <f>28105459-28105459</f>
        <v>0</v>
      </c>
      <c r="M113" s="129" t="s">
        <v>173</v>
      </c>
      <c r="N113" s="57" t="s">
        <v>114</v>
      </c>
      <c r="O113" s="54" t="s">
        <v>226</v>
      </c>
      <c r="P113" s="131" t="str">
        <f>IFERROR(VLOOKUP(C113,TD!$B$32:$F$36,2,0)," ")</f>
        <v>O230117</v>
      </c>
      <c r="Q113" s="131" t="str">
        <f>IFERROR(VLOOKUP(C113,TD!$B$32:$F$36,3,0)," ")</f>
        <v>4503</v>
      </c>
      <c r="R113" s="131">
        <f>IFERROR(VLOOKUP(C113,TD!$B$32:$F$36,4,0)," ")</f>
        <v>20240255</v>
      </c>
      <c r="S113" s="54" t="s">
        <v>180</v>
      </c>
      <c r="T113" s="131" t="str">
        <f>IFERROR(VLOOKUP(S113,TD!$J$33:$K$43,2,0)," ")</f>
        <v>Infraestructura Tecnológica   (Sistemas de Información y Tecnologia)</v>
      </c>
      <c r="U113" s="54" t="str">
        <f t="shared" si="4"/>
        <v>11-Infraestructura Tecnológica   (Sistemas de Información y Tecnologia)</v>
      </c>
      <c r="V113" s="54" t="s">
        <v>236</v>
      </c>
      <c r="W113" s="131" t="str">
        <f>IFERROR(VLOOKUP(V113,TD!$N$33:$O$45,2,0)," ")</f>
        <v>"Servicio de monitoreo y seguimiento para la gestión del riesgo"</v>
      </c>
      <c r="X113" s="54" t="str">
        <f t="shared" si="5"/>
        <v>018_"Servicio de monitoreo y seguimiento para la gestión del riesgo"</v>
      </c>
      <c r="Y113" s="54" t="str">
        <f t="shared" si="6"/>
        <v>11-Infraestructura Tecnológica   (Sistemas de Información y Tecnologia) 018_"Servicio de monitoreo y seguimiento para la gestión del riesgo"</v>
      </c>
      <c r="Z113" s="131" t="str">
        <f t="shared" si="7"/>
        <v>O23011745032024025511018</v>
      </c>
      <c r="AA113" s="131" t="str">
        <f>IFERROR(VLOOKUP(Y113,TD!$K$46:$L$64,2,0)," ")</f>
        <v>PM/0131/0111/45030180255</v>
      </c>
      <c r="AB113" s="57" t="s">
        <v>139</v>
      </c>
      <c r="AC113" s="132" t="s">
        <v>206</v>
      </c>
    </row>
    <row r="114" spans="2:29" s="28" customFormat="1" ht="71.25">
      <c r="B114" s="85">
        <v>20240856</v>
      </c>
      <c r="C114" s="53" t="s">
        <v>210</v>
      </c>
      <c r="D114" s="129" t="s">
        <v>168</v>
      </c>
      <c r="E114" s="54" t="s">
        <v>381</v>
      </c>
      <c r="F114" s="129" t="s">
        <v>395</v>
      </c>
      <c r="G114" s="129" t="s">
        <v>157</v>
      </c>
      <c r="H114" s="117">
        <v>80111600</v>
      </c>
      <c r="I114" s="130">
        <v>10</v>
      </c>
      <c r="J114" s="130">
        <v>1</v>
      </c>
      <c r="K114" s="56">
        <v>0</v>
      </c>
      <c r="L114" s="57">
        <f>60432792-60432792</f>
        <v>0</v>
      </c>
      <c r="M114" s="129" t="s">
        <v>173</v>
      </c>
      <c r="N114" s="57" t="s">
        <v>114</v>
      </c>
      <c r="O114" s="54" t="s">
        <v>226</v>
      </c>
      <c r="P114" s="131" t="str">
        <f>IFERROR(VLOOKUP(C114,TD!$B$32:$F$36,2,0)," ")</f>
        <v>O230117</v>
      </c>
      <c r="Q114" s="131" t="str">
        <f>IFERROR(VLOOKUP(C114,TD!$B$32:$F$36,3,0)," ")</f>
        <v>4503</v>
      </c>
      <c r="R114" s="131">
        <f>IFERROR(VLOOKUP(C114,TD!$B$32:$F$36,4,0)," ")</f>
        <v>20240255</v>
      </c>
      <c r="S114" s="54" t="s">
        <v>180</v>
      </c>
      <c r="T114" s="131" t="str">
        <f>IFERROR(VLOOKUP(S114,TD!$J$33:$K$43,2,0)," ")</f>
        <v>Infraestructura Tecnológica   (Sistemas de Información y Tecnologia)</v>
      </c>
      <c r="U114" s="54" t="str">
        <f t="shared" si="4"/>
        <v>11-Infraestructura Tecnológica   (Sistemas de Información y Tecnologia)</v>
      </c>
      <c r="V114" s="54" t="s">
        <v>236</v>
      </c>
      <c r="W114" s="131" t="str">
        <f>IFERROR(VLOOKUP(V114,TD!$N$33:$O$45,2,0)," ")</f>
        <v>"Servicio de monitoreo y seguimiento para la gestión del riesgo"</v>
      </c>
      <c r="X114" s="54" t="str">
        <f t="shared" si="5"/>
        <v>018_"Servicio de monitoreo y seguimiento para la gestión del riesgo"</v>
      </c>
      <c r="Y114" s="54" t="str">
        <f t="shared" si="6"/>
        <v>11-Infraestructura Tecnológica   (Sistemas de Información y Tecnologia) 018_"Servicio de monitoreo y seguimiento para la gestión del riesgo"</v>
      </c>
      <c r="Z114" s="131" t="str">
        <f t="shared" si="7"/>
        <v>O23011745032024025511018</v>
      </c>
      <c r="AA114" s="131" t="str">
        <f>IFERROR(VLOOKUP(Y114,TD!$K$46:$L$64,2,0)," ")</f>
        <v>PM/0131/0111/45030180255</v>
      </c>
      <c r="AB114" s="57" t="s">
        <v>139</v>
      </c>
      <c r="AC114" s="132" t="s">
        <v>205</v>
      </c>
    </row>
    <row r="115" spans="2:29" s="28" customFormat="1" ht="71.25">
      <c r="B115" s="85">
        <v>20240858</v>
      </c>
      <c r="C115" s="53" t="s">
        <v>209</v>
      </c>
      <c r="D115" s="129" t="s">
        <v>37</v>
      </c>
      <c r="E115" s="54" t="s">
        <v>408</v>
      </c>
      <c r="F115" s="129" t="s">
        <v>409</v>
      </c>
      <c r="G115" s="129" t="s">
        <v>156</v>
      </c>
      <c r="H115" s="117">
        <v>80111600</v>
      </c>
      <c r="I115" s="130">
        <v>8</v>
      </c>
      <c r="J115" s="130">
        <v>5</v>
      </c>
      <c r="K115" s="56">
        <v>0</v>
      </c>
      <c r="L115" s="57">
        <v>20000000</v>
      </c>
      <c r="M115" s="129" t="s">
        <v>173</v>
      </c>
      <c r="N115" s="57" t="s">
        <v>114</v>
      </c>
      <c r="O115" s="54" t="s">
        <v>212</v>
      </c>
      <c r="P115" s="131" t="str">
        <f>IFERROR(VLOOKUP(C115,TD!$B$32:$F$36,2,0)," ")</f>
        <v>O230117</v>
      </c>
      <c r="Q115" s="131" t="str">
        <f>IFERROR(VLOOKUP(C115,TD!$B$32:$F$36,3,0)," ")</f>
        <v>4599</v>
      </c>
      <c r="R115" s="131">
        <f>IFERROR(VLOOKUP(C115,TD!$B$32:$F$36,4,0)," ")</f>
        <v>20240207</v>
      </c>
      <c r="S115" s="54" t="s">
        <v>194</v>
      </c>
      <c r="T115" s="131" t="str">
        <f>IFERROR(VLOOKUP(S115,TD!$J$33:$K$43,2,0)," ")</f>
        <v>Servicios para la planeación y sistemas de gestión y comunicación estratégica</v>
      </c>
      <c r="U115" s="54" t="str">
        <f t="shared" si="4"/>
        <v>13-Servicios para la planeación y sistemas de gestión y comunicación estratégica</v>
      </c>
      <c r="V115" s="54" t="s">
        <v>241</v>
      </c>
      <c r="W115" s="131" t="str">
        <f>IFERROR(VLOOKUP(V115,TD!$N$33:$O$45,2,0)," ")</f>
        <v>Servicio de asistencia técnica</v>
      </c>
      <c r="X115" s="54" t="str">
        <f t="shared" si="5"/>
        <v>031_Servicio de asistencia técnica</v>
      </c>
      <c r="Y115" s="54" t="str">
        <f t="shared" si="6"/>
        <v>13-Servicios para la planeación y sistemas de gestión y comunicación estratégica 031_Servicio de asistencia técnica</v>
      </c>
      <c r="Z115" s="131" t="str">
        <f t="shared" si="7"/>
        <v>O23011745992024020713031</v>
      </c>
      <c r="AA115" s="131" t="str">
        <f>IFERROR(VLOOKUP(Y115,TD!$K$46:$L$64,2,0)," ")</f>
        <v>PM/0131/0113/45990310207</v>
      </c>
      <c r="AB115" s="57" t="s">
        <v>139</v>
      </c>
      <c r="AC115" s="132" t="s">
        <v>205</v>
      </c>
    </row>
    <row r="116" spans="2:29" s="28" customFormat="1" ht="71.25">
      <c r="B116" s="85">
        <v>20240859</v>
      </c>
      <c r="C116" s="53" t="s">
        <v>209</v>
      </c>
      <c r="D116" s="129" t="s">
        <v>37</v>
      </c>
      <c r="E116" s="54" t="s">
        <v>408</v>
      </c>
      <c r="F116" s="129" t="s">
        <v>410</v>
      </c>
      <c r="G116" s="129" t="s">
        <v>157</v>
      </c>
      <c r="H116" s="117">
        <v>80111600</v>
      </c>
      <c r="I116" s="130">
        <v>8</v>
      </c>
      <c r="J116" s="130">
        <v>5</v>
      </c>
      <c r="K116" s="56">
        <v>0</v>
      </c>
      <c r="L116" s="57">
        <f>22737120-3789520</f>
        <v>18947600</v>
      </c>
      <c r="M116" s="129" t="s">
        <v>173</v>
      </c>
      <c r="N116" s="57" t="s">
        <v>114</v>
      </c>
      <c r="O116" s="54" t="s">
        <v>212</v>
      </c>
      <c r="P116" s="131" t="str">
        <f>IFERROR(VLOOKUP(C116,TD!$B$32:$F$36,2,0)," ")</f>
        <v>O230117</v>
      </c>
      <c r="Q116" s="131" t="str">
        <f>IFERROR(VLOOKUP(C116,TD!$B$32:$F$36,3,0)," ")</f>
        <v>4599</v>
      </c>
      <c r="R116" s="131">
        <f>IFERROR(VLOOKUP(C116,TD!$B$32:$F$36,4,0)," ")</f>
        <v>20240207</v>
      </c>
      <c r="S116" s="54" t="s">
        <v>194</v>
      </c>
      <c r="T116" s="131" t="str">
        <f>IFERROR(VLOOKUP(S116,TD!$J$33:$K$43,2,0)," ")</f>
        <v>Servicios para la planeación y sistemas de gestión y comunicación estratégica</v>
      </c>
      <c r="U116" s="54" t="str">
        <f t="shared" si="4"/>
        <v>13-Servicios para la planeación y sistemas de gestión y comunicación estratégica</v>
      </c>
      <c r="V116" s="54" t="s">
        <v>241</v>
      </c>
      <c r="W116" s="131" t="str">
        <f>IFERROR(VLOOKUP(V116,TD!$N$33:$O$45,2,0)," ")</f>
        <v>Servicio de asistencia técnica</v>
      </c>
      <c r="X116" s="54" t="str">
        <f t="shared" si="5"/>
        <v>031_Servicio de asistencia técnica</v>
      </c>
      <c r="Y116" s="54" t="str">
        <f t="shared" si="6"/>
        <v>13-Servicios para la planeación y sistemas de gestión y comunicación estratégica 031_Servicio de asistencia técnica</v>
      </c>
      <c r="Z116" s="131" t="str">
        <f t="shared" si="7"/>
        <v>O23011745992024020713031</v>
      </c>
      <c r="AA116" s="131" t="str">
        <f>IFERROR(VLOOKUP(Y116,TD!$K$46:$L$64,2,0)," ")</f>
        <v>PM/0131/0113/45990310207</v>
      </c>
      <c r="AB116" s="57" t="s">
        <v>139</v>
      </c>
      <c r="AC116" s="132" t="s">
        <v>205</v>
      </c>
    </row>
    <row r="117" spans="2:29" s="28" customFormat="1" ht="85.5">
      <c r="B117" s="85">
        <v>20240860</v>
      </c>
      <c r="C117" s="53" t="s">
        <v>209</v>
      </c>
      <c r="D117" s="129" t="s">
        <v>37</v>
      </c>
      <c r="E117" s="54" t="s">
        <v>408</v>
      </c>
      <c r="F117" s="129" t="s">
        <v>411</v>
      </c>
      <c r="G117" s="129" t="s">
        <v>156</v>
      </c>
      <c r="H117" s="117">
        <v>80111600</v>
      </c>
      <c r="I117" s="130">
        <v>8</v>
      </c>
      <c r="J117" s="130">
        <v>5</v>
      </c>
      <c r="K117" s="56">
        <v>0</v>
      </c>
      <c r="L117" s="57">
        <f>51000000-8500000</f>
        <v>42500000</v>
      </c>
      <c r="M117" s="129" t="s">
        <v>173</v>
      </c>
      <c r="N117" s="57" t="s">
        <v>114</v>
      </c>
      <c r="O117" s="54" t="s">
        <v>212</v>
      </c>
      <c r="P117" s="131" t="str">
        <f>IFERROR(VLOOKUP(C117,TD!$B$32:$F$36,2,0)," ")</f>
        <v>O230117</v>
      </c>
      <c r="Q117" s="131" t="str">
        <f>IFERROR(VLOOKUP(C117,TD!$B$32:$F$36,3,0)," ")</f>
        <v>4599</v>
      </c>
      <c r="R117" s="131">
        <f>IFERROR(VLOOKUP(C117,TD!$B$32:$F$36,4,0)," ")</f>
        <v>20240207</v>
      </c>
      <c r="S117" s="54" t="s">
        <v>194</v>
      </c>
      <c r="T117" s="131" t="str">
        <f>IFERROR(VLOOKUP(S117,TD!$J$33:$K$43,2,0)," ")</f>
        <v>Servicios para la planeación y sistemas de gestión y comunicación estratégica</v>
      </c>
      <c r="U117" s="54" t="str">
        <f t="shared" si="4"/>
        <v>13-Servicios para la planeación y sistemas de gestión y comunicación estratégica</v>
      </c>
      <c r="V117" s="54" t="s">
        <v>241</v>
      </c>
      <c r="W117" s="131" t="str">
        <f>IFERROR(VLOOKUP(V117,TD!$N$33:$O$45,2,0)," ")</f>
        <v>Servicio de asistencia técnica</v>
      </c>
      <c r="X117" s="54" t="str">
        <f t="shared" si="5"/>
        <v>031_Servicio de asistencia técnica</v>
      </c>
      <c r="Y117" s="54" t="str">
        <f t="shared" si="6"/>
        <v>13-Servicios para la planeación y sistemas de gestión y comunicación estratégica 031_Servicio de asistencia técnica</v>
      </c>
      <c r="Z117" s="131" t="str">
        <f t="shared" si="7"/>
        <v>O23011745992024020713031</v>
      </c>
      <c r="AA117" s="131" t="str">
        <f>IFERROR(VLOOKUP(Y117,TD!$K$46:$L$64,2,0)," ")</f>
        <v>PM/0131/0113/45990310207</v>
      </c>
      <c r="AB117" s="57" t="s">
        <v>139</v>
      </c>
      <c r="AC117" s="132" t="s">
        <v>205</v>
      </c>
    </row>
    <row r="118" spans="2:29" s="28" customFormat="1" ht="71.25">
      <c r="B118" s="85">
        <v>20240861</v>
      </c>
      <c r="C118" s="53" t="s">
        <v>209</v>
      </c>
      <c r="D118" s="129" t="s">
        <v>37</v>
      </c>
      <c r="E118" s="54" t="s">
        <v>408</v>
      </c>
      <c r="F118" s="129" t="s">
        <v>412</v>
      </c>
      <c r="G118" s="129" t="s">
        <v>156</v>
      </c>
      <c r="H118" s="117">
        <v>80111600</v>
      </c>
      <c r="I118" s="130">
        <v>8</v>
      </c>
      <c r="J118" s="130">
        <v>5</v>
      </c>
      <c r="K118" s="56">
        <v>0</v>
      </c>
      <c r="L118" s="57">
        <f>39000000-6500000</f>
        <v>32500000</v>
      </c>
      <c r="M118" s="129" t="s">
        <v>173</v>
      </c>
      <c r="N118" s="57" t="s">
        <v>114</v>
      </c>
      <c r="O118" s="54" t="s">
        <v>212</v>
      </c>
      <c r="P118" s="131" t="str">
        <f>IFERROR(VLOOKUP(C118,TD!$B$32:$F$36,2,0)," ")</f>
        <v>O230117</v>
      </c>
      <c r="Q118" s="131" t="str">
        <f>IFERROR(VLOOKUP(C118,TD!$B$32:$F$36,3,0)," ")</f>
        <v>4599</v>
      </c>
      <c r="R118" s="131">
        <f>IFERROR(VLOOKUP(C118,TD!$B$32:$F$36,4,0)," ")</f>
        <v>20240207</v>
      </c>
      <c r="S118" s="54" t="s">
        <v>194</v>
      </c>
      <c r="T118" s="131" t="str">
        <f>IFERROR(VLOOKUP(S118,TD!$J$33:$K$43,2,0)," ")</f>
        <v>Servicios para la planeación y sistemas de gestión y comunicación estratégica</v>
      </c>
      <c r="U118" s="54" t="str">
        <f t="shared" si="4"/>
        <v>13-Servicios para la planeación y sistemas de gestión y comunicación estratégica</v>
      </c>
      <c r="V118" s="54" t="s">
        <v>241</v>
      </c>
      <c r="W118" s="131" t="str">
        <f>IFERROR(VLOOKUP(V118,TD!$N$33:$O$45,2,0)," ")</f>
        <v>Servicio de asistencia técnica</v>
      </c>
      <c r="X118" s="54" t="str">
        <f t="shared" si="5"/>
        <v>031_Servicio de asistencia técnica</v>
      </c>
      <c r="Y118" s="54" t="str">
        <f t="shared" si="6"/>
        <v>13-Servicios para la planeación y sistemas de gestión y comunicación estratégica 031_Servicio de asistencia técnica</v>
      </c>
      <c r="Z118" s="131" t="str">
        <f t="shared" si="7"/>
        <v>O23011745992024020713031</v>
      </c>
      <c r="AA118" s="131" t="str">
        <f>IFERROR(VLOOKUP(Y118,TD!$K$46:$L$64,2,0)," ")</f>
        <v>PM/0131/0113/45990310207</v>
      </c>
      <c r="AB118" s="57" t="s">
        <v>139</v>
      </c>
      <c r="AC118" s="132" t="s">
        <v>205</v>
      </c>
    </row>
    <row r="119" spans="2:29" s="28" customFormat="1" ht="99.75">
      <c r="B119" s="85">
        <v>20240862</v>
      </c>
      <c r="C119" s="53" t="s">
        <v>209</v>
      </c>
      <c r="D119" s="129" t="s">
        <v>37</v>
      </c>
      <c r="E119" s="54" t="s">
        <v>408</v>
      </c>
      <c r="F119" s="129" t="s">
        <v>693</v>
      </c>
      <c r="G119" s="129" t="s">
        <v>156</v>
      </c>
      <c r="H119" s="117">
        <v>80111600</v>
      </c>
      <c r="I119" s="130">
        <v>8</v>
      </c>
      <c r="J119" s="130">
        <v>5</v>
      </c>
      <c r="K119" s="56">
        <v>0</v>
      </c>
      <c r="L119" s="57">
        <f>42000000-7000000</f>
        <v>35000000</v>
      </c>
      <c r="M119" s="129" t="s">
        <v>173</v>
      </c>
      <c r="N119" s="57" t="s">
        <v>114</v>
      </c>
      <c r="O119" s="54" t="s">
        <v>212</v>
      </c>
      <c r="P119" s="131" t="str">
        <f>IFERROR(VLOOKUP(C119,TD!$B$32:$F$36,2,0)," ")</f>
        <v>O230117</v>
      </c>
      <c r="Q119" s="131" t="str">
        <f>IFERROR(VLOOKUP(C119,TD!$B$32:$F$36,3,0)," ")</f>
        <v>4599</v>
      </c>
      <c r="R119" s="131">
        <f>IFERROR(VLOOKUP(C119,TD!$B$32:$F$36,4,0)," ")</f>
        <v>20240207</v>
      </c>
      <c r="S119" s="54" t="s">
        <v>194</v>
      </c>
      <c r="T119" s="131" t="str">
        <f>IFERROR(VLOOKUP(S119,TD!$J$33:$K$43,2,0)," ")</f>
        <v>Servicios para la planeación y sistemas de gestión y comunicación estratégica</v>
      </c>
      <c r="U119" s="54" t="str">
        <f t="shared" si="4"/>
        <v>13-Servicios para la planeación y sistemas de gestión y comunicación estratégica</v>
      </c>
      <c r="V119" s="54" t="s">
        <v>241</v>
      </c>
      <c r="W119" s="131" t="str">
        <f>IFERROR(VLOOKUP(V119,TD!$N$33:$O$45,2,0)," ")</f>
        <v>Servicio de asistencia técnica</v>
      </c>
      <c r="X119" s="54" t="str">
        <f t="shared" si="5"/>
        <v>031_Servicio de asistencia técnica</v>
      </c>
      <c r="Y119" s="54" t="str">
        <f t="shared" si="6"/>
        <v>13-Servicios para la planeación y sistemas de gestión y comunicación estratégica 031_Servicio de asistencia técnica</v>
      </c>
      <c r="Z119" s="131" t="str">
        <f t="shared" si="7"/>
        <v>O23011745992024020713031</v>
      </c>
      <c r="AA119" s="131" t="str">
        <f>IFERROR(VLOOKUP(Y119,TD!$K$46:$L$64,2,0)," ")</f>
        <v>PM/0131/0113/45990310207</v>
      </c>
      <c r="AB119" s="57" t="s">
        <v>139</v>
      </c>
      <c r="AC119" s="132" t="s">
        <v>205</v>
      </c>
    </row>
    <row r="120" spans="2:29" s="28" customFormat="1" ht="99.75">
      <c r="B120" s="85">
        <v>20240863</v>
      </c>
      <c r="C120" s="53" t="s">
        <v>209</v>
      </c>
      <c r="D120" s="129" t="s">
        <v>37</v>
      </c>
      <c r="E120" s="54" t="s">
        <v>408</v>
      </c>
      <c r="F120" s="129" t="s">
        <v>413</v>
      </c>
      <c r="G120" s="129" t="s">
        <v>156</v>
      </c>
      <c r="H120" s="117">
        <v>80111600</v>
      </c>
      <c r="I120" s="130">
        <v>8</v>
      </c>
      <c r="J120" s="130">
        <v>5</v>
      </c>
      <c r="K120" s="56">
        <v>0</v>
      </c>
      <c r="L120" s="57">
        <f>42000000-7000000</f>
        <v>35000000</v>
      </c>
      <c r="M120" s="129" t="s">
        <v>173</v>
      </c>
      <c r="N120" s="57" t="s">
        <v>114</v>
      </c>
      <c r="O120" s="54" t="s">
        <v>213</v>
      </c>
      <c r="P120" s="131" t="str">
        <f>IFERROR(VLOOKUP(C120,TD!$B$32:$F$36,2,0)," ")</f>
        <v>O230117</v>
      </c>
      <c r="Q120" s="131" t="str">
        <f>IFERROR(VLOOKUP(C120,TD!$B$32:$F$36,3,0)," ")</f>
        <v>4599</v>
      </c>
      <c r="R120" s="131">
        <f>IFERROR(VLOOKUP(C120,TD!$B$32:$F$36,4,0)," ")</f>
        <v>20240207</v>
      </c>
      <c r="S120" s="54" t="s">
        <v>194</v>
      </c>
      <c r="T120" s="131" t="str">
        <f>IFERROR(VLOOKUP(S120,TD!$J$33:$K$43,2,0)," ")</f>
        <v>Servicios para la planeación y sistemas de gestión y comunicación estratégica</v>
      </c>
      <c r="U120" s="54" t="str">
        <f t="shared" si="4"/>
        <v>13-Servicios para la planeación y sistemas de gestión y comunicación estratégica</v>
      </c>
      <c r="V120" s="54" t="s">
        <v>242</v>
      </c>
      <c r="W120" s="131" t="str">
        <f>IFERROR(VLOOKUP(V120,TD!$N$33:$O$45,2,0)," ")</f>
        <v>Servicio de Implementación Sistemas de Gestión</v>
      </c>
      <c r="X120" s="54" t="str">
        <f t="shared" si="5"/>
        <v>023_Servicio de Implementación Sistemas de Gestión</v>
      </c>
      <c r="Y120" s="54" t="str">
        <f t="shared" si="6"/>
        <v>13-Servicios para la planeación y sistemas de gestión y comunicación estratégica 023_Servicio de Implementación Sistemas de Gestión</v>
      </c>
      <c r="Z120" s="131" t="str">
        <f t="shared" si="7"/>
        <v>O23011745992024020713023</v>
      </c>
      <c r="AA120" s="131" t="str">
        <f>IFERROR(VLOOKUP(Y120,TD!$K$46:$L$64,2,0)," ")</f>
        <v>PM/0131/0113/45990230207</v>
      </c>
      <c r="AB120" s="57" t="s">
        <v>139</v>
      </c>
      <c r="AC120" s="132" t="s">
        <v>205</v>
      </c>
    </row>
    <row r="121" spans="2:29" s="28" customFormat="1" ht="99.75">
      <c r="B121" s="85">
        <v>20240864</v>
      </c>
      <c r="C121" s="53" t="s">
        <v>209</v>
      </c>
      <c r="D121" s="129" t="s">
        <v>37</v>
      </c>
      <c r="E121" s="54" t="s">
        <v>408</v>
      </c>
      <c r="F121" s="129" t="s">
        <v>694</v>
      </c>
      <c r="G121" s="129" t="s">
        <v>156</v>
      </c>
      <c r="H121" s="117">
        <v>80111600</v>
      </c>
      <c r="I121" s="130">
        <v>8</v>
      </c>
      <c r="J121" s="130">
        <v>5</v>
      </c>
      <c r="K121" s="56">
        <v>0</v>
      </c>
      <c r="L121" s="57">
        <f>40800000-6800000</f>
        <v>34000000</v>
      </c>
      <c r="M121" s="129" t="s">
        <v>173</v>
      </c>
      <c r="N121" s="57" t="s">
        <v>114</v>
      </c>
      <c r="O121" s="54" t="s">
        <v>212</v>
      </c>
      <c r="P121" s="131" t="str">
        <f>IFERROR(VLOOKUP(C121,TD!$B$32:$F$36,2,0)," ")</f>
        <v>O230117</v>
      </c>
      <c r="Q121" s="131" t="str">
        <f>IFERROR(VLOOKUP(C121,TD!$B$32:$F$36,3,0)," ")</f>
        <v>4599</v>
      </c>
      <c r="R121" s="131">
        <f>IFERROR(VLOOKUP(C121,TD!$B$32:$F$36,4,0)," ")</f>
        <v>20240207</v>
      </c>
      <c r="S121" s="54" t="s">
        <v>194</v>
      </c>
      <c r="T121" s="131" t="str">
        <f>IFERROR(VLOOKUP(S121,TD!$J$33:$K$43,2,0)," ")</f>
        <v>Servicios para la planeación y sistemas de gestión y comunicación estratégica</v>
      </c>
      <c r="U121" s="54" t="str">
        <f t="shared" si="4"/>
        <v>13-Servicios para la planeación y sistemas de gestión y comunicación estratégica</v>
      </c>
      <c r="V121" s="54" t="s">
        <v>241</v>
      </c>
      <c r="W121" s="131" t="str">
        <f>IFERROR(VLOOKUP(V121,TD!$N$33:$O$45,2,0)," ")</f>
        <v>Servicio de asistencia técnica</v>
      </c>
      <c r="X121" s="54" t="str">
        <f t="shared" si="5"/>
        <v>031_Servicio de asistencia técnica</v>
      </c>
      <c r="Y121" s="54" t="str">
        <f t="shared" si="6"/>
        <v>13-Servicios para la planeación y sistemas de gestión y comunicación estratégica 031_Servicio de asistencia técnica</v>
      </c>
      <c r="Z121" s="131" t="str">
        <f t="shared" si="7"/>
        <v>O23011745992024020713031</v>
      </c>
      <c r="AA121" s="131" t="str">
        <f>IFERROR(VLOOKUP(Y121,TD!$K$46:$L$64,2,0)," ")</f>
        <v>PM/0131/0113/45990310207</v>
      </c>
      <c r="AB121" s="57" t="s">
        <v>139</v>
      </c>
      <c r="AC121" s="132" t="s">
        <v>205</v>
      </c>
    </row>
    <row r="122" spans="2:29" s="28" customFormat="1" ht="57">
      <c r="B122" s="85">
        <v>20240865</v>
      </c>
      <c r="C122" s="53" t="s">
        <v>209</v>
      </c>
      <c r="D122" s="129" t="s">
        <v>37</v>
      </c>
      <c r="E122" s="54" t="s">
        <v>408</v>
      </c>
      <c r="F122" s="129" t="s">
        <v>414</v>
      </c>
      <c r="G122" s="129" t="s">
        <v>156</v>
      </c>
      <c r="H122" s="117">
        <v>80111600</v>
      </c>
      <c r="I122" s="130">
        <v>9</v>
      </c>
      <c r="J122" s="130">
        <v>4</v>
      </c>
      <c r="K122" s="56">
        <v>0</v>
      </c>
      <c r="L122" s="57">
        <v>32000000</v>
      </c>
      <c r="M122" s="129" t="s">
        <v>173</v>
      </c>
      <c r="N122" s="57" t="s">
        <v>114</v>
      </c>
      <c r="O122" s="54" t="s">
        <v>212</v>
      </c>
      <c r="P122" s="131" t="str">
        <f>IFERROR(VLOOKUP(C122,TD!$B$32:$F$36,2,0)," ")</f>
        <v>O230117</v>
      </c>
      <c r="Q122" s="131" t="str">
        <f>IFERROR(VLOOKUP(C122,TD!$B$32:$F$36,3,0)," ")</f>
        <v>4599</v>
      </c>
      <c r="R122" s="131">
        <f>IFERROR(VLOOKUP(C122,TD!$B$32:$F$36,4,0)," ")</f>
        <v>20240207</v>
      </c>
      <c r="S122" s="54" t="s">
        <v>194</v>
      </c>
      <c r="T122" s="131" t="str">
        <f>IFERROR(VLOOKUP(S122,TD!$J$33:$K$43,2,0)," ")</f>
        <v>Servicios para la planeación y sistemas de gestión y comunicación estratégica</v>
      </c>
      <c r="U122" s="54" t="str">
        <f t="shared" si="4"/>
        <v>13-Servicios para la planeación y sistemas de gestión y comunicación estratégica</v>
      </c>
      <c r="V122" s="54" t="s">
        <v>241</v>
      </c>
      <c r="W122" s="131" t="str">
        <f>IFERROR(VLOOKUP(V122,TD!$N$33:$O$45,2,0)," ")</f>
        <v>Servicio de asistencia técnica</v>
      </c>
      <c r="X122" s="54" t="str">
        <f t="shared" si="5"/>
        <v>031_Servicio de asistencia técnica</v>
      </c>
      <c r="Y122" s="54" t="str">
        <f t="shared" si="6"/>
        <v>13-Servicios para la planeación y sistemas de gestión y comunicación estratégica 031_Servicio de asistencia técnica</v>
      </c>
      <c r="Z122" s="131" t="str">
        <f t="shared" si="7"/>
        <v>O23011745992024020713031</v>
      </c>
      <c r="AA122" s="131" t="str">
        <f>IFERROR(VLOOKUP(Y122,TD!$K$46:$L$64,2,0)," ")</f>
        <v>PM/0131/0113/45990310207</v>
      </c>
      <c r="AB122" s="57" t="s">
        <v>139</v>
      </c>
      <c r="AC122" s="132" t="s">
        <v>205</v>
      </c>
    </row>
    <row r="123" spans="2:29" s="28" customFormat="1" ht="71.25">
      <c r="B123" s="85">
        <v>20240866</v>
      </c>
      <c r="C123" s="53" t="s">
        <v>209</v>
      </c>
      <c r="D123" s="129" t="s">
        <v>37</v>
      </c>
      <c r="E123" s="54" t="s">
        <v>408</v>
      </c>
      <c r="F123" s="129" t="s">
        <v>415</v>
      </c>
      <c r="G123" s="129" t="s">
        <v>157</v>
      </c>
      <c r="H123" s="117">
        <v>80111600</v>
      </c>
      <c r="I123" s="130">
        <v>12</v>
      </c>
      <c r="J123" s="130">
        <v>1</v>
      </c>
      <c r="K123" s="56">
        <v>15</v>
      </c>
      <c r="L123" s="57">
        <f>11367000-5683500</f>
        <v>5683500</v>
      </c>
      <c r="M123" s="129" t="s">
        <v>173</v>
      </c>
      <c r="N123" s="57" t="s">
        <v>114</v>
      </c>
      <c r="O123" s="54" t="s">
        <v>212</v>
      </c>
      <c r="P123" s="131" t="str">
        <f>IFERROR(VLOOKUP(C123,TD!$B$32:$F$36,2,0)," ")</f>
        <v>O230117</v>
      </c>
      <c r="Q123" s="131" t="str">
        <f>IFERROR(VLOOKUP(C123,TD!$B$32:$F$36,3,0)," ")</f>
        <v>4599</v>
      </c>
      <c r="R123" s="131">
        <f>IFERROR(VLOOKUP(C123,TD!$B$32:$F$36,4,0)," ")</f>
        <v>20240207</v>
      </c>
      <c r="S123" s="54" t="s">
        <v>194</v>
      </c>
      <c r="T123" s="131" t="str">
        <f>IFERROR(VLOOKUP(S123,TD!$J$33:$K$43,2,0)," ")</f>
        <v>Servicios para la planeación y sistemas de gestión y comunicación estratégica</v>
      </c>
      <c r="U123" s="54" t="str">
        <f t="shared" si="4"/>
        <v>13-Servicios para la planeación y sistemas de gestión y comunicación estratégica</v>
      </c>
      <c r="V123" s="54" t="s">
        <v>241</v>
      </c>
      <c r="W123" s="131" t="str">
        <f>IFERROR(VLOOKUP(V123,TD!$N$33:$O$45,2,0)," ")</f>
        <v>Servicio de asistencia técnica</v>
      </c>
      <c r="X123" s="54" t="str">
        <f t="shared" si="5"/>
        <v>031_Servicio de asistencia técnica</v>
      </c>
      <c r="Y123" s="54" t="str">
        <f t="shared" si="6"/>
        <v>13-Servicios para la planeación y sistemas de gestión y comunicación estratégica 031_Servicio de asistencia técnica</v>
      </c>
      <c r="Z123" s="131" t="str">
        <f t="shared" si="7"/>
        <v>O23011745992024020713031</v>
      </c>
      <c r="AA123" s="131" t="str">
        <f>IFERROR(VLOOKUP(Y123,TD!$K$46:$L$64,2,0)," ")</f>
        <v>PM/0131/0113/45990310207</v>
      </c>
      <c r="AB123" s="57" t="s">
        <v>139</v>
      </c>
      <c r="AC123" s="132" t="s">
        <v>206</v>
      </c>
    </row>
    <row r="124" spans="2:29" s="28" customFormat="1" ht="99.75">
      <c r="B124" s="85">
        <v>20240867</v>
      </c>
      <c r="C124" s="53" t="s">
        <v>209</v>
      </c>
      <c r="D124" s="129" t="s">
        <v>37</v>
      </c>
      <c r="E124" s="54" t="s">
        <v>408</v>
      </c>
      <c r="F124" s="129" t="s">
        <v>416</v>
      </c>
      <c r="G124" s="129" t="s">
        <v>156</v>
      </c>
      <c r="H124" s="117">
        <v>80111600</v>
      </c>
      <c r="I124" s="130">
        <v>9</v>
      </c>
      <c r="J124" s="130">
        <v>4</v>
      </c>
      <c r="K124" s="56">
        <v>15</v>
      </c>
      <c r="L124" s="57">
        <f>42500000-6500000</f>
        <v>36000000</v>
      </c>
      <c r="M124" s="129" t="s">
        <v>173</v>
      </c>
      <c r="N124" s="57" t="s">
        <v>114</v>
      </c>
      <c r="O124" s="54" t="s">
        <v>213</v>
      </c>
      <c r="P124" s="131" t="str">
        <f>IFERROR(VLOOKUP(C124,TD!$B$32:$F$36,2,0)," ")</f>
        <v>O230117</v>
      </c>
      <c r="Q124" s="131" t="str">
        <f>IFERROR(VLOOKUP(C124,TD!$B$32:$F$36,3,0)," ")</f>
        <v>4599</v>
      </c>
      <c r="R124" s="131">
        <f>IFERROR(VLOOKUP(C124,TD!$B$32:$F$36,4,0)," ")</f>
        <v>20240207</v>
      </c>
      <c r="S124" s="54" t="s">
        <v>194</v>
      </c>
      <c r="T124" s="131" t="str">
        <f>IFERROR(VLOOKUP(S124,TD!$J$33:$K$43,2,0)," ")</f>
        <v>Servicios para la planeación y sistemas de gestión y comunicación estratégica</v>
      </c>
      <c r="U124" s="54" t="str">
        <f t="shared" si="4"/>
        <v>13-Servicios para la planeación y sistemas de gestión y comunicación estratégica</v>
      </c>
      <c r="V124" s="54" t="s">
        <v>242</v>
      </c>
      <c r="W124" s="131" t="str">
        <f>IFERROR(VLOOKUP(V124,TD!$N$33:$O$45,2,0)," ")</f>
        <v>Servicio de Implementación Sistemas de Gestión</v>
      </c>
      <c r="X124" s="54" t="str">
        <f t="shared" si="5"/>
        <v>023_Servicio de Implementación Sistemas de Gestión</v>
      </c>
      <c r="Y124" s="54" t="str">
        <f t="shared" si="6"/>
        <v>13-Servicios para la planeación y sistemas de gestión y comunicación estratégica 023_Servicio de Implementación Sistemas de Gestión</v>
      </c>
      <c r="Z124" s="131" t="str">
        <f t="shared" si="7"/>
        <v>O23011745992024020713023</v>
      </c>
      <c r="AA124" s="131" t="str">
        <f>IFERROR(VLOOKUP(Y124,TD!$K$46:$L$64,2,0)," ")</f>
        <v>PM/0131/0113/45990230207</v>
      </c>
      <c r="AB124" s="57" t="s">
        <v>139</v>
      </c>
      <c r="AC124" s="132" t="s">
        <v>205</v>
      </c>
    </row>
    <row r="125" spans="2:29" s="28" customFormat="1" ht="85.5">
      <c r="B125" s="85">
        <v>20240868</v>
      </c>
      <c r="C125" s="53" t="s">
        <v>209</v>
      </c>
      <c r="D125" s="129" t="s">
        <v>37</v>
      </c>
      <c r="E125" s="54" t="s">
        <v>408</v>
      </c>
      <c r="F125" s="129" t="s">
        <v>417</v>
      </c>
      <c r="G125" s="129" t="s">
        <v>156</v>
      </c>
      <c r="H125" s="117">
        <v>80111600</v>
      </c>
      <c r="I125" s="130">
        <v>8</v>
      </c>
      <c r="J125" s="130">
        <v>5</v>
      </c>
      <c r="K125" s="56">
        <v>0</v>
      </c>
      <c r="L125" s="57">
        <f>42000000-7000000</f>
        <v>35000000</v>
      </c>
      <c r="M125" s="129" t="s">
        <v>173</v>
      </c>
      <c r="N125" s="57" t="s">
        <v>114</v>
      </c>
      <c r="O125" s="54" t="s">
        <v>212</v>
      </c>
      <c r="P125" s="131" t="str">
        <f>IFERROR(VLOOKUP(C125,TD!$B$32:$F$36,2,0)," ")</f>
        <v>O230117</v>
      </c>
      <c r="Q125" s="131" t="str">
        <f>IFERROR(VLOOKUP(C125,TD!$B$32:$F$36,3,0)," ")</f>
        <v>4599</v>
      </c>
      <c r="R125" s="131">
        <f>IFERROR(VLOOKUP(C125,TD!$B$32:$F$36,4,0)," ")</f>
        <v>20240207</v>
      </c>
      <c r="S125" s="54" t="s">
        <v>194</v>
      </c>
      <c r="T125" s="131" t="str">
        <f>IFERROR(VLOOKUP(S125,TD!$J$33:$K$43,2,0)," ")</f>
        <v>Servicios para la planeación y sistemas de gestión y comunicación estratégica</v>
      </c>
      <c r="U125" s="54" t="str">
        <f t="shared" si="4"/>
        <v>13-Servicios para la planeación y sistemas de gestión y comunicación estratégica</v>
      </c>
      <c r="V125" s="54" t="s">
        <v>241</v>
      </c>
      <c r="W125" s="131" t="str">
        <f>IFERROR(VLOOKUP(V125,TD!$N$33:$O$45,2,0)," ")</f>
        <v>Servicio de asistencia técnica</v>
      </c>
      <c r="X125" s="54" t="str">
        <f t="shared" si="5"/>
        <v>031_Servicio de asistencia técnica</v>
      </c>
      <c r="Y125" s="54" t="str">
        <f t="shared" si="6"/>
        <v>13-Servicios para la planeación y sistemas de gestión y comunicación estratégica 031_Servicio de asistencia técnica</v>
      </c>
      <c r="Z125" s="131" t="str">
        <f t="shared" si="7"/>
        <v>O23011745992024020713031</v>
      </c>
      <c r="AA125" s="131" t="str">
        <f>IFERROR(VLOOKUP(Y125,TD!$K$46:$L$64,2,0)," ")</f>
        <v>PM/0131/0113/45990310207</v>
      </c>
      <c r="AB125" s="57" t="s">
        <v>139</v>
      </c>
      <c r="AC125" s="132" t="s">
        <v>205</v>
      </c>
    </row>
    <row r="126" spans="2:29" s="28" customFormat="1" ht="71.25">
      <c r="B126" s="85">
        <v>20240870</v>
      </c>
      <c r="C126" s="53" t="s">
        <v>209</v>
      </c>
      <c r="D126" s="129" t="s">
        <v>37</v>
      </c>
      <c r="E126" s="54" t="s">
        <v>408</v>
      </c>
      <c r="F126" s="129" t="s">
        <v>418</v>
      </c>
      <c r="G126" s="129" t="s">
        <v>156</v>
      </c>
      <c r="H126" s="117">
        <v>80111600</v>
      </c>
      <c r="I126" s="130">
        <v>8</v>
      </c>
      <c r="J126" s="130">
        <v>5</v>
      </c>
      <c r="K126" s="56">
        <v>0</v>
      </c>
      <c r="L126" s="57">
        <v>35000000</v>
      </c>
      <c r="M126" s="129" t="s">
        <v>173</v>
      </c>
      <c r="N126" s="57" t="s">
        <v>114</v>
      </c>
      <c r="O126" s="54" t="s">
        <v>212</v>
      </c>
      <c r="P126" s="131" t="str">
        <f>IFERROR(VLOOKUP(C126,TD!$B$32:$F$36,2,0)," ")</f>
        <v>O230117</v>
      </c>
      <c r="Q126" s="131" t="str">
        <f>IFERROR(VLOOKUP(C126,TD!$B$32:$F$36,3,0)," ")</f>
        <v>4599</v>
      </c>
      <c r="R126" s="131">
        <f>IFERROR(VLOOKUP(C126,TD!$B$32:$F$36,4,0)," ")</f>
        <v>20240207</v>
      </c>
      <c r="S126" s="54" t="s">
        <v>194</v>
      </c>
      <c r="T126" s="131" t="str">
        <f>IFERROR(VLOOKUP(S126,TD!$J$33:$K$43,2,0)," ")</f>
        <v>Servicios para la planeación y sistemas de gestión y comunicación estratégica</v>
      </c>
      <c r="U126" s="54" t="str">
        <f t="shared" si="4"/>
        <v>13-Servicios para la planeación y sistemas de gestión y comunicación estratégica</v>
      </c>
      <c r="V126" s="54" t="s">
        <v>241</v>
      </c>
      <c r="W126" s="131" t="str">
        <f>IFERROR(VLOOKUP(V126,TD!$N$33:$O$45,2,0)," ")</f>
        <v>Servicio de asistencia técnica</v>
      </c>
      <c r="X126" s="54" t="str">
        <f t="shared" si="5"/>
        <v>031_Servicio de asistencia técnica</v>
      </c>
      <c r="Y126" s="54" t="str">
        <f t="shared" si="6"/>
        <v>13-Servicios para la planeación y sistemas de gestión y comunicación estratégica 031_Servicio de asistencia técnica</v>
      </c>
      <c r="Z126" s="131" t="str">
        <f t="shared" si="7"/>
        <v>O23011745992024020713031</v>
      </c>
      <c r="AA126" s="131" t="str">
        <f>IFERROR(VLOOKUP(Y126,TD!$K$46:$L$64,2,0)," ")</f>
        <v>PM/0131/0113/45990310207</v>
      </c>
      <c r="AB126" s="57" t="s">
        <v>139</v>
      </c>
      <c r="AC126" s="132" t="s">
        <v>205</v>
      </c>
    </row>
    <row r="127" spans="2:29" s="28" customFormat="1" ht="57">
      <c r="B127" s="85">
        <v>20240871</v>
      </c>
      <c r="C127" s="53" t="s">
        <v>209</v>
      </c>
      <c r="D127" s="129" t="s">
        <v>37</v>
      </c>
      <c r="E127" s="54" t="s">
        <v>408</v>
      </c>
      <c r="F127" s="129" t="s">
        <v>419</v>
      </c>
      <c r="G127" s="129" t="s">
        <v>156</v>
      </c>
      <c r="H127" s="117">
        <v>80111600</v>
      </c>
      <c r="I127" s="130">
        <v>9</v>
      </c>
      <c r="J127" s="130">
        <v>5</v>
      </c>
      <c r="K127" s="56">
        <v>0</v>
      </c>
      <c r="L127" s="57">
        <f>21141844+8205116-1846960</f>
        <v>27500000</v>
      </c>
      <c r="M127" s="129" t="s">
        <v>173</v>
      </c>
      <c r="N127" s="57" t="s">
        <v>114</v>
      </c>
      <c r="O127" s="54" t="s">
        <v>214</v>
      </c>
      <c r="P127" s="131" t="str">
        <f>IFERROR(VLOOKUP(C127,TD!$B$32:$F$36,2,0)," ")</f>
        <v>O230117</v>
      </c>
      <c r="Q127" s="131" t="str">
        <f>IFERROR(VLOOKUP(C127,TD!$B$32:$F$36,3,0)," ")</f>
        <v>4599</v>
      </c>
      <c r="R127" s="131">
        <f>IFERROR(VLOOKUP(C127,TD!$B$32:$F$36,4,0)," ")</f>
        <v>20240207</v>
      </c>
      <c r="S127" s="54" t="s">
        <v>194</v>
      </c>
      <c r="T127" s="131" t="str">
        <f>IFERROR(VLOOKUP(S127,TD!$J$33:$K$43,2,0)," ")</f>
        <v>Servicios para la planeación y sistemas de gestión y comunicación estratégica</v>
      </c>
      <c r="U127" s="54" t="str">
        <f t="shared" si="4"/>
        <v>13-Servicios para la planeación y sistemas de gestión y comunicación estratégica</v>
      </c>
      <c r="V127" s="54" t="s">
        <v>242</v>
      </c>
      <c r="W127" s="131" t="str">
        <f>IFERROR(VLOOKUP(V127,TD!$N$33:$O$45,2,0)," ")</f>
        <v>Servicio de Implementación Sistemas de Gestión</v>
      </c>
      <c r="X127" s="54" t="str">
        <f t="shared" si="5"/>
        <v>023_Servicio de Implementación Sistemas de Gestión</v>
      </c>
      <c r="Y127" s="54" t="str">
        <f t="shared" si="6"/>
        <v>13-Servicios para la planeación y sistemas de gestión y comunicación estratégica 023_Servicio de Implementación Sistemas de Gestión</v>
      </c>
      <c r="Z127" s="131" t="str">
        <f t="shared" si="7"/>
        <v>O23011745992024020713023</v>
      </c>
      <c r="AA127" s="131" t="str">
        <f>IFERROR(VLOOKUP(Y127,TD!$K$46:$L$64,2,0)," ")</f>
        <v>PM/0131/0113/45990230207</v>
      </c>
      <c r="AB127" s="57" t="s">
        <v>139</v>
      </c>
      <c r="AC127" s="132" t="s">
        <v>205</v>
      </c>
    </row>
    <row r="128" spans="2:29" s="28" customFormat="1" ht="57">
      <c r="B128" s="85">
        <v>20240872</v>
      </c>
      <c r="C128" s="53" t="s">
        <v>209</v>
      </c>
      <c r="D128" s="129" t="s">
        <v>37</v>
      </c>
      <c r="E128" s="54" t="s">
        <v>408</v>
      </c>
      <c r="F128" s="129" t="s">
        <v>420</v>
      </c>
      <c r="G128" s="129" t="s">
        <v>156</v>
      </c>
      <c r="H128" s="117">
        <v>80111600</v>
      </c>
      <c r="I128" s="130">
        <v>9</v>
      </c>
      <c r="J128" s="130">
        <v>5</v>
      </c>
      <c r="K128" s="56">
        <v>0</v>
      </c>
      <c r="L128" s="57">
        <v>35000000</v>
      </c>
      <c r="M128" s="129" t="s">
        <v>173</v>
      </c>
      <c r="N128" s="57" t="s">
        <v>114</v>
      </c>
      <c r="O128" s="54" t="s">
        <v>214</v>
      </c>
      <c r="P128" s="131" t="str">
        <f>IFERROR(VLOOKUP(C128,TD!$B$32:$F$36,2,0)," ")</f>
        <v>O230117</v>
      </c>
      <c r="Q128" s="131" t="str">
        <f>IFERROR(VLOOKUP(C128,TD!$B$32:$F$36,3,0)," ")</f>
        <v>4599</v>
      </c>
      <c r="R128" s="131">
        <f>IFERROR(VLOOKUP(C128,TD!$B$32:$F$36,4,0)," ")</f>
        <v>20240207</v>
      </c>
      <c r="S128" s="54" t="s">
        <v>194</v>
      </c>
      <c r="T128" s="131" t="str">
        <f>IFERROR(VLOOKUP(S128,TD!$J$33:$K$43,2,0)," ")</f>
        <v>Servicios para la planeación y sistemas de gestión y comunicación estratégica</v>
      </c>
      <c r="U128" s="54" t="str">
        <f t="shared" si="4"/>
        <v>13-Servicios para la planeación y sistemas de gestión y comunicación estratégica</v>
      </c>
      <c r="V128" s="54" t="s">
        <v>242</v>
      </c>
      <c r="W128" s="131" t="str">
        <f>IFERROR(VLOOKUP(V128,TD!$N$33:$O$45,2,0)," ")</f>
        <v>Servicio de Implementación Sistemas de Gestión</v>
      </c>
      <c r="X128" s="54" t="str">
        <f t="shared" si="5"/>
        <v>023_Servicio de Implementación Sistemas de Gestión</v>
      </c>
      <c r="Y128" s="54" t="str">
        <f t="shared" si="6"/>
        <v>13-Servicios para la planeación y sistemas de gestión y comunicación estratégica 023_Servicio de Implementación Sistemas de Gestión</v>
      </c>
      <c r="Z128" s="131" t="str">
        <f t="shared" si="7"/>
        <v>O23011745992024020713023</v>
      </c>
      <c r="AA128" s="131" t="str">
        <f>IFERROR(VLOOKUP(Y128,TD!$K$46:$L$64,2,0)," ")</f>
        <v>PM/0131/0113/45990230207</v>
      </c>
      <c r="AB128" s="57" t="s">
        <v>139</v>
      </c>
      <c r="AC128" s="132" t="s">
        <v>205</v>
      </c>
    </row>
    <row r="129" spans="2:29" s="28" customFormat="1" ht="99.75">
      <c r="B129" s="85">
        <v>20240873</v>
      </c>
      <c r="C129" s="53" t="s">
        <v>209</v>
      </c>
      <c r="D129" s="129" t="s">
        <v>37</v>
      </c>
      <c r="E129" s="54" t="s">
        <v>408</v>
      </c>
      <c r="F129" s="129" t="s">
        <v>421</v>
      </c>
      <c r="G129" s="129" t="s">
        <v>156</v>
      </c>
      <c r="H129" s="117">
        <v>80111600</v>
      </c>
      <c r="I129" s="130">
        <v>9</v>
      </c>
      <c r="J129" s="130">
        <v>4</v>
      </c>
      <c r="K129" s="56">
        <v>0</v>
      </c>
      <c r="L129" s="57">
        <f>11758172+30741828-8500000</f>
        <v>34000000</v>
      </c>
      <c r="M129" s="129" t="s">
        <v>173</v>
      </c>
      <c r="N129" s="57" t="s">
        <v>114</v>
      </c>
      <c r="O129" s="54" t="s">
        <v>213</v>
      </c>
      <c r="P129" s="131" t="str">
        <f>IFERROR(VLOOKUP(C129,TD!$B$32:$F$36,2,0)," ")</f>
        <v>O230117</v>
      </c>
      <c r="Q129" s="131" t="str">
        <f>IFERROR(VLOOKUP(C129,TD!$B$32:$F$36,3,0)," ")</f>
        <v>4599</v>
      </c>
      <c r="R129" s="131">
        <f>IFERROR(VLOOKUP(C129,TD!$B$32:$F$36,4,0)," ")</f>
        <v>20240207</v>
      </c>
      <c r="S129" s="54" t="s">
        <v>194</v>
      </c>
      <c r="T129" s="131" t="str">
        <f>IFERROR(VLOOKUP(S129,TD!$J$33:$K$43,2,0)," ")</f>
        <v>Servicios para la planeación y sistemas de gestión y comunicación estratégica</v>
      </c>
      <c r="U129" s="54" t="str">
        <f t="shared" si="4"/>
        <v>13-Servicios para la planeación y sistemas de gestión y comunicación estratégica</v>
      </c>
      <c r="V129" s="54" t="s">
        <v>242</v>
      </c>
      <c r="W129" s="131" t="str">
        <f>IFERROR(VLOOKUP(V129,TD!$N$33:$O$45,2,0)," ")</f>
        <v>Servicio de Implementación Sistemas de Gestión</v>
      </c>
      <c r="X129" s="54" t="str">
        <f t="shared" si="5"/>
        <v>023_Servicio de Implementación Sistemas de Gestión</v>
      </c>
      <c r="Y129" s="54" t="str">
        <f t="shared" si="6"/>
        <v>13-Servicios para la planeación y sistemas de gestión y comunicación estratégica 023_Servicio de Implementación Sistemas de Gestión</v>
      </c>
      <c r="Z129" s="131" t="str">
        <f t="shared" si="7"/>
        <v>O23011745992024020713023</v>
      </c>
      <c r="AA129" s="131" t="str">
        <f>IFERROR(VLOOKUP(Y129,TD!$K$46:$L$64,2,0)," ")</f>
        <v>PM/0131/0113/45990230207</v>
      </c>
      <c r="AB129" s="57" t="s">
        <v>139</v>
      </c>
      <c r="AC129" s="132" t="s">
        <v>205</v>
      </c>
    </row>
    <row r="130" spans="2:29" s="28" customFormat="1" ht="99.75">
      <c r="B130" s="85">
        <v>20240874</v>
      </c>
      <c r="C130" s="53" t="s">
        <v>209</v>
      </c>
      <c r="D130" s="129" t="s">
        <v>37</v>
      </c>
      <c r="E130" s="54" t="s">
        <v>408</v>
      </c>
      <c r="F130" s="129" t="s">
        <v>422</v>
      </c>
      <c r="G130" s="129" t="s">
        <v>156</v>
      </c>
      <c r="H130" s="117">
        <v>80111600</v>
      </c>
      <c r="I130" s="130">
        <v>8</v>
      </c>
      <c r="J130" s="130">
        <v>5</v>
      </c>
      <c r="K130" s="56">
        <v>0</v>
      </c>
      <c r="L130" s="57">
        <f>39000000-6500000</f>
        <v>32500000</v>
      </c>
      <c r="M130" s="129" t="s">
        <v>173</v>
      </c>
      <c r="N130" s="57" t="s">
        <v>114</v>
      </c>
      <c r="O130" s="54" t="s">
        <v>213</v>
      </c>
      <c r="P130" s="131" t="str">
        <f>IFERROR(VLOOKUP(C130,TD!$B$32:$F$36,2,0)," ")</f>
        <v>O230117</v>
      </c>
      <c r="Q130" s="131" t="str">
        <f>IFERROR(VLOOKUP(C130,TD!$B$32:$F$36,3,0)," ")</f>
        <v>4599</v>
      </c>
      <c r="R130" s="131">
        <f>IFERROR(VLOOKUP(C130,TD!$B$32:$F$36,4,0)," ")</f>
        <v>20240207</v>
      </c>
      <c r="S130" s="54" t="s">
        <v>194</v>
      </c>
      <c r="T130" s="131" t="str">
        <f>IFERROR(VLOOKUP(S130,TD!$J$33:$K$43,2,0)," ")</f>
        <v>Servicios para la planeación y sistemas de gestión y comunicación estratégica</v>
      </c>
      <c r="U130" s="54" t="str">
        <f t="shared" si="4"/>
        <v>13-Servicios para la planeación y sistemas de gestión y comunicación estratégica</v>
      </c>
      <c r="V130" s="54" t="s">
        <v>242</v>
      </c>
      <c r="W130" s="131" t="str">
        <f>IFERROR(VLOOKUP(V130,TD!$N$33:$O$45,2,0)," ")</f>
        <v>Servicio de Implementación Sistemas de Gestión</v>
      </c>
      <c r="X130" s="54" t="str">
        <f t="shared" si="5"/>
        <v>023_Servicio de Implementación Sistemas de Gestión</v>
      </c>
      <c r="Y130" s="54" t="str">
        <f t="shared" si="6"/>
        <v>13-Servicios para la planeación y sistemas de gestión y comunicación estratégica 023_Servicio de Implementación Sistemas de Gestión</v>
      </c>
      <c r="Z130" s="131" t="str">
        <f t="shared" si="7"/>
        <v>O23011745992024020713023</v>
      </c>
      <c r="AA130" s="131" t="str">
        <f>IFERROR(VLOOKUP(Y130,TD!$K$46:$L$64,2,0)," ")</f>
        <v>PM/0131/0113/45990230207</v>
      </c>
      <c r="AB130" s="57" t="s">
        <v>139</v>
      </c>
      <c r="AC130" s="132" t="s">
        <v>205</v>
      </c>
    </row>
    <row r="131" spans="2:29" s="28" customFormat="1" ht="57">
      <c r="B131" s="85">
        <v>20240876</v>
      </c>
      <c r="C131" s="53" t="s">
        <v>210</v>
      </c>
      <c r="D131" s="129" t="s">
        <v>170</v>
      </c>
      <c r="E131" s="54" t="s">
        <v>461</v>
      </c>
      <c r="F131" s="129" t="s">
        <v>706</v>
      </c>
      <c r="G131" s="129" t="s">
        <v>156</v>
      </c>
      <c r="H131" s="117">
        <v>80111600</v>
      </c>
      <c r="I131" s="130">
        <v>8</v>
      </c>
      <c r="J131" s="130">
        <v>5</v>
      </c>
      <c r="K131" s="56">
        <v>0</v>
      </c>
      <c r="L131" s="57">
        <v>42500000</v>
      </c>
      <c r="M131" s="129" t="s">
        <v>173</v>
      </c>
      <c r="N131" s="57" t="s">
        <v>114</v>
      </c>
      <c r="O131" s="54" t="s">
        <v>223</v>
      </c>
      <c r="P131" s="131" t="str">
        <f>IFERROR(VLOOKUP(C131,TD!$B$32:$F$36,2,0)," ")</f>
        <v>O230117</v>
      </c>
      <c r="Q131" s="131" t="str">
        <f>IFERROR(VLOOKUP(C131,TD!$B$32:$F$36,3,0)," ")</f>
        <v>4503</v>
      </c>
      <c r="R131" s="131">
        <f>IFERROR(VLOOKUP(C131,TD!$B$32:$F$36,4,0)," ")</f>
        <v>20240255</v>
      </c>
      <c r="S131" s="54" t="s">
        <v>176</v>
      </c>
      <c r="T131" s="131" t="str">
        <f>IFERROR(VLOOKUP(S131,TD!$J$33:$K$43,2,0)," ")</f>
        <v>Servicio de atención a incidentes y emergencias.</v>
      </c>
      <c r="U131" s="54" t="str">
        <f t="shared" si="4"/>
        <v>04-Servicio de atención a incidentes y emergencias.</v>
      </c>
      <c r="V131" s="54" t="s">
        <v>233</v>
      </c>
      <c r="W131" s="131" t="str">
        <f>IFERROR(VLOOKUP(V131,TD!$N$33:$O$45,2,0)," ")</f>
        <v>Servicio de atención a emergencias y desastres</v>
      </c>
      <c r="X131" s="54" t="str">
        <f t="shared" si="5"/>
        <v>004_Servicio de atención a emergencias y desastres</v>
      </c>
      <c r="Y131" s="54" t="str">
        <f t="shared" si="6"/>
        <v>04-Servicio de atención a incidentes y emergencias. 004_Servicio de atención a emergencias y desastres</v>
      </c>
      <c r="Z131" s="131" t="str">
        <f t="shared" si="7"/>
        <v>O23011745032024025504004</v>
      </c>
      <c r="AA131" s="131" t="str">
        <f>IFERROR(VLOOKUP(Y131,TD!$K$46:$L$64,2,0)," ")</f>
        <v>PM/0131/0104/45030040255</v>
      </c>
      <c r="AB131" s="57" t="s">
        <v>139</v>
      </c>
      <c r="AC131" s="132" t="s">
        <v>205</v>
      </c>
    </row>
    <row r="132" spans="2:29" s="28" customFormat="1" ht="71.25">
      <c r="B132" s="85">
        <v>20240877</v>
      </c>
      <c r="C132" s="53" t="s">
        <v>210</v>
      </c>
      <c r="D132" s="129" t="s">
        <v>169</v>
      </c>
      <c r="E132" s="54" t="s">
        <v>423</v>
      </c>
      <c r="F132" s="129" t="s">
        <v>425</v>
      </c>
      <c r="G132" s="129" t="s">
        <v>120</v>
      </c>
      <c r="H132" s="117" t="s">
        <v>456</v>
      </c>
      <c r="I132" s="130">
        <v>7</v>
      </c>
      <c r="J132" s="130">
        <v>6</v>
      </c>
      <c r="K132" s="56">
        <v>0</v>
      </c>
      <c r="L132" s="57">
        <v>34378829</v>
      </c>
      <c r="M132" s="129" t="s">
        <v>173</v>
      </c>
      <c r="N132" s="57" t="s">
        <v>101</v>
      </c>
      <c r="O132" s="54" t="s">
        <v>225</v>
      </c>
      <c r="P132" s="131" t="str">
        <f>IFERROR(VLOOKUP(C132,TD!$B$32:$F$36,2,0)," ")</f>
        <v>O230117</v>
      </c>
      <c r="Q132" s="131" t="str">
        <f>IFERROR(VLOOKUP(C132,TD!$B$32:$F$36,3,0)," ")</f>
        <v>4503</v>
      </c>
      <c r="R132" s="131">
        <f>IFERROR(VLOOKUP(C132,TD!$B$32:$F$36,4,0)," ")</f>
        <v>20240255</v>
      </c>
      <c r="S132" s="54" t="s">
        <v>192</v>
      </c>
      <c r="T132" s="131" t="str">
        <f>IFERROR(VLOOKUP(S132,TD!$J$33:$K$43,2,0)," ")</f>
        <v>Servicio de apoyo   logístico  en eventos operativos y/o emergencias.</v>
      </c>
      <c r="U132" s="54" t="str">
        <f t="shared" si="4"/>
        <v>12-Servicio de apoyo   logístico  en eventos operativos y/o emergencias.</v>
      </c>
      <c r="V132" s="54" t="s">
        <v>233</v>
      </c>
      <c r="W132" s="131" t="str">
        <f>IFERROR(VLOOKUP(V132,TD!$N$33:$O$45,2,0)," ")</f>
        <v>Servicio de atención a emergencias y desastres</v>
      </c>
      <c r="X132" s="54" t="str">
        <f t="shared" si="5"/>
        <v>004_Servicio de atención a emergencias y desastres</v>
      </c>
      <c r="Y132" s="54" t="str">
        <f t="shared" si="6"/>
        <v>12-Servicio de apoyo   logístico  en eventos operativos y/o emergencias. 004_Servicio de atención a emergencias y desastres</v>
      </c>
      <c r="Z132" s="131" t="str">
        <f t="shared" si="7"/>
        <v>O23011745032024025512004</v>
      </c>
      <c r="AA132" s="131" t="str">
        <f>IFERROR(VLOOKUP(Y132,TD!$K$46:$L$64,2,0)," ")</f>
        <v>PM/0131/0112/45030040255</v>
      </c>
      <c r="AB132" s="57" t="s">
        <v>98</v>
      </c>
      <c r="AC132" s="132" t="s">
        <v>205</v>
      </c>
    </row>
    <row r="133" spans="2:29" s="28" customFormat="1" ht="57">
      <c r="B133" s="85">
        <v>20240878</v>
      </c>
      <c r="C133" s="53" t="s">
        <v>210</v>
      </c>
      <c r="D133" s="129" t="s">
        <v>169</v>
      </c>
      <c r="E133" s="54" t="s">
        <v>423</v>
      </c>
      <c r="F133" s="129" t="s">
        <v>426</v>
      </c>
      <c r="G133" s="129" t="s">
        <v>120</v>
      </c>
      <c r="H133" s="117" t="s">
        <v>457</v>
      </c>
      <c r="I133" s="130">
        <v>7</v>
      </c>
      <c r="J133" s="130">
        <v>7</v>
      </c>
      <c r="K133" s="56">
        <v>0</v>
      </c>
      <c r="L133" s="57">
        <v>200000000</v>
      </c>
      <c r="M133" s="129" t="s">
        <v>173</v>
      </c>
      <c r="N133" s="57" t="s">
        <v>96</v>
      </c>
      <c r="O133" s="54" t="s">
        <v>225</v>
      </c>
      <c r="P133" s="131" t="str">
        <f>IFERROR(VLOOKUP(C133,TD!$B$32:$F$36,2,0)," ")</f>
        <v>O230117</v>
      </c>
      <c r="Q133" s="131" t="str">
        <f>IFERROR(VLOOKUP(C133,TD!$B$32:$F$36,3,0)," ")</f>
        <v>4503</v>
      </c>
      <c r="R133" s="131">
        <f>IFERROR(VLOOKUP(C133,TD!$B$32:$F$36,4,0)," ")</f>
        <v>20240255</v>
      </c>
      <c r="S133" s="54" t="s">
        <v>192</v>
      </c>
      <c r="T133" s="131" t="str">
        <f>IFERROR(VLOOKUP(S133,TD!$J$33:$K$43,2,0)," ")</f>
        <v>Servicio de apoyo   logístico  en eventos operativos y/o emergencias.</v>
      </c>
      <c r="U133" s="54" t="str">
        <f t="shared" si="4"/>
        <v>12-Servicio de apoyo   logístico  en eventos operativos y/o emergencias.</v>
      </c>
      <c r="V133" s="54" t="s">
        <v>233</v>
      </c>
      <c r="W133" s="131" t="str">
        <f>IFERROR(VLOOKUP(V133,TD!$N$33:$O$45,2,0)," ")</f>
        <v>Servicio de atención a emergencias y desastres</v>
      </c>
      <c r="X133" s="54" t="str">
        <f t="shared" si="5"/>
        <v>004_Servicio de atención a emergencias y desastres</v>
      </c>
      <c r="Y133" s="54" t="str">
        <f t="shared" si="6"/>
        <v>12-Servicio de apoyo   logístico  en eventos operativos y/o emergencias. 004_Servicio de atención a emergencias y desastres</v>
      </c>
      <c r="Z133" s="131" t="str">
        <f t="shared" si="7"/>
        <v>O23011745032024025512004</v>
      </c>
      <c r="AA133" s="131" t="str">
        <f>IFERROR(VLOOKUP(Y133,TD!$K$46:$L$64,2,0)," ")</f>
        <v>PM/0131/0112/45030040255</v>
      </c>
      <c r="AB133" s="57" t="s">
        <v>111</v>
      </c>
      <c r="AC133" s="132" t="s">
        <v>205</v>
      </c>
    </row>
    <row r="134" spans="2:29" s="28" customFormat="1" ht="57">
      <c r="B134" s="85">
        <v>20240879</v>
      </c>
      <c r="C134" s="53" t="s">
        <v>210</v>
      </c>
      <c r="D134" s="129" t="s">
        <v>169</v>
      </c>
      <c r="E134" s="54" t="s">
        <v>423</v>
      </c>
      <c r="F134" s="129" t="s">
        <v>427</v>
      </c>
      <c r="G134" s="129" t="s">
        <v>120</v>
      </c>
      <c r="H134" s="117" t="s">
        <v>457</v>
      </c>
      <c r="I134" s="130">
        <v>7</v>
      </c>
      <c r="J134" s="130">
        <v>1</v>
      </c>
      <c r="K134" s="56">
        <v>15</v>
      </c>
      <c r="L134" s="57">
        <v>30000000</v>
      </c>
      <c r="M134" s="129" t="s">
        <v>173</v>
      </c>
      <c r="N134" s="57" t="s">
        <v>96</v>
      </c>
      <c r="O134" s="54" t="s">
        <v>225</v>
      </c>
      <c r="P134" s="131" t="str">
        <f>IFERROR(VLOOKUP(C134,TD!$B$32:$F$36,2,0)," ")</f>
        <v>O230117</v>
      </c>
      <c r="Q134" s="131" t="str">
        <f>IFERROR(VLOOKUP(C134,TD!$B$32:$F$36,3,0)," ")</f>
        <v>4503</v>
      </c>
      <c r="R134" s="131">
        <f>IFERROR(VLOOKUP(C134,TD!$B$32:$F$36,4,0)," ")</f>
        <v>20240255</v>
      </c>
      <c r="S134" s="54" t="s">
        <v>192</v>
      </c>
      <c r="T134" s="131" t="str">
        <f>IFERROR(VLOOKUP(S134,TD!$J$33:$K$43,2,0)," ")</f>
        <v>Servicio de apoyo   logístico  en eventos operativos y/o emergencias.</v>
      </c>
      <c r="U134" s="54" t="str">
        <f t="shared" si="4"/>
        <v>12-Servicio de apoyo   logístico  en eventos operativos y/o emergencias.</v>
      </c>
      <c r="V134" s="54" t="s">
        <v>233</v>
      </c>
      <c r="W134" s="131" t="str">
        <f>IFERROR(VLOOKUP(V134,TD!$N$33:$O$45,2,0)," ")</f>
        <v>Servicio de atención a emergencias y desastres</v>
      </c>
      <c r="X134" s="54" t="str">
        <f t="shared" si="5"/>
        <v>004_Servicio de atención a emergencias y desastres</v>
      </c>
      <c r="Y134" s="54" t="str">
        <f t="shared" si="6"/>
        <v>12-Servicio de apoyo   logístico  en eventos operativos y/o emergencias. 004_Servicio de atención a emergencias y desastres</v>
      </c>
      <c r="Z134" s="131" t="str">
        <f t="shared" si="7"/>
        <v>O23011745032024025512004</v>
      </c>
      <c r="AA134" s="131" t="str">
        <f>IFERROR(VLOOKUP(Y134,TD!$K$46:$L$64,2,0)," ")</f>
        <v>PM/0131/0112/45030040255</v>
      </c>
      <c r="AB134" s="57" t="s">
        <v>111</v>
      </c>
      <c r="AC134" s="132" t="s">
        <v>206</v>
      </c>
    </row>
    <row r="135" spans="2:29" s="28" customFormat="1" ht="57">
      <c r="B135" s="85">
        <v>20240880</v>
      </c>
      <c r="C135" s="53" t="s">
        <v>210</v>
      </c>
      <c r="D135" s="129" t="s">
        <v>169</v>
      </c>
      <c r="E135" s="54" t="s">
        <v>423</v>
      </c>
      <c r="F135" s="129" t="s">
        <v>428</v>
      </c>
      <c r="G135" s="129" t="s">
        <v>120</v>
      </c>
      <c r="H135" s="117">
        <v>50192700</v>
      </c>
      <c r="I135" s="130">
        <v>7</v>
      </c>
      <c r="J135" s="130">
        <v>1</v>
      </c>
      <c r="K135" s="56">
        <v>0</v>
      </c>
      <c r="L135" s="57">
        <f>15000000+20000000</f>
        <v>35000000</v>
      </c>
      <c r="M135" s="129" t="s">
        <v>173</v>
      </c>
      <c r="N135" s="57" t="s">
        <v>101</v>
      </c>
      <c r="O135" s="54" t="s">
        <v>225</v>
      </c>
      <c r="P135" s="131" t="str">
        <f>IFERROR(VLOOKUP(C135,TD!$B$32:$F$36,2,0)," ")</f>
        <v>O230117</v>
      </c>
      <c r="Q135" s="131" t="str">
        <f>IFERROR(VLOOKUP(C135,TD!$B$32:$F$36,3,0)," ")</f>
        <v>4503</v>
      </c>
      <c r="R135" s="131">
        <f>IFERROR(VLOOKUP(C135,TD!$B$32:$F$36,4,0)," ")</f>
        <v>20240255</v>
      </c>
      <c r="S135" s="54" t="s">
        <v>192</v>
      </c>
      <c r="T135" s="131" t="str">
        <f>IFERROR(VLOOKUP(S135,TD!$J$33:$K$43,2,0)," ")</f>
        <v>Servicio de apoyo   logístico  en eventos operativos y/o emergencias.</v>
      </c>
      <c r="U135" s="54" t="str">
        <f t="shared" si="4"/>
        <v>12-Servicio de apoyo   logístico  en eventos operativos y/o emergencias.</v>
      </c>
      <c r="V135" s="54" t="s">
        <v>233</v>
      </c>
      <c r="W135" s="131" t="str">
        <f>IFERROR(VLOOKUP(V135,TD!$N$33:$O$45,2,0)," ")</f>
        <v>Servicio de atención a emergencias y desastres</v>
      </c>
      <c r="X135" s="54" t="str">
        <f t="shared" si="5"/>
        <v>004_Servicio de atención a emergencias y desastres</v>
      </c>
      <c r="Y135" s="54" t="str">
        <f t="shared" si="6"/>
        <v>12-Servicio de apoyo   logístico  en eventos operativos y/o emergencias. 004_Servicio de atención a emergencias y desastres</v>
      </c>
      <c r="Z135" s="131" t="str">
        <f t="shared" si="7"/>
        <v>O23011745032024025512004</v>
      </c>
      <c r="AA135" s="131" t="str">
        <f>IFERROR(VLOOKUP(Y135,TD!$K$46:$L$64,2,0)," ")</f>
        <v>PM/0131/0112/45030040255</v>
      </c>
      <c r="AB135" s="57" t="s">
        <v>111</v>
      </c>
      <c r="AC135" s="132" t="s">
        <v>205</v>
      </c>
    </row>
    <row r="136" spans="2:29" s="28" customFormat="1" ht="57">
      <c r="B136" s="85">
        <v>20240881</v>
      </c>
      <c r="C136" s="53" t="s">
        <v>210</v>
      </c>
      <c r="D136" s="129" t="s">
        <v>169</v>
      </c>
      <c r="E136" s="54" t="s">
        <v>423</v>
      </c>
      <c r="F136" s="129" t="s">
        <v>524</v>
      </c>
      <c r="G136" s="129" t="s">
        <v>120</v>
      </c>
      <c r="H136" s="117" t="s">
        <v>738</v>
      </c>
      <c r="I136" s="130">
        <v>7</v>
      </c>
      <c r="J136" s="130">
        <v>6</v>
      </c>
      <c r="K136" s="56">
        <v>0</v>
      </c>
      <c r="L136" s="57">
        <v>58500000</v>
      </c>
      <c r="M136" s="129" t="s">
        <v>173</v>
      </c>
      <c r="N136" s="57" t="s">
        <v>101</v>
      </c>
      <c r="O136" s="54" t="s">
        <v>225</v>
      </c>
      <c r="P136" s="131" t="str">
        <f>IFERROR(VLOOKUP(C136,TD!$B$32:$F$36,2,0)," ")</f>
        <v>O230117</v>
      </c>
      <c r="Q136" s="131" t="str">
        <f>IFERROR(VLOOKUP(C136,TD!$B$32:$F$36,3,0)," ")</f>
        <v>4503</v>
      </c>
      <c r="R136" s="131">
        <f>IFERROR(VLOOKUP(C136,TD!$B$32:$F$36,4,0)," ")</f>
        <v>20240255</v>
      </c>
      <c r="S136" s="54" t="s">
        <v>192</v>
      </c>
      <c r="T136" s="131" t="str">
        <f>IFERROR(VLOOKUP(S136,TD!$J$33:$K$43,2,0)," ")</f>
        <v>Servicio de apoyo   logístico  en eventos operativos y/o emergencias.</v>
      </c>
      <c r="U136" s="54" t="str">
        <f t="shared" si="4"/>
        <v>12-Servicio de apoyo   logístico  en eventos operativos y/o emergencias.</v>
      </c>
      <c r="V136" s="54" t="s">
        <v>233</v>
      </c>
      <c r="W136" s="131" t="str">
        <f>IFERROR(VLOOKUP(V136,TD!$N$33:$O$45,2,0)," ")</f>
        <v>Servicio de atención a emergencias y desastres</v>
      </c>
      <c r="X136" s="54" t="str">
        <f t="shared" si="5"/>
        <v>004_Servicio de atención a emergencias y desastres</v>
      </c>
      <c r="Y136" s="54" t="str">
        <f t="shared" si="6"/>
        <v>12-Servicio de apoyo   logístico  en eventos operativos y/o emergencias. 004_Servicio de atención a emergencias y desastres</v>
      </c>
      <c r="Z136" s="131" t="str">
        <f t="shared" si="7"/>
        <v>O23011745032024025512004</v>
      </c>
      <c r="AA136" s="131" t="str">
        <f>IFERROR(VLOOKUP(Y136,TD!$K$46:$L$64,2,0)," ")</f>
        <v>PM/0131/0112/45030040255</v>
      </c>
      <c r="AB136" s="57" t="s">
        <v>135</v>
      </c>
      <c r="AC136" s="132" t="s">
        <v>205</v>
      </c>
    </row>
    <row r="137" spans="2:29" s="28" customFormat="1" ht="57">
      <c r="B137" s="85">
        <v>20240882</v>
      </c>
      <c r="C137" s="53" t="s">
        <v>210</v>
      </c>
      <c r="D137" s="129" t="s">
        <v>169</v>
      </c>
      <c r="E137" s="54" t="s">
        <v>423</v>
      </c>
      <c r="F137" s="129" t="s">
        <v>454</v>
      </c>
      <c r="G137" s="129" t="s">
        <v>97</v>
      </c>
      <c r="H137" s="117" t="s">
        <v>459</v>
      </c>
      <c r="I137" s="130">
        <v>7</v>
      </c>
      <c r="J137" s="130">
        <v>2</v>
      </c>
      <c r="K137" s="56">
        <v>0</v>
      </c>
      <c r="L137" s="57">
        <v>20000000</v>
      </c>
      <c r="M137" s="129" t="s">
        <v>173</v>
      </c>
      <c r="N137" s="57" t="s">
        <v>101</v>
      </c>
      <c r="O137" s="54" t="s">
        <v>225</v>
      </c>
      <c r="P137" s="131" t="str">
        <f>IFERROR(VLOOKUP(C137,TD!$B$32:$F$36,2,0)," ")</f>
        <v>O230117</v>
      </c>
      <c r="Q137" s="131" t="str">
        <f>IFERROR(VLOOKUP(C137,TD!$B$32:$F$36,3,0)," ")</f>
        <v>4503</v>
      </c>
      <c r="R137" s="131">
        <f>IFERROR(VLOOKUP(C137,TD!$B$32:$F$36,4,0)," ")</f>
        <v>20240255</v>
      </c>
      <c r="S137" s="54" t="s">
        <v>192</v>
      </c>
      <c r="T137" s="131" t="str">
        <f>IFERROR(VLOOKUP(S137,TD!$J$33:$K$43,2,0)," ")</f>
        <v>Servicio de apoyo   logístico  en eventos operativos y/o emergencias.</v>
      </c>
      <c r="U137" s="54" t="str">
        <f t="shared" si="4"/>
        <v>12-Servicio de apoyo   logístico  en eventos operativos y/o emergencias.</v>
      </c>
      <c r="V137" s="54" t="s">
        <v>233</v>
      </c>
      <c r="W137" s="131" t="str">
        <f>IFERROR(VLOOKUP(V137,TD!$N$33:$O$45,2,0)," ")</f>
        <v>Servicio de atención a emergencias y desastres</v>
      </c>
      <c r="X137" s="54" t="str">
        <f t="shared" si="5"/>
        <v>004_Servicio de atención a emergencias y desastres</v>
      </c>
      <c r="Y137" s="54" t="str">
        <f t="shared" si="6"/>
        <v>12-Servicio de apoyo   logístico  en eventos operativos y/o emergencias. 004_Servicio de atención a emergencias y desastres</v>
      </c>
      <c r="Z137" s="131" t="str">
        <f t="shared" si="7"/>
        <v>O23011745032024025512004</v>
      </c>
      <c r="AA137" s="131" t="str">
        <f>IFERROR(VLOOKUP(Y137,TD!$K$46:$L$64,2,0)," ")</f>
        <v>PM/0131/0112/45030040255</v>
      </c>
      <c r="AB137" s="57" t="s">
        <v>139</v>
      </c>
      <c r="AC137" s="132" t="s">
        <v>205</v>
      </c>
    </row>
    <row r="138" spans="2:29" s="28" customFormat="1" ht="57">
      <c r="B138" s="85">
        <v>20240883</v>
      </c>
      <c r="C138" s="53" t="s">
        <v>210</v>
      </c>
      <c r="D138" s="129" t="s">
        <v>169</v>
      </c>
      <c r="E138" s="54" t="s">
        <v>423</v>
      </c>
      <c r="F138" s="129" t="s">
        <v>739</v>
      </c>
      <c r="G138" s="129" t="s">
        <v>110</v>
      </c>
      <c r="H138" s="117">
        <v>72101509</v>
      </c>
      <c r="I138" s="130">
        <v>7</v>
      </c>
      <c r="J138" s="130">
        <v>5</v>
      </c>
      <c r="K138" s="56">
        <v>0</v>
      </c>
      <c r="L138" s="57">
        <v>65753688</v>
      </c>
      <c r="M138" s="129" t="s">
        <v>173</v>
      </c>
      <c r="N138" s="57" t="s">
        <v>96</v>
      </c>
      <c r="O138" s="54" t="s">
        <v>225</v>
      </c>
      <c r="P138" s="131" t="str">
        <f>IFERROR(VLOOKUP(C138,TD!$B$32:$F$36,2,0)," ")</f>
        <v>O230117</v>
      </c>
      <c r="Q138" s="131" t="str">
        <f>IFERROR(VLOOKUP(C138,TD!$B$32:$F$36,3,0)," ")</f>
        <v>4503</v>
      </c>
      <c r="R138" s="131">
        <f>IFERROR(VLOOKUP(C138,TD!$B$32:$F$36,4,0)," ")</f>
        <v>20240255</v>
      </c>
      <c r="S138" s="54" t="s">
        <v>192</v>
      </c>
      <c r="T138" s="131" t="str">
        <f>IFERROR(VLOOKUP(S138,TD!$J$33:$K$43,2,0)," ")</f>
        <v>Servicio de apoyo   logístico  en eventos operativos y/o emergencias.</v>
      </c>
      <c r="U138" s="54" t="str">
        <f t="shared" si="4"/>
        <v>12-Servicio de apoyo   logístico  en eventos operativos y/o emergencias.</v>
      </c>
      <c r="V138" s="54" t="s">
        <v>233</v>
      </c>
      <c r="W138" s="131" t="str">
        <f>IFERROR(VLOOKUP(V138,TD!$N$33:$O$45,2,0)," ")</f>
        <v>Servicio de atención a emergencias y desastres</v>
      </c>
      <c r="X138" s="54" t="str">
        <f t="shared" si="5"/>
        <v>004_Servicio de atención a emergencias y desastres</v>
      </c>
      <c r="Y138" s="54" t="str">
        <f t="shared" si="6"/>
        <v>12-Servicio de apoyo   logístico  en eventos operativos y/o emergencias. 004_Servicio de atención a emergencias y desastres</v>
      </c>
      <c r="Z138" s="131" t="str">
        <f t="shared" si="7"/>
        <v>O23011745032024025512004</v>
      </c>
      <c r="AA138" s="131" t="str">
        <f>IFERROR(VLOOKUP(Y138,TD!$K$46:$L$64,2,0)," ")</f>
        <v>PM/0131/0112/45030040255</v>
      </c>
      <c r="AB138" s="57" t="s">
        <v>88</v>
      </c>
      <c r="AC138" s="132" t="s">
        <v>206</v>
      </c>
    </row>
    <row r="139" spans="2:29" s="28" customFormat="1" ht="114">
      <c r="B139" s="85">
        <v>20240885</v>
      </c>
      <c r="C139" s="53" t="s">
        <v>210</v>
      </c>
      <c r="D139" s="129" t="s">
        <v>169</v>
      </c>
      <c r="E139" s="54" t="s">
        <v>423</v>
      </c>
      <c r="F139" s="129" t="s">
        <v>740</v>
      </c>
      <c r="G139" s="129" t="s">
        <v>120</v>
      </c>
      <c r="H139" s="117" t="s">
        <v>741</v>
      </c>
      <c r="I139" s="130">
        <v>7</v>
      </c>
      <c r="J139" s="130">
        <v>5</v>
      </c>
      <c r="K139" s="56">
        <v>0</v>
      </c>
      <c r="L139" s="57">
        <v>90000000</v>
      </c>
      <c r="M139" s="129" t="s">
        <v>173</v>
      </c>
      <c r="N139" s="57" t="s">
        <v>114</v>
      </c>
      <c r="O139" s="54" t="s">
        <v>225</v>
      </c>
      <c r="P139" s="131" t="str">
        <f>IFERROR(VLOOKUP(C139,TD!$B$32:$F$36,2,0)," ")</f>
        <v>O230117</v>
      </c>
      <c r="Q139" s="131" t="str">
        <f>IFERROR(VLOOKUP(C139,TD!$B$32:$F$36,3,0)," ")</f>
        <v>4503</v>
      </c>
      <c r="R139" s="131">
        <f>IFERROR(VLOOKUP(C139,TD!$B$32:$F$36,4,0)," ")</f>
        <v>20240255</v>
      </c>
      <c r="S139" s="54" t="s">
        <v>188</v>
      </c>
      <c r="T139" s="131" t="str">
        <f>IFERROR(VLOOKUP(S139,TD!$J$33:$K$43,2,0)," ")</f>
        <v>Servicio de mantenimiento, dotación (HEA´s y equipo menor) y adquisición de vehiculos   especializados para la atención de emergencias.</v>
      </c>
      <c r="U139" s="54" t="str">
        <f t="shared" ref="U139:U202" si="8">CONCATENATE(S139,"-",T139)</f>
        <v>09-Servicio de mantenimiento, dotación (HEA´s y equipo menor) y adquisición de vehiculos   especializados para la atención de emergencias.</v>
      </c>
      <c r="V139" s="54" t="s">
        <v>233</v>
      </c>
      <c r="W139" s="131" t="str">
        <f>IFERROR(VLOOKUP(V139,TD!$N$33:$O$45,2,0)," ")</f>
        <v>Servicio de atención a emergencias y desastres</v>
      </c>
      <c r="X139" s="54" t="str">
        <f t="shared" ref="X139:X202" si="9">CONCATENATE(V139,"_",W139)</f>
        <v>004_Servicio de atención a emergencias y desastres</v>
      </c>
      <c r="Y139" s="54" t="str">
        <f t="shared" ref="Y139:Y202" si="10">CONCATENATE(U139," ",X139)</f>
        <v>09-Servicio de mantenimiento, dotación (HEA´s y equipo menor) y adquisición de vehiculos   especializados para la atención de emergencias. 004_Servicio de atención a emergencias y desastres</v>
      </c>
      <c r="Z139" s="131" t="str">
        <f t="shared" ref="Z139:Z202" si="11">CONCATENATE(P139,Q139,R139,S139,V139)</f>
        <v>O23011745032024025509004</v>
      </c>
      <c r="AA139" s="131" t="str">
        <f>IFERROR(VLOOKUP(Y139,TD!$K$46:$L$64,2,0)," ")</f>
        <v>PM/0131/0109/45030040255</v>
      </c>
      <c r="AB139" s="57" t="s">
        <v>88</v>
      </c>
      <c r="AC139" s="132" t="s">
        <v>205</v>
      </c>
    </row>
    <row r="140" spans="2:29" s="28" customFormat="1" ht="71.25">
      <c r="B140" s="85">
        <v>20240886</v>
      </c>
      <c r="C140" s="53" t="s">
        <v>210</v>
      </c>
      <c r="D140" s="129" t="s">
        <v>169</v>
      </c>
      <c r="E140" s="54" t="s">
        <v>423</v>
      </c>
      <c r="F140" s="129" t="s">
        <v>742</v>
      </c>
      <c r="G140" s="129" t="s">
        <v>158</v>
      </c>
      <c r="H140" s="117" t="s">
        <v>743</v>
      </c>
      <c r="I140" s="130">
        <v>7</v>
      </c>
      <c r="J140" s="130">
        <v>7</v>
      </c>
      <c r="K140" s="56">
        <v>0</v>
      </c>
      <c r="L140" s="57">
        <f>90000000-55000000-34212080-787920</f>
        <v>0</v>
      </c>
      <c r="M140" s="129" t="s">
        <v>173</v>
      </c>
      <c r="N140" s="57" t="s">
        <v>114</v>
      </c>
      <c r="O140" s="54" t="s">
        <v>225</v>
      </c>
      <c r="P140" s="131" t="str">
        <f>IFERROR(VLOOKUP(C140,TD!$B$32:$F$36,2,0)," ")</f>
        <v>O230117</v>
      </c>
      <c r="Q140" s="131" t="str">
        <f>IFERROR(VLOOKUP(C140,TD!$B$32:$F$36,3,0)," ")</f>
        <v>4503</v>
      </c>
      <c r="R140" s="131">
        <f>IFERROR(VLOOKUP(C140,TD!$B$32:$F$36,4,0)," ")</f>
        <v>20240255</v>
      </c>
      <c r="S140" s="54" t="s">
        <v>188</v>
      </c>
      <c r="T140" s="131" t="str">
        <f>IFERROR(VLOOKUP(S140,TD!$J$33:$K$43,2,0)," ")</f>
        <v>Servicio de mantenimiento, dotación (HEA´s y equipo menor) y adquisición de vehiculos   especializados para la atención de emergencias.</v>
      </c>
      <c r="U140" s="54" t="str">
        <f t="shared" si="8"/>
        <v>09-Servicio de mantenimiento, dotación (HEA´s y equipo menor) y adquisición de vehiculos   especializados para la atención de emergencias.</v>
      </c>
      <c r="V140" s="54" t="s">
        <v>233</v>
      </c>
      <c r="W140" s="131" t="str">
        <f>IFERROR(VLOOKUP(V140,TD!$N$33:$O$45,2,0)," ")</f>
        <v>Servicio de atención a emergencias y desastres</v>
      </c>
      <c r="X140" s="54" t="str">
        <f t="shared" si="9"/>
        <v>004_Servicio de atención a emergencias y desastres</v>
      </c>
      <c r="Y140" s="54" t="str">
        <f t="shared" si="10"/>
        <v>09-Servicio de mantenimiento, dotación (HEA´s y equipo menor) y adquisición de vehiculos   especializados para la atención de emergencias. 004_Servicio de atención a emergencias y desastres</v>
      </c>
      <c r="Z140" s="131" t="str">
        <f t="shared" si="11"/>
        <v>O23011745032024025509004</v>
      </c>
      <c r="AA140" s="131" t="str">
        <f>IFERROR(VLOOKUP(Y140,TD!$K$46:$L$64,2,0)," ")</f>
        <v>PM/0131/0109/45030040255</v>
      </c>
      <c r="AB140" s="57" t="s">
        <v>88</v>
      </c>
      <c r="AC140" s="132" t="s">
        <v>205</v>
      </c>
    </row>
    <row r="141" spans="2:29" s="28" customFormat="1" ht="71.25">
      <c r="B141" s="85">
        <v>20240887</v>
      </c>
      <c r="C141" s="53" t="s">
        <v>210</v>
      </c>
      <c r="D141" s="129" t="s">
        <v>169</v>
      </c>
      <c r="E141" s="54" t="s">
        <v>423</v>
      </c>
      <c r="F141" s="129" t="s">
        <v>429</v>
      </c>
      <c r="G141" s="129" t="s">
        <v>120</v>
      </c>
      <c r="H141" s="117" t="s">
        <v>744</v>
      </c>
      <c r="I141" s="130">
        <v>7</v>
      </c>
      <c r="J141" s="130">
        <v>6</v>
      </c>
      <c r="K141" s="56">
        <v>0</v>
      </c>
      <c r="L141" s="57">
        <v>100000000</v>
      </c>
      <c r="M141" s="129" t="s">
        <v>173</v>
      </c>
      <c r="N141" s="57" t="s">
        <v>96</v>
      </c>
      <c r="O141" s="54" t="s">
        <v>225</v>
      </c>
      <c r="P141" s="131" t="str">
        <f>IFERROR(VLOOKUP(C141,TD!$B$32:$F$36,2,0)," ")</f>
        <v>O230117</v>
      </c>
      <c r="Q141" s="131" t="str">
        <f>IFERROR(VLOOKUP(C141,TD!$B$32:$F$36,3,0)," ")</f>
        <v>4503</v>
      </c>
      <c r="R141" s="131">
        <f>IFERROR(VLOOKUP(C141,TD!$B$32:$F$36,4,0)," ")</f>
        <v>20240255</v>
      </c>
      <c r="S141" s="54" t="s">
        <v>188</v>
      </c>
      <c r="T141" s="131" t="str">
        <f>IFERROR(VLOOKUP(S141,TD!$J$33:$K$43,2,0)," ")</f>
        <v>Servicio de mantenimiento, dotación (HEA´s y equipo menor) y adquisición de vehiculos   especializados para la atención de emergencias.</v>
      </c>
      <c r="U141" s="54" t="str">
        <f t="shared" si="8"/>
        <v>09-Servicio de mantenimiento, dotación (HEA´s y equipo menor) y adquisición de vehiculos   especializados para la atención de emergencias.</v>
      </c>
      <c r="V141" s="54" t="s">
        <v>233</v>
      </c>
      <c r="W141" s="131" t="str">
        <f>IFERROR(VLOOKUP(V141,TD!$N$33:$O$45,2,0)," ")</f>
        <v>Servicio de atención a emergencias y desastres</v>
      </c>
      <c r="X141" s="54" t="str">
        <f t="shared" si="9"/>
        <v>004_Servicio de atención a emergencias y desastres</v>
      </c>
      <c r="Y141" s="54" t="str">
        <f t="shared" si="10"/>
        <v>09-Servicio de mantenimiento, dotación (HEA´s y equipo menor) y adquisición de vehiculos   especializados para la atención de emergencias. 004_Servicio de atención a emergencias y desastres</v>
      </c>
      <c r="Z141" s="131" t="str">
        <f t="shared" si="11"/>
        <v>O23011745032024025509004</v>
      </c>
      <c r="AA141" s="131" t="str">
        <f>IFERROR(VLOOKUP(Y141,TD!$K$46:$L$64,2,0)," ")</f>
        <v>PM/0131/0109/45030040255</v>
      </c>
      <c r="AB141" s="57" t="s">
        <v>88</v>
      </c>
      <c r="AC141" s="132" t="s">
        <v>205</v>
      </c>
    </row>
    <row r="142" spans="2:29" s="28" customFormat="1" ht="57">
      <c r="B142" s="85">
        <v>20240888</v>
      </c>
      <c r="C142" s="53" t="s">
        <v>210</v>
      </c>
      <c r="D142" s="129" t="s">
        <v>169</v>
      </c>
      <c r="E142" s="54" t="s">
        <v>423</v>
      </c>
      <c r="F142" s="129" t="s">
        <v>523</v>
      </c>
      <c r="G142" s="129" t="s">
        <v>97</v>
      </c>
      <c r="H142" s="117" t="s">
        <v>745</v>
      </c>
      <c r="I142" s="130">
        <v>7</v>
      </c>
      <c r="J142" s="130">
        <v>12</v>
      </c>
      <c r="K142" s="56">
        <v>0</v>
      </c>
      <c r="L142" s="57">
        <v>30000000</v>
      </c>
      <c r="M142" s="129" t="s">
        <v>173</v>
      </c>
      <c r="N142" s="57" t="s">
        <v>101</v>
      </c>
      <c r="O142" s="54" t="s">
        <v>225</v>
      </c>
      <c r="P142" s="131" t="str">
        <f>IFERROR(VLOOKUP(C142,TD!$B$32:$F$36,2,0)," ")</f>
        <v>O230117</v>
      </c>
      <c r="Q142" s="131" t="str">
        <f>IFERROR(VLOOKUP(C142,TD!$B$32:$F$36,3,0)," ")</f>
        <v>4503</v>
      </c>
      <c r="R142" s="131">
        <f>IFERROR(VLOOKUP(C142,TD!$B$32:$F$36,4,0)," ")</f>
        <v>20240255</v>
      </c>
      <c r="S142" s="54" t="s">
        <v>192</v>
      </c>
      <c r="T142" s="131" t="str">
        <f>IFERROR(VLOOKUP(S142,TD!$J$33:$K$43,2,0)," ")</f>
        <v>Servicio de apoyo   logístico  en eventos operativos y/o emergencias.</v>
      </c>
      <c r="U142" s="54" t="str">
        <f t="shared" si="8"/>
        <v>12-Servicio de apoyo   logístico  en eventos operativos y/o emergencias.</v>
      </c>
      <c r="V142" s="54" t="s">
        <v>233</v>
      </c>
      <c r="W142" s="131" t="str">
        <f>IFERROR(VLOOKUP(V142,TD!$N$33:$O$45,2,0)," ")</f>
        <v>Servicio de atención a emergencias y desastres</v>
      </c>
      <c r="X142" s="54" t="str">
        <f t="shared" si="9"/>
        <v>004_Servicio de atención a emergencias y desastres</v>
      </c>
      <c r="Y142" s="54" t="str">
        <f t="shared" si="10"/>
        <v>12-Servicio de apoyo   logístico  en eventos operativos y/o emergencias. 004_Servicio de atención a emergencias y desastres</v>
      </c>
      <c r="Z142" s="131" t="str">
        <f t="shared" si="11"/>
        <v>O23011745032024025512004</v>
      </c>
      <c r="AA142" s="131" t="str">
        <f>IFERROR(VLOOKUP(Y142,TD!$K$46:$L$64,2,0)," ")</f>
        <v>PM/0131/0112/45030040255</v>
      </c>
      <c r="AB142" s="57" t="s">
        <v>135</v>
      </c>
      <c r="AC142" s="132" t="s">
        <v>205</v>
      </c>
    </row>
    <row r="143" spans="2:29" s="28" customFormat="1" ht="57">
      <c r="B143" s="85">
        <v>20240889</v>
      </c>
      <c r="C143" s="53" t="s">
        <v>210</v>
      </c>
      <c r="D143" s="129" t="s">
        <v>169</v>
      </c>
      <c r="E143" s="54" t="s">
        <v>423</v>
      </c>
      <c r="F143" s="129" t="s">
        <v>430</v>
      </c>
      <c r="G143" s="129" t="s">
        <v>97</v>
      </c>
      <c r="H143" s="117" t="s">
        <v>458</v>
      </c>
      <c r="I143" s="130">
        <v>7</v>
      </c>
      <c r="J143" s="130">
        <v>1</v>
      </c>
      <c r="K143" s="56">
        <v>0</v>
      </c>
      <c r="L143" s="57">
        <v>2000000</v>
      </c>
      <c r="M143" s="129" t="s">
        <v>173</v>
      </c>
      <c r="N143" s="57" t="s">
        <v>96</v>
      </c>
      <c r="O143" s="54" t="s">
        <v>225</v>
      </c>
      <c r="P143" s="131" t="str">
        <f>IFERROR(VLOOKUP(C143,TD!$B$32:$F$36,2,0)," ")</f>
        <v>O230117</v>
      </c>
      <c r="Q143" s="131" t="str">
        <f>IFERROR(VLOOKUP(C143,TD!$B$32:$F$36,3,0)," ")</f>
        <v>4503</v>
      </c>
      <c r="R143" s="131">
        <f>IFERROR(VLOOKUP(C143,TD!$B$32:$F$36,4,0)," ")</f>
        <v>20240255</v>
      </c>
      <c r="S143" s="54" t="s">
        <v>192</v>
      </c>
      <c r="T143" s="131" t="str">
        <f>IFERROR(VLOOKUP(S143,TD!$J$33:$K$43,2,0)," ")</f>
        <v>Servicio de apoyo   logístico  en eventos operativos y/o emergencias.</v>
      </c>
      <c r="U143" s="54" t="str">
        <f t="shared" si="8"/>
        <v>12-Servicio de apoyo   logístico  en eventos operativos y/o emergencias.</v>
      </c>
      <c r="V143" s="54" t="s">
        <v>233</v>
      </c>
      <c r="W143" s="131" t="str">
        <f>IFERROR(VLOOKUP(V143,TD!$N$33:$O$45,2,0)," ")</f>
        <v>Servicio de atención a emergencias y desastres</v>
      </c>
      <c r="X143" s="54" t="str">
        <f t="shared" si="9"/>
        <v>004_Servicio de atención a emergencias y desastres</v>
      </c>
      <c r="Y143" s="54" t="str">
        <f t="shared" si="10"/>
        <v>12-Servicio de apoyo   logístico  en eventos operativos y/o emergencias. 004_Servicio de atención a emergencias y desastres</v>
      </c>
      <c r="Z143" s="131" t="str">
        <f t="shared" si="11"/>
        <v>O23011745032024025512004</v>
      </c>
      <c r="AA143" s="131" t="str">
        <f>IFERROR(VLOOKUP(Y143,TD!$K$46:$L$64,2,0)," ")</f>
        <v>PM/0131/0112/45030040255</v>
      </c>
      <c r="AB143" s="57" t="s">
        <v>135</v>
      </c>
      <c r="AC143" s="132" t="s">
        <v>206</v>
      </c>
    </row>
    <row r="144" spans="2:29" s="28" customFormat="1" ht="57">
      <c r="B144" s="85">
        <v>20240890</v>
      </c>
      <c r="C144" s="53" t="s">
        <v>210</v>
      </c>
      <c r="D144" s="129" t="s">
        <v>169</v>
      </c>
      <c r="E144" s="54" t="s">
        <v>423</v>
      </c>
      <c r="F144" s="129" t="s">
        <v>431</v>
      </c>
      <c r="G144" s="129" t="s">
        <v>120</v>
      </c>
      <c r="H144" s="117">
        <v>15121500</v>
      </c>
      <c r="I144" s="130">
        <v>7</v>
      </c>
      <c r="J144" s="130">
        <v>3</v>
      </c>
      <c r="K144" s="56">
        <v>0</v>
      </c>
      <c r="L144" s="57">
        <v>8000000</v>
      </c>
      <c r="M144" s="129" t="s">
        <v>173</v>
      </c>
      <c r="N144" s="57" t="s">
        <v>101</v>
      </c>
      <c r="O144" s="54" t="s">
        <v>225</v>
      </c>
      <c r="P144" s="131" t="str">
        <f>IFERROR(VLOOKUP(C144,TD!$B$32:$F$36,2,0)," ")</f>
        <v>O230117</v>
      </c>
      <c r="Q144" s="131" t="str">
        <f>IFERROR(VLOOKUP(C144,TD!$B$32:$F$36,3,0)," ")</f>
        <v>4503</v>
      </c>
      <c r="R144" s="131">
        <f>IFERROR(VLOOKUP(C144,TD!$B$32:$F$36,4,0)," ")</f>
        <v>20240255</v>
      </c>
      <c r="S144" s="54" t="s">
        <v>192</v>
      </c>
      <c r="T144" s="131" t="str">
        <f>IFERROR(VLOOKUP(S144,TD!$J$33:$K$43,2,0)," ")</f>
        <v>Servicio de apoyo   logístico  en eventos operativos y/o emergencias.</v>
      </c>
      <c r="U144" s="54" t="str">
        <f t="shared" si="8"/>
        <v>12-Servicio de apoyo   logístico  en eventos operativos y/o emergencias.</v>
      </c>
      <c r="V144" s="54" t="s">
        <v>233</v>
      </c>
      <c r="W144" s="131" t="str">
        <f>IFERROR(VLOOKUP(V144,TD!$N$33:$O$45,2,0)," ")</f>
        <v>Servicio de atención a emergencias y desastres</v>
      </c>
      <c r="X144" s="54" t="str">
        <f t="shared" si="9"/>
        <v>004_Servicio de atención a emergencias y desastres</v>
      </c>
      <c r="Y144" s="54" t="str">
        <f t="shared" si="10"/>
        <v>12-Servicio de apoyo   logístico  en eventos operativos y/o emergencias. 004_Servicio de atención a emergencias y desastres</v>
      </c>
      <c r="Z144" s="131" t="str">
        <f t="shared" si="11"/>
        <v>O23011745032024025512004</v>
      </c>
      <c r="AA144" s="131" t="str">
        <f>IFERROR(VLOOKUP(Y144,TD!$K$46:$L$64,2,0)," ")</f>
        <v>PM/0131/0112/45030040255</v>
      </c>
      <c r="AB144" s="57" t="s">
        <v>93</v>
      </c>
      <c r="AC144" s="132" t="s">
        <v>205</v>
      </c>
    </row>
    <row r="145" spans="2:29" s="28" customFormat="1" ht="57">
      <c r="B145" s="85">
        <v>20240891</v>
      </c>
      <c r="C145" s="53" t="s">
        <v>210</v>
      </c>
      <c r="D145" s="129" t="s">
        <v>170</v>
      </c>
      <c r="E145" s="54" t="s">
        <v>461</v>
      </c>
      <c r="F145" s="129" t="s">
        <v>707</v>
      </c>
      <c r="G145" s="129" t="s">
        <v>156</v>
      </c>
      <c r="H145" s="117">
        <v>80111600</v>
      </c>
      <c r="I145" s="130">
        <v>8</v>
      </c>
      <c r="J145" s="130">
        <v>5</v>
      </c>
      <c r="K145" s="56">
        <v>0</v>
      </c>
      <c r="L145" s="57">
        <v>29775000</v>
      </c>
      <c r="M145" s="129" t="s">
        <v>173</v>
      </c>
      <c r="N145" s="57" t="s">
        <v>114</v>
      </c>
      <c r="O145" s="54" t="s">
        <v>223</v>
      </c>
      <c r="P145" s="131" t="str">
        <f>IFERROR(VLOOKUP(C145,TD!$B$32:$F$36,2,0)," ")</f>
        <v>O230117</v>
      </c>
      <c r="Q145" s="131" t="str">
        <f>IFERROR(VLOOKUP(C145,TD!$B$32:$F$36,3,0)," ")</f>
        <v>4503</v>
      </c>
      <c r="R145" s="131">
        <f>IFERROR(VLOOKUP(C145,TD!$B$32:$F$36,4,0)," ")</f>
        <v>20240255</v>
      </c>
      <c r="S145" s="54" t="s">
        <v>176</v>
      </c>
      <c r="T145" s="131" t="str">
        <f>IFERROR(VLOOKUP(S145,TD!$J$33:$K$43,2,0)," ")</f>
        <v>Servicio de atención a incidentes y emergencias.</v>
      </c>
      <c r="U145" s="54" t="str">
        <f t="shared" si="8"/>
        <v>04-Servicio de atención a incidentes y emergencias.</v>
      </c>
      <c r="V145" s="54" t="s">
        <v>233</v>
      </c>
      <c r="W145" s="131" t="str">
        <f>IFERROR(VLOOKUP(V145,TD!$N$33:$O$45,2,0)," ")</f>
        <v>Servicio de atención a emergencias y desastres</v>
      </c>
      <c r="X145" s="54" t="str">
        <f t="shared" si="9"/>
        <v>004_Servicio de atención a emergencias y desastres</v>
      </c>
      <c r="Y145" s="54" t="str">
        <f t="shared" si="10"/>
        <v>04-Servicio de atención a incidentes y emergencias. 004_Servicio de atención a emergencias y desastres</v>
      </c>
      <c r="Z145" s="131" t="str">
        <f t="shared" si="11"/>
        <v>O23011745032024025504004</v>
      </c>
      <c r="AA145" s="131" t="str">
        <f>IFERROR(VLOOKUP(Y145,TD!$K$46:$L$64,2,0)," ")</f>
        <v>PM/0131/0104/45030040255</v>
      </c>
      <c r="AB145" s="57" t="s">
        <v>139</v>
      </c>
      <c r="AC145" s="132" t="s">
        <v>205</v>
      </c>
    </row>
    <row r="146" spans="2:29" s="28" customFormat="1" ht="57">
      <c r="B146" s="85">
        <v>20240892</v>
      </c>
      <c r="C146" s="53" t="s">
        <v>210</v>
      </c>
      <c r="D146" s="129" t="s">
        <v>170</v>
      </c>
      <c r="E146" s="54" t="s">
        <v>461</v>
      </c>
      <c r="F146" s="129" t="s">
        <v>707</v>
      </c>
      <c r="G146" s="129" t="s">
        <v>156</v>
      </c>
      <c r="H146" s="117">
        <v>80111600</v>
      </c>
      <c r="I146" s="130">
        <v>8</v>
      </c>
      <c r="J146" s="130">
        <v>5</v>
      </c>
      <c r="K146" s="56">
        <v>0</v>
      </c>
      <c r="L146" s="57">
        <v>29775000</v>
      </c>
      <c r="M146" s="129" t="s">
        <v>173</v>
      </c>
      <c r="N146" s="57" t="s">
        <v>114</v>
      </c>
      <c r="O146" s="54" t="s">
        <v>223</v>
      </c>
      <c r="P146" s="131" t="str">
        <f>IFERROR(VLOOKUP(C146,TD!$B$32:$F$36,2,0)," ")</f>
        <v>O230117</v>
      </c>
      <c r="Q146" s="131" t="str">
        <f>IFERROR(VLOOKUP(C146,TD!$B$32:$F$36,3,0)," ")</f>
        <v>4503</v>
      </c>
      <c r="R146" s="131">
        <f>IFERROR(VLOOKUP(C146,TD!$B$32:$F$36,4,0)," ")</f>
        <v>20240255</v>
      </c>
      <c r="S146" s="54" t="s">
        <v>176</v>
      </c>
      <c r="T146" s="131" t="str">
        <f>IFERROR(VLOOKUP(S146,TD!$J$33:$K$43,2,0)," ")</f>
        <v>Servicio de atención a incidentes y emergencias.</v>
      </c>
      <c r="U146" s="54" t="str">
        <f t="shared" si="8"/>
        <v>04-Servicio de atención a incidentes y emergencias.</v>
      </c>
      <c r="V146" s="54" t="s">
        <v>233</v>
      </c>
      <c r="W146" s="131" t="str">
        <f>IFERROR(VLOOKUP(V146,TD!$N$33:$O$45,2,0)," ")</f>
        <v>Servicio de atención a emergencias y desastres</v>
      </c>
      <c r="X146" s="54" t="str">
        <f t="shared" si="9"/>
        <v>004_Servicio de atención a emergencias y desastres</v>
      </c>
      <c r="Y146" s="54" t="str">
        <f t="shared" si="10"/>
        <v>04-Servicio de atención a incidentes y emergencias. 004_Servicio de atención a emergencias y desastres</v>
      </c>
      <c r="Z146" s="131" t="str">
        <f t="shared" si="11"/>
        <v>O23011745032024025504004</v>
      </c>
      <c r="AA146" s="131" t="str">
        <f>IFERROR(VLOOKUP(Y146,TD!$K$46:$L$64,2,0)," ")</f>
        <v>PM/0131/0104/45030040255</v>
      </c>
      <c r="AB146" s="57" t="s">
        <v>139</v>
      </c>
      <c r="AC146" s="132" t="s">
        <v>205</v>
      </c>
    </row>
    <row r="147" spans="2:29" s="28" customFormat="1" ht="57">
      <c r="B147" s="85">
        <v>20240893</v>
      </c>
      <c r="C147" s="53" t="s">
        <v>210</v>
      </c>
      <c r="D147" s="129" t="s">
        <v>169</v>
      </c>
      <c r="E147" s="54" t="s">
        <v>423</v>
      </c>
      <c r="F147" s="129" t="s">
        <v>433</v>
      </c>
      <c r="G147" s="129" t="s">
        <v>156</v>
      </c>
      <c r="H147" s="117">
        <v>80111600</v>
      </c>
      <c r="I147" s="130">
        <v>7</v>
      </c>
      <c r="J147" s="130">
        <v>4</v>
      </c>
      <c r="K147" s="56">
        <v>0</v>
      </c>
      <c r="L147" s="57">
        <v>34000000</v>
      </c>
      <c r="M147" s="129" t="s">
        <v>173</v>
      </c>
      <c r="N147" s="57" t="s">
        <v>114</v>
      </c>
      <c r="O147" s="54" t="s">
        <v>225</v>
      </c>
      <c r="P147" s="131" t="str">
        <f>IFERROR(VLOOKUP(C147,TD!$B$32:$F$36,2,0)," ")</f>
        <v>O230117</v>
      </c>
      <c r="Q147" s="131" t="str">
        <f>IFERROR(VLOOKUP(C147,TD!$B$32:$F$36,3,0)," ")</f>
        <v>4503</v>
      </c>
      <c r="R147" s="131">
        <f>IFERROR(VLOOKUP(C147,TD!$B$32:$F$36,4,0)," ")</f>
        <v>20240255</v>
      </c>
      <c r="S147" s="54" t="s">
        <v>192</v>
      </c>
      <c r="T147" s="131" t="str">
        <f>IFERROR(VLOOKUP(S147,TD!$J$33:$K$43,2,0)," ")</f>
        <v>Servicio de apoyo   logístico  en eventos operativos y/o emergencias.</v>
      </c>
      <c r="U147" s="54" t="str">
        <f t="shared" si="8"/>
        <v>12-Servicio de apoyo   logístico  en eventos operativos y/o emergencias.</v>
      </c>
      <c r="V147" s="54" t="s">
        <v>233</v>
      </c>
      <c r="W147" s="131" t="str">
        <f>IFERROR(VLOOKUP(V147,TD!$N$33:$O$45,2,0)," ")</f>
        <v>Servicio de atención a emergencias y desastres</v>
      </c>
      <c r="X147" s="54" t="str">
        <f t="shared" si="9"/>
        <v>004_Servicio de atención a emergencias y desastres</v>
      </c>
      <c r="Y147" s="54" t="str">
        <f t="shared" si="10"/>
        <v>12-Servicio de apoyo   logístico  en eventos operativos y/o emergencias. 004_Servicio de atención a emergencias y desastres</v>
      </c>
      <c r="Z147" s="131" t="str">
        <f t="shared" si="11"/>
        <v>O23011745032024025512004</v>
      </c>
      <c r="AA147" s="131" t="str">
        <f>IFERROR(VLOOKUP(Y147,TD!$K$46:$L$64,2,0)," ")</f>
        <v>PM/0131/0112/45030040255</v>
      </c>
      <c r="AB147" s="57" t="s">
        <v>139</v>
      </c>
      <c r="AC147" s="132" t="s">
        <v>205</v>
      </c>
    </row>
    <row r="148" spans="2:29" s="28" customFormat="1" ht="57">
      <c r="B148" s="85">
        <v>20240894</v>
      </c>
      <c r="C148" s="53" t="s">
        <v>210</v>
      </c>
      <c r="D148" s="129" t="s">
        <v>169</v>
      </c>
      <c r="E148" s="54" t="s">
        <v>423</v>
      </c>
      <c r="F148" s="129" t="s">
        <v>434</v>
      </c>
      <c r="G148" s="129" t="s">
        <v>156</v>
      </c>
      <c r="H148" s="117">
        <v>80111600</v>
      </c>
      <c r="I148" s="130">
        <v>7</v>
      </c>
      <c r="J148" s="130">
        <v>4</v>
      </c>
      <c r="K148" s="56">
        <v>0</v>
      </c>
      <c r="L148" s="57">
        <v>24000000</v>
      </c>
      <c r="M148" s="129" t="s">
        <v>173</v>
      </c>
      <c r="N148" s="57" t="s">
        <v>114</v>
      </c>
      <c r="O148" s="54" t="s">
        <v>225</v>
      </c>
      <c r="P148" s="131" t="str">
        <f>IFERROR(VLOOKUP(C148,TD!$B$32:$F$36,2,0)," ")</f>
        <v>O230117</v>
      </c>
      <c r="Q148" s="131" t="str">
        <f>IFERROR(VLOOKUP(C148,TD!$B$32:$F$36,3,0)," ")</f>
        <v>4503</v>
      </c>
      <c r="R148" s="131">
        <f>IFERROR(VLOOKUP(C148,TD!$B$32:$F$36,4,0)," ")</f>
        <v>20240255</v>
      </c>
      <c r="S148" s="54" t="s">
        <v>192</v>
      </c>
      <c r="T148" s="131" t="str">
        <f>IFERROR(VLOOKUP(S148,TD!$J$33:$K$43,2,0)," ")</f>
        <v>Servicio de apoyo   logístico  en eventos operativos y/o emergencias.</v>
      </c>
      <c r="U148" s="54" t="str">
        <f t="shared" si="8"/>
        <v>12-Servicio de apoyo   logístico  en eventos operativos y/o emergencias.</v>
      </c>
      <c r="V148" s="54" t="s">
        <v>233</v>
      </c>
      <c r="W148" s="131" t="str">
        <f>IFERROR(VLOOKUP(V148,TD!$N$33:$O$45,2,0)," ")</f>
        <v>Servicio de atención a emergencias y desastres</v>
      </c>
      <c r="X148" s="54" t="str">
        <f t="shared" si="9"/>
        <v>004_Servicio de atención a emergencias y desastres</v>
      </c>
      <c r="Y148" s="54" t="str">
        <f t="shared" si="10"/>
        <v>12-Servicio de apoyo   logístico  en eventos operativos y/o emergencias. 004_Servicio de atención a emergencias y desastres</v>
      </c>
      <c r="Z148" s="131" t="str">
        <f t="shared" si="11"/>
        <v>O23011745032024025512004</v>
      </c>
      <c r="AA148" s="131" t="str">
        <f>IFERROR(VLOOKUP(Y148,TD!$K$46:$L$64,2,0)," ")</f>
        <v>PM/0131/0112/45030040255</v>
      </c>
      <c r="AB148" s="57" t="s">
        <v>139</v>
      </c>
      <c r="AC148" s="132" t="s">
        <v>205</v>
      </c>
    </row>
    <row r="149" spans="2:29" s="28" customFormat="1" ht="57">
      <c r="B149" s="85">
        <v>20240895</v>
      </c>
      <c r="C149" s="53" t="s">
        <v>210</v>
      </c>
      <c r="D149" s="129" t="s">
        <v>169</v>
      </c>
      <c r="E149" s="54" t="s">
        <v>423</v>
      </c>
      <c r="F149" s="129" t="s">
        <v>747</v>
      </c>
      <c r="G149" s="129" t="s">
        <v>156</v>
      </c>
      <c r="H149" s="117">
        <v>80111600</v>
      </c>
      <c r="I149" s="130">
        <v>8</v>
      </c>
      <c r="J149" s="130">
        <v>4</v>
      </c>
      <c r="K149" s="56">
        <v>0</v>
      </c>
      <c r="L149" s="57">
        <f>27810000+9270000</f>
        <v>37080000</v>
      </c>
      <c r="M149" s="129" t="s">
        <v>173</v>
      </c>
      <c r="N149" s="57" t="s">
        <v>114</v>
      </c>
      <c r="O149" s="54" t="s">
        <v>225</v>
      </c>
      <c r="P149" s="131" t="str">
        <f>IFERROR(VLOOKUP(C149,TD!$B$32:$F$36,2,0)," ")</f>
        <v>O230117</v>
      </c>
      <c r="Q149" s="131" t="str">
        <f>IFERROR(VLOOKUP(C149,TD!$B$32:$F$36,3,0)," ")</f>
        <v>4503</v>
      </c>
      <c r="R149" s="131">
        <f>IFERROR(VLOOKUP(C149,TD!$B$32:$F$36,4,0)," ")</f>
        <v>20240255</v>
      </c>
      <c r="S149" s="54" t="s">
        <v>192</v>
      </c>
      <c r="T149" s="131" t="str">
        <f>IFERROR(VLOOKUP(S149,TD!$J$33:$K$43,2,0)," ")</f>
        <v>Servicio de apoyo   logístico  en eventos operativos y/o emergencias.</v>
      </c>
      <c r="U149" s="54" t="str">
        <f t="shared" si="8"/>
        <v>12-Servicio de apoyo   logístico  en eventos operativos y/o emergencias.</v>
      </c>
      <c r="V149" s="54" t="s">
        <v>233</v>
      </c>
      <c r="W149" s="131" t="str">
        <f>IFERROR(VLOOKUP(V149,TD!$N$33:$O$45,2,0)," ")</f>
        <v>Servicio de atención a emergencias y desastres</v>
      </c>
      <c r="X149" s="54" t="str">
        <f t="shared" si="9"/>
        <v>004_Servicio de atención a emergencias y desastres</v>
      </c>
      <c r="Y149" s="54" t="str">
        <f t="shared" si="10"/>
        <v>12-Servicio de apoyo   logístico  en eventos operativos y/o emergencias. 004_Servicio de atención a emergencias y desastres</v>
      </c>
      <c r="Z149" s="131" t="str">
        <f t="shared" si="11"/>
        <v>O23011745032024025512004</v>
      </c>
      <c r="AA149" s="131" t="str">
        <f>IFERROR(VLOOKUP(Y149,TD!$K$46:$L$64,2,0)," ")</f>
        <v>PM/0131/0112/45030040255</v>
      </c>
      <c r="AB149" s="57" t="s">
        <v>139</v>
      </c>
      <c r="AC149" s="132" t="s">
        <v>205</v>
      </c>
    </row>
    <row r="150" spans="2:29" s="28" customFormat="1" ht="57">
      <c r="B150" s="85">
        <v>20240896</v>
      </c>
      <c r="C150" s="53" t="s">
        <v>210</v>
      </c>
      <c r="D150" s="129" t="s">
        <v>169</v>
      </c>
      <c r="E150" s="54" t="s">
        <v>423</v>
      </c>
      <c r="F150" s="129" t="s">
        <v>435</v>
      </c>
      <c r="G150" s="129" t="s">
        <v>156</v>
      </c>
      <c r="H150" s="117">
        <v>80111600</v>
      </c>
      <c r="I150" s="130">
        <v>7</v>
      </c>
      <c r="J150" s="130">
        <v>4</v>
      </c>
      <c r="K150" s="56">
        <v>0</v>
      </c>
      <c r="L150" s="57">
        <v>22000000</v>
      </c>
      <c r="M150" s="129" t="s">
        <v>173</v>
      </c>
      <c r="N150" s="57" t="s">
        <v>114</v>
      </c>
      <c r="O150" s="54" t="s">
        <v>225</v>
      </c>
      <c r="P150" s="131" t="str">
        <f>IFERROR(VLOOKUP(C150,TD!$B$32:$F$36,2,0)," ")</f>
        <v>O230117</v>
      </c>
      <c r="Q150" s="131" t="str">
        <f>IFERROR(VLOOKUP(C150,TD!$B$32:$F$36,3,0)," ")</f>
        <v>4503</v>
      </c>
      <c r="R150" s="131">
        <f>IFERROR(VLOOKUP(C150,TD!$B$32:$F$36,4,0)," ")</f>
        <v>20240255</v>
      </c>
      <c r="S150" s="54" t="s">
        <v>192</v>
      </c>
      <c r="T150" s="131" t="str">
        <f>IFERROR(VLOOKUP(S150,TD!$J$33:$K$43,2,0)," ")</f>
        <v>Servicio de apoyo   logístico  en eventos operativos y/o emergencias.</v>
      </c>
      <c r="U150" s="54" t="str">
        <f t="shared" si="8"/>
        <v>12-Servicio de apoyo   logístico  en eventos operativos y/o emergencias.</v>
      </c>
      <c r="V150" s="54" t="s">
        <v>233</v>
      </c>
      <c r="W150" s="131" t="str">
        <f>IFERROR(VLOOKUP(V150,TD!$N$33:$O$45,2,0)," ")</f>
        <v>Servicio de atención a emergencias y desastres</v>
      </c>
      <c r="X150" s="54" t="str">
        <f t="shared" si="9"/>
        <v>004_Servicio de atención a emergencias y desastres</v>
      </c>
      <c r="Y150" s="54" t="str">
        <f t="shared" si="10"/>
        <v>12-Servicio de apoyo   logístico  en eventos operativos y/o emergencias. 004_Servicio de atención a emergencias y desastres</v>
      </c>
      <c r="Z150" s="131" t="str">
        <f t="shared" si="11"/>
        <v>O23011745032024025512004</v>
      </c>
      <c r="AA150" s="131" t="str">
        <f>IFERROR(VLOOKUP(Y150,TD!$K$46:$L$64,2,0)," ")</f>
        <v>PM/0131/0112/45030040255</v>
      </c>
      <c r="AB150" s="57" t="s">
        <v>139</v>
      </c>
      <c r="AC150" s="132" t="s">
        <v>205</v>
      </c>
    </row>
    <row r="151" spans="2:29" s="28" customFormat="1" ht="71.25">
      <c r="B151" s="85">
        <v>20240897</v>
      </c>
      <c r="C151" s="53" t="s">
        <v>210</v>
      </c>
      <c r="D151" s="129" t="s">
        <v>169</v>
      </c>
      <c r="E151" s="54" t="s">
        <v>423</v>
      </c>
      <c r="F151" s="129" t="s">
        <v>436</v>
      </c>
      <c r="G151" s="129" t="s">
        <v>157</v>
      </c>
      <c r="H151" s="117">
        <v>80111600</v>
      </c>
      <c r="I151" s="130">
        <v>7</v>
      </c>
      <c r="J151" s="130">
        <v>3</v>
      </c>
      <c r="K151" s="56">
        <v>0</v>
      </c>
      <c r="L151" s="57">
        <v>10500000</v>
      </c>
      <c r="M151" s="129" t="s">
        <v>173</v>
      </c>
      <c r="N151" s="57" t="s">
        <v>114</v>
      </c>
      <c r="O151" s="54" t="s">
        <v>225</v>
      </c>
      <c r="P151" s="131" t="str">
        <f>IFERROR(VLOOKUP(C151,TD!$B$32:$F$36,2,0)," ")</f>
        <v>O230117</v>
      </c>
      <c r="Q151" s="131" t="str">
        <f>IFERROR(VLOOKUP(C151,TD!$B$32:$F$36,3,0)," ")</f>
        <v>4503</v>
      </c>
      <c r="R151" s="131">
        <f>IFERROR(VLOOKUP(C151,TD!$B$32:$F$36,4,0)," ")</f>
        <v>20240255</v>
      </c>
      <c r="S151" s="54" t="s">
        <v>192</v>
      </c>
      <c r="T151" s="131" t="str">
        <f>IFERROR(VLOOKUP(S151,TD!$J$33:$K$43,2,0)," ")</f>
        <v>Servicio de apoyo   logístico  en eventos operativos y/o emergencias.</v>
      </c>
      <c r="U151" s="54" t="str">
        <f t="shared" si="8"/>
        <v>12-Servicio de apoyo   logístico  en eventos operativos y/o emergencias.</v>
      </c>
      <c r="V151" s="54" t="s">
        <v>233</v>
      </c>
      <c r="W151" s="131" t="str">
        <f>IFERROR(VLOOKUP(V151,TD!$N$33:$O$45,2,0)," ")</f>
        <v>Servicio de atención a emergencias y desastres</v>
      </c>
      <c r="X151" s="54" t="str">
        <f t="shared" si="9"/>
        <v>004_Servicio de atención a emergencias y desastres</v>
      </c>
      <c r="Y151" s="54" t="str">
        <f t="shared" si="10"/>
        <v>12-Servicio de apoyo   logístico  en eventos operativos y/o emergencias. 004_Servicio de atención a emergencias y desastres</v>
      </c>
      <c r="Z151" s="131" t="str">
        <f t="shared" si="11"/>
        <v>O23011745032024025512004</v>
      </c>
      <c r="AA151" s="131" t="str">
        <f>IFERROR(VLOOKUP(Y151,TD!$K$46:$L$64,2,0)," ")</f>
        <v>PM/0131/0112/45030040255</v>
      </c>
      <c r="AB151" s="57" t="s">
        <v>139</v>
      </c>
      <c r="AC151" s="132" t="s">
        <v>205</v>
      </c>
    </row>
    <row r="152" spans="2:29" s="28" customFormat="1" ht="71.25">
      <c r="B152" s="85">
        <v>20240898</v>
      </c>
      <c r="C152" s="53" t="s">
        <v>210</v>
      </c>
      <c r="D152" s="129" t="s">
        <v>169</v>
      </c>
      <c r="E152" s="54" t="s">
        <v>423</v>
      </c>
      <c r="F152" s="129" t="s">
        <v>437</v>
      </c>
      <c r="G152" s="129" t="s">
        <v>157</v>
      </c>
      <c r="H152" s="117">
        <v>80111600</v>
      </c>
      <c r="I152" s="130">
        <v>7</v>
      </c>
      <c r="J152" s="130">
        <v>3</v>
      </c>
      <c r="K152" s="56">
        <v>0</v>
      </c>
      <c r="L152" s="57">
        <v>9300000</v>
      </c>
      <c r="M152" s="129" t="s">
        <v>173</v>
      </c>
      <c r="N152" s="57" t="s">
        <v>114</v>
      </c>
      <c r="O152" s="54" t="s">
        <v>225</v>
      </c>
      <c r="P152" s="131" t="str">
        <f>IFERROR(VLOOKUP(C152,TD!$B$32:$F$36,2,0)," ")</f>
        <v>O230117</v>
      </c>
      <c r="Q152" s="131" t="str">
        <f>IFERROR(VLOOKUP(C152,TD!$B$32:$F$36,3,0)," ")</f>
        <v>4503</v>
      </c>
      <c r="R152" s="131">
        <f>IFERROR(VLOOKUP(C152,TD!$B$32:$F$36,4,0)," ")</f>
        <v>20240255</v>
      </c>
      <c r="S152" s="54" t="s">
        <v>192</v>
      </c>
      <c r="T152" s="131" t="str">
        <f>IFERROR(VLOOKUP(S152,TD!$J$33:$K$43,2,0)," ")</f>
        <v>Servicio de apoyo   logístico  en eventos operativos y/o emergencias.</v>
      </c>
      <c r="U152" s="54" t="str">
        <f t="shared" si="8"/>
        <v>12-Servicio de apoyo   logístico  en eventos operativos y/o emergencias.</v>
      </c>
      <c r="V152" s="54" t="s">
        <v>233</v>
      </c>
      <c r="W152" s="131" t="str">
        <f>IFERROR(VLOOKUP(V152,TD!$N$33:$O$45,2,0)," ")</f>
        <v>Servicio de atención a emergencias y desastres</v>
      </c>
      <c r="X152" s="54" t="str">
        <f t="shared" si="9"/>
        <v>004_Servicio de atención a emergencias y desastres</v>
      </c>
      <c r="Y152" s="54" t="str">
        <f t="shared" si="10"/>
        <v>12-Servicio de apoyo   logístico  en eventos operativos y/o emergencias. 004_Servicio de atención a emergencias y desastres</v>
      </c>
      <c r="Z152" s="131" t="str">
        <f t="shared" si="11"/>
        <v>O23011745032024025512004</v>
      </c>
      <c r="AA152" s="131" t="str">
        <f>IFERROR(VLOOKUP(Y152,TD!$K$46:$L$64,2,0)," ")</f>
        <v>PM/0131/0112/45030040255</v>
      </c>
      <c r="AB152" s="57" t="s">
        <v>139</v>
      </c>
      <c r="AC152" s="132" t="s">
        <v>205</v>
      </c>
    </row>
    <row r="153" spans="2:29" s="28" customFormat="1" ht="57">
      <c r="B153" s="85">
        <v>20240899</v>
      </c>
      <c r="C153" s="53" t="s">
        <v>210</v>
      </c>
      <c r="D153" s="129" t="s">
        <v>169</v>
      </c>
      <c r="E153" s="54" t="s">
        <v>423</v>
      </c>
      <c r="F153" s="129" t="s">
        <v>438</v>
      </c>
      <c r="G153" s="129" t="s">
        <v>156</v>
      </c>
      <c r="H153" s="117">
        <v>80111600</v>
      </c>
      <c r="I153" s="130">
        <v>8</v>
      </c>
      <c r="J153" s="130">
        <v>5</v>
      </c>
      <c r="K153" s="56">
        <v>0</v>
      </c>
      <c r="L153" s="57">
        <f>45821312-7765000+500000-7556312</f>
        <v>31000000</v>
      </c>
      <c r="M153" s="129" t="s">
        <v>173</v>
      </c>
      <c r="N153" s="57" t="s">
        <v>114</v>
      </c>
      <c r="O153" s="54" t="s">
        <v>225</v>
      </c>
      <c r="P153" s="131" t="str">
        <f>IFERROR(VLOOKUP(C153,TD!$B$32:$F$36,2,0)," ")</f>
        <v>O230117</v>
      </c>
      <c r="Q153" s="131" t="str">
        <f>IFERROR(VLOOKUP(C153,TD!$B$32:$F$36,3,0)," ")</f>
        <v>4503</v>
      </c>
      <c r="R153" s="131">
        <f>IFERROR(VLOOKUP(C153,TD!$B$32:$F$36,4,0)," ")</f>
        <v>20240255</v>
      </c>
      <c r="S153" s="54" t="s">
        <v>192</v>
      </c>
      <c r="T153" s="131" t="str">
        <f>IFERROR(VLOOKUP(S153,TD!$J$33:$K$43,2,0)," ")</f>
        <v>Servicio de apoyo   logístico  en eventos operativos y/o emergencias.</v>
      </c>
      <c r="U153" s="54" t="str">
        <f t="shared" si="8"/>
        <v>12-Servicio de apoyo   logístico  en eventos operativos y/o emergencias.</v>
      </c>
      <c r="V153" s="54" t="s">
        <v>233</v>
      </c>
      <c r="W153" s="131" t="str">
        <f>IFERROR(VLOOKUP(V153,TD!$N$33:$O$45,2,0)," ")</f>
        <v>Servicio de atención a emergencias y desastres</v>
      </c>
      <c r="X153" s="54" t="str">
        <f t="shared" si="9"/>
        <v>004_Servicio de atención a emergencias y desastres</v>
      </c>
      <c r="Y153" s="54" t="str">
        <f t="shared" si="10"/>
        <v>12-Servicio de apoyo   logístico  en eventos operativos y/o emergencias. 004_Servicio de atención a emergencias y desastres</v>
      </c>
      <c r="Z153" s="131" t="str">
        <f t="shared" si="11"/>
        <v>O23011745032024025512004</v>
      </c>
      <c r="AA153" s="131" t="str">
        <f>IFERROR(VLOOKUP(Y153,TD!$K$46:$L$64,2,0)," ")</f>
        <v>PM/0131/0112/45030040255</v>
      </c>
      <c r="AB153" s="57" t="s">
        <v>139</v>
      </c>
      <c r="AC153" s="132" t="s">
        <v>205</v>
      </c>
    </row>
    <row r="154" spans="2:29" s="28" customFormat="1" ht="57">
      <c r="B154" s="85">
        <v>20240900</v>
      </c>
      <c r="C154" s="53" t="s">
        <v>210</v>
      </c>
      <c r="D154" s="129" t="s">
        <v>169</v>
      </c>
      <c r="E154" s="54" t="s">
        <v>423</v>
      </c>
      <c r="F154" s="129" t="s">
        <v>439</v>
      </c>
      <c r="G154" s="129" t="s">
        <v>156</v>
      </c>
      <c r="H154" s="117">
        <v>80111600</v>
      </c>
      <c r="I154" s="130">
        <v>7</v>
      </c>
      <c r="J154" s="130">
        <v>5</v>
      </c>
      <c r="K154" s="56">
        <v>0</v>
      </c>
      <c r="L154" s="57">
        <v>44000000</v>
      </c>
      <c r="M154" s="129" t="s">
        <v>173</v>
      </c>
      <c r="N154" s="57" t="s">
        <v>114</v>
      </c>
      <c r="O154" s="54" t="s">
        <v>225</v>
      </c>
      <c r="P154" s="131" t="str">
        <f>IFERROR(VLOOKUP(C154,TD!$B$32:$F$36,2,0)," ")</f>
        <v>O230117</v>
      </c>
      <c r="Q154" s="131" t="str">
        <f>IFERROR(VLOOKUP(C154,TD!$B$32:$F$36,3,0)," ")</f>
        <v>4503</v>
      </c>
      <c r="R154" s="131">
        <f>IFERROR(VLOOKUP(C154,TD!$B$32:$F$36,4,0)," ")</f>
        <v>20240255</v>
      </c>
      <c r="S154" s="54" t="s">
        <v>192</v>
      </c>
      <c r="T154" s="131" t="str">
        <f>IFERROR(VLOOKUP(S154,TD!$J$33:$K$43,2,0)," ")</f>
        <v>Servicio de apoyo   logístico  en eventos operativos y/o emergencias.</v>
      </c>
      <c r="U154" s="54" t="str">
        <f t="shared" si="8"/>
        <v>12-Servicio de apoyo   logístico  en eventos operativos y/o emergencias.</v>
      </c>
      <c r="V154" s="54" t="s">
        <v>233</v>
      </c>
      <c r="W154" s="131" t="str">
        <f>IFERROR(VLOOKUP(V154,TD!$N$33:$O$45,2,0)," ")</f>
        <v>Servicio de atención a emergencias y desastres</v>
      </c>
      <c r="X154" s="54" t="str">
        <f t="shared" si="9"/>
        <v>004_Servicio de atención a emergencias y desastres</v>
      </c>
      <c r="Y154" s="54" t="str">
        <f t="shared" si="10"/>
        <v>12-Servicio de apoyo   logístico  en eventos operativos y/o emergencias. 004_Servicio de atención a emergencias y desastres</v>
      </c>
      <c r="Z154" s="131" t="str">
        <f t="shared" si="11"/>
        <v>O23011745032024025512004</v>
      </c>
      <c r="AA154" s="131" t="str">
        <f>IFERROR(VLOOKUP(Y154,TD!$K$46:$L$64,2,0)," ")</f>
        <v>PM/0131/0112/45030040255</v>
      </c>
      <c r="AB154" s="57" t="s">
        <v>139</v>
      </c>
      <c r="AC154" s="132" t="s">
        <v>205</v>
      </c>
    </row>
    <row r="155" spans="2:29" s="28" customFormat="1" ht="57">
      <c r="B155" s="85">
        <v>20240901</v>
      </c>
      <c r="C155" s="53" t="s">
        <v>210</v>
      </c>
      <c r="D155" s="129" t="s">
        <v>169</v>
      </c>
      <c r="E155" s="54" t="s">
        <v>423</v>
      </c>
      <c r="F155" s="129" t="s">
        <v>455</v>
      </c>
      <c r="G155" s="129" t="s">
        <v>156</v>
      </c>
      <c r="H155" s="117">
        <v>80111600</v>
      </c>
      <c r="I155" s="130">
        <v>8</v>
      </c>
      <c r="J155" s="130">
        <v>4</v>
      </c>
      <c r="K155" s="56">
        <v>0</v>
      </c>
      <c r="L155" s="57">
        <f>27810000+9270000</f>
        <v>37080000</v>
      </c>
      <c r="M155" s="129" t="s">
        <v>173</v>
      </c>
      <c r="N155" s="57" t="s">
        <v>114</v>
      </c>
      <c r="O155" s="54" t="s">
        <v>225</v>
      </c>
      <c r="P155" s="131" t="str">
        <f>IFERROR(VLOOKUP(C155,TD!$B$32:$F$36,2,0)," ")</f>
        <v>O230117</v>
      </c>
      <c r="Q155" s="131" t="str">
        <f>IFERROR(VLOOKUP(C155,TD!$B$32:$F$36,3,0)," ")</f>
        <v>4503</v>
      </c>
      <c r="R155" s="131">
        <f>IFERROR(VLOOKUP(C155,TD!$B$32:$F$36,4,0)," ")</f>
        <v>20240255</v>
      </c>
      <c r="S155" s="54" t="s">
        <v>192</v>
      </c>
      <c r="T155" s="131" t="str">
        <f>IFERROR(VLOOKUP(S155,TD!$J$33:$K$43,2,0)," ")</f>
        <v>Servicio de apoyo   logístico  en eventos operativos y/o emergencias.</v>
      </c>
      <c r="U155" s="54" t="str">
        <f t="shared" si="8"/>
        <v>12-Servicio de apoyo   logístico  en eventos operativos y/o emergencias.</v>
      </c>
      <c r="V155" s="54" t="s">
        <v>233</v>
      </c>
      <c r="W155" s="131" t="str">
        <f>IFERROR(VLOOKUP(V155,TD!$N$33:$O$45,2,0)," ")</f>
        <v>Servicio de atención a emergencias y desastres</v>
      </c>
      <c r="X155" s="54" t="str">
        <f t="shared" si="9"/>
        <v>004_Servicio de atención a emergencias y desastres</v>
      </c>
      <c r="Y155" s="54" t="str">
        <f t="shared" si="10"/>
        <v>12-Servicio de apoyo   logístico  en eventos operativos y/o emergencias. 004_Servicio de atención a emergencias y desastres</v>
      </c>
      <c r="Z155" s="131" t="str">
        <f t="shared" si="11"/>
        <v>O23011745032024025512004</v>
      </c>
      <c r="AA155" s="131" t="str">
        <f>IFERROR(VLOOKUP(Y155,TD!$K$46:$L$64,2,0)," ")</f>
        <v>PM/0131/0112/45030040255</v>
      </c>
      <c r="AB155" s="57" t="s">
        <v>139</v>
      </c>
      <c r="AC155" s="132" t="s">
        <v>205</v>
      </c>
    </row>
    <row r="156" spans="2:29" s="28" customFormat="1" ht="57">
      <c r="B156" s="85">
        <v>20240902</v>
      </c>
      <c r="C156" s="53" t="s">
        <v>210</v>
      </c>
      <c r="D156" s="129" t="s">
        <v>169</v>
      </c>
      <c r="E156" s="54" t="s">
        <v>423</v>
      </c>
      <c r="F156" s="129" t="s">
        <v>440</v>
      </c>
      <c r="G156" s="129" t="s">
        <v>156</v>
      </c>
      <c r="H156" s="117">
        <v>80111600</v>
      </c>
      <c r="I156" s="130">
        <v>8</v>
      </c>
      <c r="J156" s="130">
        <v>4</v>
      </c>
      <c r="K156" s="56">
        <v>0</v>
      </c>
      <c r="L156" s="57">
        <f>37150000-3715000-3715000</f>
        <v>29720000</v>
      </c>
      <c r="M156" s="129" t="s">
        <v>173</v>
      </c>
      <c r="N156" s="57" t="s">
        <v>114</v>
      </c>
      <c r="O156" s="54" t="s">
        <v>225</v>
      </c>
      <c r="P156" s="131" t="str">
        <f>IFERROR(VLOOKUP(C156,TD!$B$32:$F$36,2,0)," ")</f>
        <v>O230117</v>
      </c>
      <c r="Q156" s="131" t="str">
        <f>IFERROR(VLOOKUP(C156,TD!$B$32:$F$36,3,0)," ")</f>
        <v>4503</v>
      </c>
      <c r="R156" s="131">
        <f>IFERROR(VLOOKUP(C156,TD!$B$32:$F$36,4,0)," ")</f>
        <v>20240255</v>
      </c>
      <c r="S156" s="54" t="s">
        <v>192</v>
      </c>
      <c r="T156" s="131" t="str">
        <f>IFERROR(VLOOKUP(S156,TD!$J$33:$K$43,2,0)," ")</f>
        <v>Servicio de apoyo   logístico  en eventos operativos y/o emergencias.</v>
      </c>
      <c r="U156" s="54" t="str">
        <f t="shared" si="8"/>
        <v>12-Servicio de apoyo   logístico  en eventos operativos y/o emergencias.</v>
      </c>
      <c r="V156" s="54" t="s">
        <v>233</v>
      </c>
      <c r="W156" s="131" t="str">
        <f>IFERROR(VLOOKUP(V156,TD!$N$33:$O$45,2,0)," ")</f>
        <v>Servicio de atención a emergencias y desastres</v>
      </c>
      <c r="X156" s="54" t="str">
        <f t="shared" si="9"/>
        <v>004_Servicio de atención a emergencias y desastres</v>
      </c>
      <c r="Y156" s="54" t="str">
        <f t="shared" si="10"/>
        <v>12-Servicio de apoyo   logístico  en eventos operativos y/o emergencias. 004_Servicio de atención a emergencias y desastres</v>
      </c>
      <c r="Z156" s="131" t="str">
        <f t="shared" si="11"/>
        <v>O23011745032024025512004</v>
      </c>
      <c r="AA156" s="131" t="str">
        <f>IFERROR(VLOOKUP(Y156,TD!$K$46:$L$64,2,0)," ")</f>
        <v>PM/0131/0112/45030040255</v>
      </c>
      <c r="AB156" s="57" t="s">
        <v>139</v>
      </c>
      <c r="AC156" s="132" t="s">
        <v>205</v>
      </c>
    </row>
    <row r="157" spans="2:29" s="28" customFormat="1" ht="57">
      <c r="B157" s="85">
        <v>20240903</v>
      </c>
      <c r="C157" s="53" t="s">
        <v>210</v>
      </c>
      <c r="D157" s="129" t="s">
        <v>169</v>
      </c>
      <c r="E157" s="54" t="s">
        <v>423</v>
      </c>
      <c r="F157" s="129" t="s">
        <v>441</v>
      </c>
      <c r="G157" s="129" t="s">
        <v>156</v>
      </c>
      <c r="H157" s="117">
        <v>80111600</v>
      </c>
      <c r="I157" s="130">
        <v>8</v>
      </c>
      <c r="J157" s="130">
        <v>4</v>
      </c>
      <c r="K157" s="56">
        <v>0</v>
      </c>
      <c r="L157" s="57">
        <f>4000000+32000000-4000000</f>
        <v>32000000</v>
      </c>
      <c r="M157" s="129" t="s">
        <v>173</v>
      </c>
      <c r="N157" s="57" t="s">
        <v>114</v>
      </c>
      <c r="O157" s="54" t="s">
        <v>225</v>
      </c>
      <c r="P157" s="131" t="str">
        <f>IFERROR(VLOOKUP(C157,TD!$B$32:$F$36,2,0)," ")</f>
        <v>O230117</v>
      </c>
      <c r="Q157" s="131" t="str">
        <f>IFERROR(VLOOKUP(C157,TD!$B$32:$F$36,3,0)," ")</f>
        <v>4503</v>
      </c>
      <c r="R157" s="131">
        <f>IFERROR(VLOOKUP(C157,TD!$B$32:$F$36,4,0)," ")</f>
        <v>20240255</v>
      </c>
      <c r="S157" s="54" t="s">
        <v>192</v>
      </c>
      <c r="T157" s="131" t="str">
        <f>IFERROR(VLOOKUP(S157,TD!$J$33:$K$43,2,0)," ")</f>
        <v>Servicio de apoyo   logístico  en eventos operativos y/o emergencias.</v>
      </c>
      <c r="U157" s="54" t="str">
        <f t="shared" si="8"/>
        <v>12-Servicio de apoyo   logístico  en eventos operativos y/o emergencias.</v>
      </c>
      <c r="V157" s="54" t="s">
        <v>233</v>
      </c>
      <c r="W157" s="131" t="str">
        <f>IFERROR(VLOOKUP(V157,TD!$N$33:$O$45,2,0)," ")</f>
        <v>Servicio de atención a emergencias y desastres</v>
      </c>
      <c r="X157" s="54" t="str">
        <f t="shared" si="9"/>
        <v>004_Servicio de atención a emergencias y desastres</v>
      </c>
      <c r="Y157" s="54" t="str">
        <f t="shared" si="10"/>
        <v>12-Servicio de apoyo   logístico  en eventos operativos y/o emergencias. 004_Servicio de atención a emergencias y desastres</v>
      </c>
      <c r="Z157" s="131" t="str">
        <f t="shared" si="11"/>
        <v>O23011745032024025512004</v>
      </c>
      <c r="AA157" s="131" t="str">
        <f>IFERROR(VLOOKUP(Y157,TD!$K$46:$L$64,2,0)," ")</f>
        <v>PM/0131/0112/45030040255</v>
      </c>
      <c r="AB157" s="57" t="s">
        <v>139</v>
      </c>
      <c r="AC157" s="132" t="s">
        <v>205</v>
      </c>
    </row>
    <row r="158" spans="2:29" s="28" customFormat="1" ht="57">
      <c r="B158" s="85">
        <v>20240904</v>
      </c>
      <c r="C158" s="53" t="s">
        <v>210</v>
      </c>
      <c r="D158" s="129" t="s">
        <v>169</v>
      </c>
      <c r="E158" s="54" t="s">
        <v>423</v>
      </c>
      <c r="F158" s="129" t="s">
        <v>442</v>
      </c>
      <c r="G158" s="129" t="s">
        <v>156</v>
      </c>
      <c r="H158" s="117">
        <v>80111600</v>
      </c>
      <c r="I158" s="130">
        <v>7</v>
      </c>
      <c r="J158" s="130">
        <v>4</v>
      </c>
      <c r="K158" s="56">
        <v>0</v>
      </c>
      <c r="L158" s="57">
        <v>24720000</v>
      </c>
      <c r="M158" s="129" t="s">
        <v>173</v>
      </c>
      <c r="N158" s="57" t="s">
        <v>114</v>
      </c>
      <c r="O158" s="54" t="s">
        <v>225</v>
      </c>
      <c r="P158" s="131" t="str">
        <f>IFERROR(VLOOKUP(C158,TD!$B$32:$F$36,2,0)," ")</f>
        <v>O230117</v>
      </c>
      <c r="Q158" s="131" t="str">
        <f>IFERROR(VLOOKUP(C158,TD!$B$32:$F$36,3,0)," ")</f>
        <v>4503</v>
      </c>
      <c r="R158" s="131">
        <f>IFERROR(VLOOKUP(C158,TD!$B$32:$F$36,4,0)," ")</f>
        <v>20240255</v>
      </c>
      <c r="S158" s="54" t="s">
        <v>192</v>
      </c>
      <c r="T158" s="131" t="str">
        <f>IFERROR(VLOOKUP(S158,TD!$J$33:$K$43,2,0)," ")</f>
        <v>Servicio de apoyo   logístico  en eventos operativos y/o emergencias.</v>
      </c>
      <c r="U158" s="54" t="str">
        <f t="shared" si="8"/>
        <v>12-Servicio de apoyo   logístico  en eventos operativos y/o emergencias.</v>
      </c>
      <c r="V158" s="54" t="s">
        <v>233</v>
      </c>
      <c r="W158" s="131" t="str">
        <f>IFERROR(VLOOKUP(V158,TD!$N$33:$O$45,2,0)," ")</f>
        <v>Servicio de atención a emergencias y desastres</v>
      </c>
      <c r="X158" s="54" t="str">
        <f t="shared" si="9"/>
        <v>004_Servicio de atención a emergencias y desastres</v>
      </c>
      <c r="Y158" s="54" t="str">
        <f t="shared" si="10"/>
        <v>12-Servicio de apoyo   logístico  en eventos operativos y/o emergencias. 004_Servicio de atención a emergencias y desastres</v>
      </c>
      <c r="Z158" s="131" t="str">
        <f t="shared" si="11"/>
        <v>O23011745032024025512004</v>
      </c>
      <c r="AA158" s="131" t="str">
        <f>IFERROR(VLOOKUP(Y158,TD!$K$46:$L$64,2,0)," ")</f>
        <v>PM/0131/0112/45030040255</v>
      </c>
      <c r="AB158" s="57" t="s">
        <v>139</v>
      </c>
      <c r="AC158" s="132" t="s">
        <v>205</v>
      </c>
    </row>
    <row r="159" spans="2:29" s="28" customFormat="1" ht="71.25">
      <c r="B159" s="85">
        <v>20240905</v>
      </c>
      <c r="C159" s="53" t="s">
        <v>210</v>
      </c>
      <c r="D159" s="129" t="s">
        <v>169</v>
      </c>
      <c r="E159" s="54" t="s">
        <v>423</v>
      </c>
      <c r="F159" s="129" t="s">
        <v>751</v>
      </c>
      <c r="G159" s="129" t="s">
        <v>157</v>
      </c>
      <c r="H159" s="117">
        <v>80111600</v>
      </c>
      <c r="I159" s="130">
        <v>8</v>
      </c>
      <c r="J159" s="130">
        <v>4</v>
      </c>
      <c r="K159" s="56">
        <v>0</v>
      </c>
      <c r="L159" s="57">
        <v>12000000</v>
      </c>
      <c r="M159" s="129" t="s">
        <v>173</v>
      </c>
      <c r="N159" s="57" t="s">
        <v>114</v>
      </c>
      <c r="O159" s="54" t="s">
        <v>225</v>
      </c>
      <c r="P159" s="131" t="str">
        <f>IFERROR(VLOOKUP(C159,TD!$B$32:$F$36,2,0)," ")</f>
        <v>O230117</v>
      </c>
      <c r="Q159" s="131" t="str">
        <f>IFERROR(VLOOKUP(C159,TD!$B$32:$F$36,3,0)," ")</f>
        <v>4503</v>
      </c>
      <c r="R159" s="131">
        <f>IFERROR(VLOOKUP(C159,TD!$B$32:$F$36,4,0)," ")</f>
        <v>20240255</v>
      </c>
      <c r="S159" s="54" t="s">
        <v>192</v>
      </c>
      <c r="T159" s="131" t="str">
        <f>IFERROR(VLOOKUP(S159,TD!$J$33:$K$43,2,0)," ")</f>
        <v>Servicio de apoyo   logístico  en eventos operativos y/o emergencias.</v>
      </c>
      <c r="U159" s="54" t="str">
        <f t="shared" si="8"/>
        <v>12-Servicio de apoyo   logístico  en eventos operativos y/o emergencias.</v>
      </c>
      <c r="V159" s="54" t="s">
        <v>233</v>
      </c>
      <c r="W159" s="131" t="str">
        <f>IFERROR(VLOOKUP(V159,TD!$N$33:$O$45,2,0)," ")</f>
        <v>Servicio de atención a emergencias y desastres</v>
      </c>
      <c r="X159" s="54" t="str">
        <f t="shared" si="9"/>
        <v>004_Servicio de atención a emergencias y desastres</v>
      </c>
      <c r="Y159" s="54" t="str">
        <f t="shared" si="10"/>
        <v>12-Servicio de apoyo   logístico  en eventos operativos y/o emergencias. 004_Servicio de atención a emergencias y desastres</v>
      </c>
      <c r="Z159" s="131" t="str">
        <f t="shared" si="11"/>
        <v>O23011745032024025512004</v>
      </c>
      <c r="AA159" s="131" t="str">
        <f>IFERROR(VLOOKUP(Y159,TD!$K$46:$L$64,2,0)," ")</f>
        <v>PM/0131/0112/45030040255</v>
      </c>
      <c r="AB159" s="57" t="s">
        <v>139</v>
      </c>
      <c r="AC159" s="132" t="s">
        <v>205</v>
      </c>
    </row>
    <row r="160" spans="2:29" s="28" customFormat="1" ht="71.25">
      <c r="B160" s="85">
        <v>20240906</v>
      </c>
      <c r="C160" s="53" t="s">
        <v>210</v>
      </c>
      <c r="D160" s="129" t="s">
        <v>169</v>
      </c>
      <c r="E160" s="54" t="s">
        <v>423</v>
      </c>
      <c r="F160" s="129" t="s">
        <v>748</v>
      </c>
      <c r="G160" s="129" t="s">
        <v>157</v>
      </c>
      <c r="H160" s="117">
        <v>80111600</v>
      </c>
      <c r="I160" s="130">
        <v>8</v>
      </c>
      <c r="J160" s="130">
        <v>4</v>
      </c>
      <c r="K160" s="56">
        <v>0</v>
      </c>
      <c r="L160" s="57">
        <f>20000000-4000000</f>
        <v>16000000</v>
      </c>
      <c r="M160" s="129" t="s">
        <v>173</v>
      </c>
      <c r="N160" s="57" t="s">
        <v>114</v>
      </c>
      <c r="O160" s="54" t="s">
        <v>225</v>
      </c>
      <c r="P160" s="131" t="str">
        <f>IFERROR(VLOOKUP(C160,TD!$B$32:$F$36,2,0)," ")</f>
        <v>O230117</v>
      </c>
      <c r="Q160" s="131" t="str">
        <f>IFERROR(VLOOKUP(C160,TD!$B$32:$F$36,3,0)," ")</f>
        <v>4503</v>
      </c>
      <c r="R160" s="131">
        <f>IFERROR(VLOOKUP(C160,TD!$B$32:$F$36,4,0)," ")</f>
        <v>20240255</v>
      </c>
      <c r="S160" s="54" t="s">
        <v>192</v>
      </c>
      <c r="T160" s="131" t="str">
        <f>IFERROR(VLOOKUP(S160,TD!$J$33:$K$43,2,0)," ")</f>
        <v>Servicio de apoyo   logístico  en eventos operativos y/o emergencias.</v>
      </c>
      <c r="U160" s="54" t="str">
        <f t="shared" si="8"/>
        <v>12-Servicio de apoyo   logístico  en eventos operativos y/o emergencias.</v>
      </c>
      <c r="V160" s="54" t="s">
        <v>233</v>
      </c>
      <c r="W160" s="131" t="str">
        <f>IFERROR(VLOOKUP(V160,TD!$N$33:$O$45,2,0)," ")</f>
        <v>Servicio de atención a emergencias y desastres</v>
      </c>
      <c r="X160" s="54" t="str">
        <f t="shared" si="9"/>
        <v>004_Servicio de atención a emergencias y desastres</v>
      </c>
      <c r="Y160" s="54" t="str">
        <f t="shared" si="10"/>
        <v>12-Servicio de apoyo   logístico  en eventos operativos y/o emergencias. 004_Servicio de atención a emergencias y desastres</v>
      </c>
      <c r="Z160" s="131" t="str">
        <f t="shared" si="11"/>
        <v>O23011745032024025512004</v>
      </c>
      <c r="AA160" s="131" t="str">
        <f>IFERROR(VLOOKUP(Y160,TD!$K$46:$L$64,2,0)," ")</f>
        <v>PM/0131/0112/45030040255</v>
      </c>
      <c r="AB160" s="57" t="s">
        <v>139</v>
      </c>
      <c r="AC160" s="132" t="s">
        <v>205</v>
      </c>
    </row>
    <row r="161" spans="2:29" s="28" customFormat="1" ht="71.25">
      <c r="B161" s="85">
        <v>20240907</v>
      </c>
      <c r="C161" s="53" t="s">
        <v>210</v>
      </c>
      <c r="D161" s="129" t="s">
        <v>169</v>
      </c>
      <c r="E161" s="54" t="s">
        <v>423</v>
      </c>
      <c r="F161" s="129" t="s">
        <v>443</v>
      </c>
      <c r="G161" s="129" t="s">
        <v>157</v>
      </c>
      <c r="H161" s="117">
        <v>80111600</v>
      </c>
      <c r="I161" s="130">
        <v>7</v>
      </c>
      <c r="J161" s="130">
        <v>5</v>
      </c>
      <c r="K161" s="56">
        <v>0</v>
      </c>
      <c r="L161" s="57">
        <v>16100000</v>
      </c>
      <c r="M161" s="129" t="s">
        <v>173</v>
      </c>
      <c r="N161" s="57" t="s">
        <v>114</v>
      </c>
      <c r="O161" s="54" t="s">
        <v>225</v>
      </c>
      <c r="P161" s="131" t="str">
        <f>IFERROR(VLOOKUP(C161,TD!$B$32:$F$36,2,0)," ")</f>
        <v>O230117</v>
      </c>
      <c r="Q161" s="131" t="str">
        <f>IFERROR(VLOOKUP(C161,TD!$B$32:$F$36,3,0)," ")</f>
        <v>4503</v>
      </c>
      <c r="R161" s="131">
        <f>IFERROR(VLOOKUP(C161,TD!$B$32:$F$36,4,0)," ")</f>
        <v>20240255</v>
      </c>
      <c r="S161" s="54" t="s">
        <v>192</v>
      </c>
      <c r="T161" s="131" t="str">
        <f>IFERROR(VLOOKUP(S161,TD!$J$33:$K$43,2,0)," ")</f>
        <v>Servicio de apoyo   logístico  en eventos operativos y/o emergencias.</v>
      </c>
      <c r="U161" s="54" t="str">
        <f t="shared" si="8"/>
        <v>12-Servicio de apoyo   logístico  en eventos operativos y/o emergencias.</v>
      </c>
      <c r="V161" s="54" t="s">
        <v>233</v>
      </c>
      <c r="W161" s="131" t="str">
        <f>IFERROR(VLOOKUP(V161,TD!$N$33:$O$45,2,0)," ")</f>
        <v>Servicio de atención a emergencias y desastres</v>
      </c>
      <c r="X161" s="54" t="str">
        <f t="shared" si="9"/>
        <v>004_Servicio de atención a emergencias y desastres</v>
      </c>
      <c r="Y161" s="54" t="str">
        <f t="shared" si="10"/>
        <v>12-Servicio de apoyo   logístico  en eventos operativos y/o emergencias. 004_Servicio de atención a emergencias y desastres</v>
      </c>
      <c r="Z161" s="131" t="str">
        <f t="shared" si="11"/>
        <v>O23011745032024025512004</v>
      </c>
      <c r="AA161" s="131" t="str">
        <f>IFERROR(VLOOKUP(Y161,TD!$K$46:$L$64,2,0)," ")</f>
        <v>PM/0131/0112/45030040255</v>
      </c>
      <c r="AB161" s="57" t="s">
        <v>139</v>
      </c>
      <c r="AC161" s="132" t="s">
        <v>205</v>
      </c>
    </row>
    <row r="162" spans="2:29" s="28" customFormat="1" ht="57">
      <c r="B162" s="85">
        <v>20240908</v>
      </c>
      <c r="C162" s="53" t="s">
        <v>210</v>
      </c>
      <c r="D162" s="129" t="s">
        <v>169</v>
      </c>
      <c r="E162" s="54" t="s">
        <v>423</v>
      </c>
      <c r="F162" s="129" t="s">
        <v>444</v>
      </c>
      <c r="G162" s="129" t="s">
        <v>156</v>
      </c>
      <c r="H162" s="117">
        <v>80111600</v>
      </c>
      <c r="I162" s="130">
        <v>7</v>
      </c>
      <c r="J162" s="130">
        <v>4</v>
      </c>
      <c r="K162" s="56">
        <v>0</v>
      </c>
      <c r="L162" s="57">
        <v>20000000</v>
      </c>
      <c r="M162" s="129" t="s">
        <v>173</v>
      </c>
      <c r="N162" s="57" t="s">
        <v>114</v>
      </c>
      <c r="O162" s="54" t="s">
        <v>225</v>
      </c>
      <c r="P162" s="131" t="str">
        <f>IFERROR(VLOOKUP(C162,TD!$B$32:$F$36,2,0)," ")</f>
        <v>O230117</v>
      </c>
      <c r="Q162" s="131" t="str">
        <f>IFERROR(VLOOKUP(C162,TD!$B$32:$F$36,3,0)," ")</f>
        <v>4503</v>
      </c>
      <c r="R162" s="131">
        <f>IFERROR(VLOOKUP(C162,TD!$B$32:$F$36,4,0)," ")</f>
        <v>20240255</v>
      </c>
      <c r="S162" s="54" t="s">
        <v>192</v>
      </c>
      <c r="T162" s="131" t="str">
        <f>IFERROR(VLOOKUP(S162,TD!$J$33:$K$43,2,0)," ")</f>
        <v>Servicio de apoyo   logístico  en eventos operativos y/o emergencias.</v>
      </c>
      <c r="U162" s="54" t="str">
        <f t="shared" si="8"/>
        <v>12-Servicio de apoyo   logístico  en eventos operativos y/o emergencias.</v>
      </c>
      <c r="V162" s="54" t="s">
        <v>233</v>
      </c>
      <c r="W162" s="131" t="str">
        <f>IFERROR(VLOOKUP(V162,TD!$N$33:$O$45,2,0)," ")</f>
        <v>Servicio de atención a emergencias y desastres</v>
      </c>
      <c r="X162" s="54" t="str">
        <f t="shared" si="9"/>
        <v>004_Servicio de atención a emergencias y desastres</v>
      </c>
      <c r="Y162" s="54" t="str">
        <f t="shared" si="10"/>
        <v>12-Servicio de apoyo   logístico  en eventos operativos y/o emergencias. 004_Servicio de atención a emergencias y desastres</v>
      </c>
      <c r="Z162" s="131" t="str">
        <f t="shared" si="11"/>
        <v>O23011745032024025512004</v>
      </c>
      <c r="AA162" s="131" t="str">
        <f>IFERROR(VLOOKUP(Y162,TD!$K$46:$L$64,2,0)," ")</f>
        <v>PM/0131/0112/45030040255</v>
      </c>
      <c r="AB162" s="57" t="s">
        <v>139</v>
      </c>
      <c r="AC162" s="132" t="s">
        <v>205</v>
      </c>
    </row>
    <row r="163" spans="2:29" s="28" customFormat="1" ht="57">
      <c r="B163" s="85">
        <v>20240909</v>
      </c>
      <c r="C163" s="53" t="s">
        <v>210</v>
      </c>
      <c r="D163" s="129" t="s">
        <v>169</v>
      </c>
      <c r="E163" s="54" t="s">
        <v>423</v>
      </c>
      <c r="F163" s="129" t="s">
        <v>445</v>
      </c>
      <c r="G163" s="129" t="s">
        <v>156</v>
      </c>
      <c r="H163" s="117">
        <v>80111600</v>
      </c>
      <c r="I163" s="130">
        <v>7</v>
      </c>
      <c r="J163" s="130">
        <v>4</v>
      </c>
      <c r="K163" s="56">
        <v>0</v>
      </c>
      <c r="L163" s="57">
        <v>16480000</v>
      </c>
      <c r="M163" s="129" t="s">
        <v>173</v>
      </c>
      <c r="N163" s="57" t="s">
        <v>114</v>
      </c>
      <c r="O163" s="54" t="s">
        <v>225</v>
      </c>
      <c r="P163" s="131" t="str">
        <f>IFERROR(VLOOKUP(C163,TD!$B$32:$F$36,2,0)," ")</f>
        <v>O230117</v>
      </c>
      <c r="Q163" s="131" t="str">
        <f>IFERROR(VLOOKUP(C163,TD!$B$32:$F$36,3,0)," ")</f>
        <v>4503</v>
      </c>
      <c r="R163" s="131">
        <f>IFERROR(VLOOKUP(C163,TD!$B$32:$F$36,4,0)," ")</f>
        <v>20240255</v>
      </c>
      <c r="S163" s="54" t="s">
        <v>192</v>
      </c>
      <c r="T163" s="131" t="str">
        <f>IFERROR(VLOOKUP(S163,TD!$J$33:$K$43,2,0)," ")</f>
        <v>Servicio de apoyo   logístico  en eventos operativos y/o emergencias.</v>
      </c>
      <c r="U163" s="54" t="str">
        <f t="shared" si="8"/>
        <v>12-Servicio de apoyo   logístico  en eventos operativos y/o emergencias.</v>
      </c>
      <c r="V163" s="54" t="s">
        <v>233</v>
      </c>
      <c r="W163" s="131" t="str">
        <f>IFERROR(VLOOKUP(V163,TD!$N$33:$O$45,2,0)," ")</f>
        <v>Servicio de atención a emergencias y desastres</v>
      </c>
      <c r="X163" s="54" t="str">
        <f t="shared" si="9"/>
        <v>004_Servicio de atención a emergencias y desastres</v>
      </c>
      <c r="Y163" s="54" t="str">
        <f t="shared" si="10"/>
        <v>12-Servicio de apoyo   logístico  en eventos operativos y/o emergencias. 004_Servicio de atención a emergencias y desastres</v>
      </c>
      <c r="Z163" s="131" t="str">
        <f t="shared" si="11"/>
        <v>O23011745032024025512004</v>
      </c>
      <c r="AA163" s="131" t="str">
        <f>IFERROR(VLOOKUP(Y163,TD!$K$46:$L$64,2,0)," ")</f>
        <v>PM/0131/0112/45030040255</v>
      </c>
      <c r="AB163" s="57" t="s">
        <v>139</v>
      </c>
      <c r="AC163" s="132" t="s">
        <v>205</v>
      </c>
    </row>
    <row r="164" spans="2:29" s="28" customFormat="1" ht="57">
      <c r="B164" s="85">
        <v>20240910</v>
      </c>
      <c r="C164" s="53" t="s">
        <v>210</v>
      </c>
      <c r="D164" s="129" t="s">
        <v>169</v>
      </c>
      <c r="E164" s="54" t="s">
        <v>423</v>
      </c>
      <c r="F164" s="129" t="s">
        <v>446</v>
      </c>
      <c r="G164" s="129" t="s">
        <v>156</v>
      </c>
      <c r="H164" s="117">
        <v>80111600</v>
      </c>
      <c r="I164" s="130">
        <v>7</v>
      </c>
      <c r="J164" s="130">
        <v>4</v>
      </c>
      <c r="K164" s="56">
        <v>0</v>
      </c>
      <c r="L164" s="57">
        <v>15200000</v>
      </c>
      <c r="M164" s="129" t="s">
        <v>173</v>
      </c>
      <c r="N164" s="57" t="s">
        <v>114</v>
      </c>
      <c r="O164" s="54" t="s">
        <v>225</v>
      </c>
      <c r="P164" s="131" t="str">
        <f>IFERROR(VLOOKUP(C164,TD!$B$32:$F$36,2,0)," ")</f>
        <v>O230117</v>
      </c>
      <c r="Q164" s="131" t="str">
        <f>IFERROR(VLOOKUP(C164,TD!$B$32:$F$36,3,0)," ")</f>
        <v>4503</v>
      </c>
      <c r="R164" s="131">
        <f>IFERROR(VLOOKUP(C164,TD!$B$32:$F$36,4,0)," ")</f>
        <v>20240255</v>
      </c>
      <c r="S164" s="54" t="s">
        <v>192</v>
      </c>
      <c r="T164" s="131" t="str">
        <f>IFERROR(VLOOKUP(S164,TD!$J$33:$K$43,2,0)," ")</f>
        <v>Servicio de apoyo   logístico  en eventos operativos y/o emergencias.</v>
      </c>
      <c r="U164" s="54" t="str">
        <f t="shared" si="8"/>
        <v>12-Servicio de apoyo   logístico  en eventos operativos y/o emergencias.</v>
      </c>
      <c r="V164" s="54" t="s">
        <v>233</v>
      </c>
      <c r="W164" s="131" t="str">
        <f>IFERROR(VLOOKUP(V164,TD!$N$33:$O$45,2,0)," ")</f>
        <v>Servicio de atención a emergencias y desastres</v>
      </c>
      <c r="X164" s="54" t="str">
        <f t="shared" si="9"/>
        <v>004_Servicio de atención a emergencias y desastres</v>
      </c>
      <c r="Y164" s="54" t="str">
        <f t="shared" si="10"/>
        <v>12-Servicio de apoyo   logístico  en eventos operativos y/o emergencias. 004_Servicio de atención a emergencias y desastres</v>
      </c>
      <c r="Z164" s="131" t="str">
        <f t="shared" si="11"/>
        <v>O23011745032024025512004</v>
      </c>
      <c r="AA164" s="131" t="str">
        <f>IFERROR(VLOOKUP(Y164,TD!$K$46:$L$64,2,0)," ")</f>
        <v>PM/0131/0112/45030040255</v>
      </c>
      <c r="AB164" s="57" t="s">
        <v>139</v>
      </c>
      <c r="AC164" s="132" t="s">
        <v>205</v>
      </c>
    </row>
    <row r="165" spans="2:29" s="28" customFormat="1" ht="57">
      <c r="B165" s="85">
        <v>20240911</v>
      </c>
      <c r="C165" s="53" t="s">
        <v>210</v>
      </c>
      <c r="D165" s="129" t="s">
        <v>169</v>
      </c>
      <c r="E165" s="54" t="s">
        <v>423</v>
      </c>
      <c r="F165" s="129" t="s">
        <v>749</v>
      </c>
      <c r="G165" s="129" t="s">
        <v>156</v>
      </c>
      <c r="H165" s="117">
        <v>80111600</v>
      </c>
      <c r="I165" s="130">
        <v>8</v>
      </c>
      <c r="J165" s="130">
        <v>2</v>
      </c>
      <c r="K165" s="56">
        <v>0</v>
      </c>
      <c r="L165" s="57">
        <f>12660000-4220000</f>
        <v>8440000</v>
      </c>
      <c r="M165" s="129" t="s">
        <v>173</v>
      </c>
      <c r="N165" s="57" t="s">
        <v>114</v>
      </c>
      <c r="O165" s="54" t="s">
        <v>225</v>
      </c>
      <c r="P165" s="131" t="str">
        <f>IFERROR(VLOOKUP(C165,TD!$B$32:$F$36,2,0)," ")</f>
        <v>O230117</v>
      </c>
      <c r="Q165" s="131" t="str">
        <f>IFERROR(VLOOKUP(C165,TD!$B$32:$F$36,3,0)," ")</f>
        <v>4503</v>
      </c>
      <c r="R165" s="131">
        <f>IFERROR(VLOOKUP(C165,TD!$B$32:$F$36,4,0)," ")</f>
        <v>20240255</v>
      </c>
      <c r="S165" s="54" t="s">
        <v>192</v>
      </c>
      <c r="T165" s="131" t="str">
        <f>IFERROR(VLOOKUP(S165,TD!$J$33:$K$43,2,0)," ")</f>
        <v>Servicio de apoyo   logístico  en eventos operativos y/o emergencias.</v>
      </c>
      <c r="U165" s="54" t="str">
        <f t="shared" si="8"/>
        <v>12-Servicio de apoyo   logístico  en eventos operativos y/o emergencias.</v>
      </c>
      <c r="V165" s="54" t="s">
        <v>233</v>
      </c>
      <c r="W165" s="131" t="str">
        <f>IFERROR(VLOOKUP(V165,TD!$N$33:$O$45,2,0)," ")</f>
        <v>Servicio de atención a emergencias y desastres</v>
      </c>
      <c r="X165" s="54" t="str">
        <f t="shared" si="9"/>
        <v>004_Servicio de atención a emergencias y desastres</v>
      </c>
      <c r="Y165" s="54" t="str">
        <f t="shared" si="10"/>
        <v>12-Servicio de apoyo   logístico  en eventos operativos y/o emergencias. 004_Servicio de atención a emergencias y desastres</v>
      </c>
      <c r="Z165" s="131" t="str">
        <f t="shared" si="11"/>
        <v>O23011745032024025512004</v>
      </c>
      <c r="AA165" s="131" t="str">
        <f>IFERROR(VLOOKUP(Y165,TD!$K$46:$L$64,2,0)," ")</f>
        <v>PM/0131/0112/45030040255</v>
      </c>
      <c r="AB165" s="57" t="s">
        <v>139</v>
      </c>
      <c r="AC165" s="132" t="s">
        <v>205</v>
      </c>
    </row>
    <row r="166" spans="2:29" s="28" customFormat="1" ht="57">
      <c r="B166" s="85">
        <v>20240912</v>
      </c>
      <c r="C166" s="53" t="s">
        <v>210</v>
      </c>
      <c r="D166" s="129" t="s">
        <v>169</v>
      </c>
      <c r="E166" s="54" t="s">
        <v>423</v>
      </c>
      <c r="F166" s="129" t="s">
        <v>750</v>
      </c>
      <c r="G166" s="129" t="s">
        <v>156</v>
      </c>
      <c r="H166" s="117">
        <v>80111600</v>
      </c>
      <c r="I166" s="130">
        <v>9</v>
      </c>
      <c r="J166" s="130">
        <v>3</v>
      </c>
      <c r="K166" s="56">
        <v>0</v>
      </c>
      <c r="L166" s="57">
        <f>18520000+3715000</f>
        <v>22235000</v>
      </c>
      <c r="M166" s="129" t="s">
        <v>173</v>
      </c>
      <c r="N166" s="57" t="s">
        <v>114</v>
      </c>
      <c r="O166" s="54" t="s">
        <v>225</v>
      </c>
      <c r="P166" s="131" t="str">
        <f>IFERROR(VLOOKUP(C166,TD!$B$32:$F$36,2,0)," ")</f>
        <v>O230117</v>
      </c>
      <c r="Q166" s="131" t="str">
        <f>IFERROR(VLOOKUP(C166,TD!$B$32:$F$36,3,0)," ")</f>
        <v>4503</v>
      </c>
      <c r="R166" s="131">
        <f>IFERROR(VLOOKUP(C166,TD!$B$32:$F$36,4,0)," ")</f>
        <v>20240255</v>
      </c>
      <c r="S166" s="54" t="s">
        <v>192</v>
      </c>
      <c r="T166" s="131" t="str">
        <f>IFERROR(VLOOKUP(S166,TD!$J$33:$K$43,2,0)," ")</f>
        <v>Servicio de apoyo   logístico  en eventos operativos y/o emergencias.</v>
      </c>
      <c r="U166" s="54" t="str">
        <f t="shared" si="8"/>
        <v>12-Servicio de apoyo   logístico  en eventos operativos y/o emergencias.</v>
      </c>
      <c r="V166" s="54" t="s">
        <v>233</v>
      </c>
      <c r="W166" s="131" t="str">
        <f>IFERROR(VLOOKUP(V166,TD!$N$33:$O$45,2,0)," ")</f>
        <v>Servicio de atención a emergencias y desastres</v>
      </c>
      <c r="X166" s="54" t="str">
        <f t="shared" si="9"/>
        <v>004_Servicio de atención a emergencias y desastres</v>
      </c>
      <c r="Y166" s="54" t="str">
        <f t="shared" si="10"/>
        <v>12-Servicio de apoyo   logístico  en eventos operativos y/o emergencias. 004_Servicio de atención a emergencias y desastres</v>
      </c>
      <c r="Z166" s="131" t="str">
        <f t="shared" si="11"/>
        <v>O23011745032024025512004</v>
      </c>
      <c r="AA166" s="131" t="str">
        <f>IFERROR(VLOOKUP(Y166,TD!$K$46:$L$64,2,0)," ")</f>
        <v>PM/0131/0112/45030040255</v>
      </c>
      <c r="AB166" s="57" t="s">
        <v>139</v>
      </c>
      <c r="AC166" s="132" t="s">
        <v>205</v>
      </c>
    </row>
    <row r="167" spans="2:29" s="28" customFormat="1" ht="71.25">
      <c r="B167" s="85">
        <v>20240913</v>
      </c>
      <c r="C167" s="53" t="s">
        <v>210</v>
      </c>
      <c r="D167" s="129" t="s">
        <v>169</v>
      </c>
      <c r="E167" s="54" t="s">
        <v>423</v>
      </c>
      <c r="F167" s="129" t="s">
        <v>447</v>
      </c>
      <c r="G167" s="129" t="s">
        <v>157</v>
      </c>
      <c r="H167" s="117">
        <v>80111600</v>
      </c>
      <c r="I167" s="130">
        <v>7</v>
      </c>
      <c r="J167" s="130">
        <v>5</v>
      </c>
      <c r="K167" s="56">
        <v>0</v>
      </c>
      <c r="L167" s="57">
        <v>16500000</v>
      </c>
      <c r="M167" s="129" t="s">
        <v>173</v>
      </c>
      <c r="N167" s="57" t="s">
        <v>114</v>
      </c>
      <c r="O167" s="54" t="s">
        <v>225</v>
      </c>
      <c r="P167" s="131" t="str">
        <f>IFERROR(VLOOKUP(C167,TD!$B$32:$F$36,2,0)," ")</f>
        <v>O230117</v>
      </c>
      <c r="Q167" s="131" t="str">
        <f>IFERROR(VLOOKUP(C167,TD!$B$32:$F$36,3,0)," ")</f>
        <v>4503</v>
      </c>
      <c r="R167" s="131">
        <f>IFERROR(VLOOKUP(C167,TD!$B$32:$F$36,4,0)," ")</f>
        <v>20240255</v>
      </c>
      <c r="S167" s="54" t="s">
        <v>192</v>
      </c>
      <c r="T167" s="131" t="str">
        <f>IFERROR(VLOOKUP(S167,TD!$J$33:$K$43,2,0)," ")</f>
        <v>Servicio de apoyo   logístico  en eventos operativos y/o emergencias.</v>
      </c>
      <c r="U167" s="54" t="str">
        <f t="shared" si="8"/>
        <v>12-Servicio de apoyo   logístico  en eventos operativos y/o emergencias.</v>
      </c>
      <c r="V167" s="54" t="s">
        <v>233</v>
      </c>
      <c r="W167" s="131" t="str">
        <f>IFERROR(VLOOKUP(V167,TD!$N$33:$O$45,2,0)," ")</f>
        <v>Servicio de atención a emergencias y desastres</v>
      </c>
      <c r="X167" s="54" t="str">
        <f t="shared" si="9"/>
        <v>004_Servicio de atención a emergencias y desastres</v>
      </c>
      <c r="Y167" s="54" t="str">
        <f t="shared" si="10"/>
        <v>12-Servicio de apoyo   logístico  en eventos operativos y/o emergencias. 004_Servicio de atención a emergencias y desastres</v>
      </c>
      <c r="Z167" s="131" t="str">
        <f t="shared" si="11"/>
        <v>O23011745032024025512004</v>
      </c>
      <c r="AA167" s="131" t="str">
        <f>IFERROR(VLOOKUP(Y167,TD!$K$46:$L$64,2,0)," ")</f>
        <v>PM/0131/0112/45030040255</v>
      </c>
      <c r="AB167" s="57" t="s">
        <v>139</v>
      </c>
      <c r="AC167" s="132" t="s">
        <v>205</v>
      </c>
    </row>
    <row r="168" spans="2:29" s="28" customFormat="1" ht="71.25">
      <c r="B168" s="85">
        <v>20240914</v>
      </c>
      <c r="C168" s="53" t="s">
        <v>210</v>
      </c>
      <c r="D168" s="129" t="s">
        <v>169</v>
      </c>
      <c r="E168" s="54" t="s">
        <v>423</v>
      </c>
      <c r="F168" s="129" t="s">
        <v>448</v>
      </c>
      <c r="G168" s="129" t="s">
        <v>157</v>
      </c>
      <c r="H168" s="117">
        <v>80111600</v>
      </c>
      <c r="I168" s="130">
        <v>7</v>
      </c>
      <c r="J168" s="130">
        <v>4</v>
      </c>
      <c r="K168" s="56">
        <v>0</v>
      </c>
      <c r="L168" s="57">
        <v>12400000</v>
      </c>
      <c r="M168" s="129" t="s">
        <v>173</v>
      </c>
      <c r="N168" s="57" t="s">
        <v>114</v>
      </c>
      <c r="O168" s="54" t="s">
        <v>225</v>
      </c>
      <c r="P168" s="131" t="str">
        <f>IFERROR(VLOOKUP(C168,TD!$B$32:$F$36,2,0)," ")</f>
        <v>O230117</v>
      </c>
      <c r="Q168" s="131" t="str">
        <f>IFERROR(VLOOKUP(C168,TD!$B$32:$F$36,3,0)," ")</f>
        <v>4503</v>
      </c>
      <c r="R168" s="131">
        <f>IFERROR(VLOOKUP(C168,TD!$B$32:$F$36,4,0)," ")</f>
        <v>20240255</v>
      </c>
      <c r="S168" s="54" t="s">
        <v>192</v>
      </c>
      <c r="T168" s="131" t="str">
        <f>IFERROR(VLOOKUP(S168,TD!$J$33:$K$43,2,0)," ")</f>
        <v>Servicio de apoyo   logístico  en eventos operativos y/o emergencias.</v>
      </c>
      <c r="U168" s="54" t="str">
        <f t="shared" si="8"/>
        <v>12-Servicio de apoyo   logístico  en eventos operativos y/o emergencias.</v>
      </c>
      <c r="V168" s="54" t="s">
        <v>233</v>
      </c>
      <c r="W168" s="131" t="str">
        <f>IFERROR(VLOOKUP(V168,TD!$N$33:$O$45,2,0)," ")</f>
        <v>Servicio de atención a emergencias y desastres</v>
      </c>
      <c r="X168" s="54" t="str">
        <f t="shared" si="9"/>
        <v>004_Servicio de atención a emergencias y desastres</v>
      </c>
      <c r="Y168" s="54" t="str">
        <f t="shared" si="10"/>
        <v>12-Servicio de apoyo   logístico  en eventos operativos y/o emergencias. 004_Servicio de atención a emergencias y desastres</v>
      </c>
      <c r="Z168" s="131" t="str">
        <f t="shared" si="11"/>
        <v>O23011745032024025512004</v>
      </c>
      <c r="AA168" s="131" t="str">
        <f>IFERROR(VLOOKUP(Y168,TD!$K$46:$L$64,2,0)," ")</f>
        <v>PM/0131/0112/45030040255</v>
      </c>
      <c r="AB168" s="57" t="s">
        <v>139</v>
      </c>
      <c r="AC168" s="132" t="s">
        <v>205</v>
      </c>
    </row>
    <row r="169" spans="2:29" s="28" customFormat="1" ht="57">
      <c r="B169" s="85">
        <v>20240915</v>
      </c>
      <c r="C169" s="53" t="s">
        <v>210</v>
      </c>
      <c r="D169" s="129" t="s">
        <v>169</v>
      </c>
      <c r="E169" s="54" t="s">
        <v>423</v>
      </c>
      <c r="F169" s="129" t="s">
        <v>449</v>
      </c>
      <c r="G169" s="129" t="s">
        <v>156</v>
      </c>
      <c r="H169" s="117">
        <v>80111600</v>
      </c>
      <c r="I169" s="130">
        <v>7</v>
      </c>
      <c r="J169" s="130">
        <v>3</v>
      </c>
      <c r="K169" s="56">
        <v>0</v>
      </c>
      <c r="L169" s="57">
        <v>11400000</v>
      </c>
      <c r="M169" s="129" t="s">
        <v>173</v>
      </c>
      <c r="N169" s="57" t="s">
        <v>114</v>
      </c>
      <c r="O169" s="54" t="s">
        <v>225</v>
      </c>
      <c r="P169" s="131" t="str">
        <f>IFERROR(VLOOKUP(C169,TD!$B$32:$F$36,2,0)," ")</f>
        <v>O230117</v>
      </c>
      <c r="Q169" s="131" t="str">
        <f>IFERROR(VLOOKUP(C169,TD!$B$32:$F$36,3,0)," ")</f>
        <v>4503</v>
      </c>
      <c r="R169" s="131">
        <f>IFERROR(VLOOKUP(C169,TD!$B$32:$F$36,4,0)," ")</f>
        <v>20240255</v>
      </c>
      <c r="S169" s="54" t="s">
        <v>192</v>
      </c>
      <c r="T169" s="131" t="str">
        <f>IFERROR(VLOOKUP(S169,TD!$J$33:$K$43,2,0)," ")</f>
        <v>Servicio de apoyo   logístico  en eventos operativos y/o emergencias.</v>
      </c>
      <c r="U169" s="54" t="str">
        <f t="shared" si="8"/>
        <v>12-Servicio de apoyo   logístico  en eventos operativos y/o emergencias.</v>
      </c>
      <c r="V169" s="54" t="s">
        <v>233</v>
      </c>
      <c r="W169" s="131" t="str">
        <f>IFERROR(VLOOKUP(V169,TD!$N$33:$O$45,2,0)," ")</f>
        <v>Servicio de atención a emergencias y desastres</v>
      </c>
      <c r="X169" s="54" t="str">
        <f t="shared" si="9"/>
        <v>004_Servicio de atención a emergencias y desastres</v>
      </c>
      <c r="Y169" s="54" t="str">
        <f t="shared" si="10"/>
        <v>12-Servicio de apoyo   logístico  en eventos operativos y/o emergencias. 004_Servicio de atención a emergencias y desastres</v>
      </c>
      <c r="Z169" s="131" t="str">
        <f t="shared" si="11"/>
        <v>O23011745032024025512004</v>
      </c>
      <c r="AA169" s="131" t="str">
        <f>IFERROR(VLOOKUP(Y169,TD!$K$46:$L$64,2,0)," ")</f>
        <v>PM/0131/0112/45030040255</v>
      </c>
      <c r="AB169" s="57" t="s">
        <v>139</v>
      </c>
      <c r="AC169" s="132" t="s">
        <v>205</v>
      </c>
    </row>
    <row r="170" spans="2:29" s="28" customFormat="1" ht="71.25">
      <c r="B170" s="85">
        <v>20240916</v>
      </c>
      <c r="C170" s="53" t="s">
        <v>210</v>
      </c>
      <c r="D170" s="129" t="s">
        <v>169</v>
      </c>
      <c r="E170" s="54" t="s">
        <v>423</v>
      </c>
      <c r="F170" s="129" t="s">
        <v>460</v>
      </c>
      <c r="G170" s="129" t="s">
        <v>157</v>
      </c>
      <c r="H170" s="117">
        <v>80111600</v>
      </c>
      <c r="I170" s="130">
        <v>7</v>
      </c>
      <c r="J170" s="130">
        <v>3</v>
      </c>
      <c r="K170" s="56">
        <v>0</v>
      </c>
      <c r="L170" s="57">
        <v>9600000</v>
      </c>
      <c r="M170" s="129" t="s">
        <v>173</v>
      </c>
      <c r="N170" s="57" t="s">
        <v>114</v>
      </c>
      <c r="O170" s="54" t="s">
        <v>225</v>
      </c>
      <c r="P170" s="131" t="str">
        <f>IFERROR(VLOOKUP(C170,TD!$B$32:$F$36,2,0)," ")</f>
        <v>O230117</v>
      </c>
      <c r="Q170" s="131" t="str">
        <f>IFERROR(VLOOKUP(C170,TD!$B$32:$F$36,3,0)," ")</f>
        <v>4503</v>
      </c>
      <c r="R170" s="131">
        <f>IFERROR(VLOOKUP(C170,TD!$B$32:$F$36,4,0)," ")</f>
        <v>20240255</v>
      </c>
      <c r="S170" s="54" t="s">
        <v>192</v>
      </c>
      <c r="T170" s="131" t="str">
        <f>IFERROR(VLOOKUP(S170,TD!$J$33:$K$43,2,0)," ")</f>
        <v>Servicio de apoyo   logístico  en eventos operativos y/o emergencias.</v>
      </c>
      <c r="U170" s="54" t="str">
        <f t="shared" si="8"/>
        <v>12-Servicio de apoyo   logístico  en eventos operativos y/o emergencias.</v>
      </c>
      <c r="V170" s="54" t="s">
        <v>233</v>
      </c>
      <c r="W170" s="131" t="str">
        <f>IFERROR(VLOOKUP(V170,TD!$N$33:$O$45,2,0)," ")</f>
        <v>Servicio de atención a emergencias y desastres</v>
      </c>
      <c r="X170" s="54" t="str">
        <f t="shared" si="9"/>
        <v>004_Servicio de atención a emergencias y desastres</v>
      </c>
      <c r="Y170" s="54" t="str">
        <f t="shared" si="10"/>
        <v>12-Servicio de apoyo   logístico  en eventos operativos y/o emergencias. 004_Servicio de atención a emergencias y desastres</v>
      </c>
      <c r="Z170" s="131" t="str">
        <f t="shared" si="11"/>
        <v>O23011745032024025512004</v>
      </c>
      <c r="AA170" s="131" t="str">
        <f>IFERROR(VLOOKUP(Y170,TD!$K$46:$L$64,2,0)," ")</f>
        <v>PM/0131/0112/45030040255</v>
      </c>
      <c r="AB170" s="57" t="s">
        <v>139</v>
      </c>
      <c r="AC170" s="132" t="s">
        <v>205</v>
      </c>
    </row>
    <row r="171" spans="2:29" s="28" customFormat="1" ht="71.25">
      <c r="B171" s="85">
        <v>20240917</v>
      </c>
      <c r="C171" s="53" t="s">
        <v>210</v>
      </c>
      <c r="D171" s="129" t="s">
        <v>169</v>
      </c>
      <c r="E171" s="54" t="s">
        <v>423</v>
      </c>
      <c r="F171" s="129" t="s">
        <v>450</v>
      </c>
      <c r="G171" s="129" t="s">
        <v>157</v>
      </c>
      <c r="H171" s="117">
        <v>80111600</v>
      </c>
      <c r="I171" s="130">
        <v>7</v>
      </c>
      <c r="J171" s="130">
        <v>3</v>
      </c>
      <c r="K171" s="56">
        <v>0</v>
      </c>
      <c r="L171" s="57">
        <v>9502080</v>
      </c>
      <c r="M171" s="129" t="s">
        <v>173</v>
      </c>
      <c r="N171" s="57" t="s">
        <v>114</v>
      </c>
      <c r="O171" s="54" t="s">
        <v>225</v>
      </c>
      <c r="P171" s="131" t="str">
        <f>IFERROR(VLOOKUP(C171,TD!$B$32:$F$36,2,0)," ")</f>
        <v>O230117</v>
      </c>
      <c r="Q171" s="131" t="str">
        <f>IFERROR(VLOOKUP(C171,TD!$B$32:$F$36,3,0)," ")</f>
        <v>4503</v>
      </c>
      <c r="R171" s="131">
        <f>IFERROR(VLOOKUP(C171,TD!$B$32:$F$36,4,0)," ")</f>
        <v>20240255</v>
      </c>
      <c r="S171" s="54" t="s">
        <v>192</v>
      </c>
      <c r="T171" s="131" t="str">
        <f>IFERROR(VLOOKUP(S171,TD!$J$33:$K$43,2,0)," ")</f>
        <v>Servicio de apoyo   logístico  en eventos operativos y/o emergencias.</v>
      </c>
      <c r="U171" s="54" t="str">
        <f t="shared" si="8"/>
        <v>12-Servicio de apoyo   logístico  en eventos operativos y/o emergencias.</v>
      </c>
      <c r="V171" s="54" t="s">
        <v>233</v>
      </c>
      <c r="W171" s="131" t="str">
        <f>IFERROR(VLOOKUP(V171,TD!$N$33:$O$45,2,0)," ")</f>
        <v>Servicio de atención a emergencias y desastres</v>
      </c>
      <c r="X171" s="54" t="str">
        <f t="shared" si="9"/>
        <v>004_Servicio de atención a emergencias y desastres</v>
      </c>
      <c r="Y171" s="54" t="str">
        <f t="shared" si="10"/>
        <v>12-Servicio de apoyo   logístico  en eventos operativos y/o emergencias. 004_Servicio de atención a emergencias y desastres</v>
      </c>
      <c r="Z171" s="131" t="str">
        <f t="shared" si="11"/>
        <v>O23011745032024025512004</v>
      </c>
      <c r="AA171" s="131" t="str">
        <f>IFERROR(VLOOKUP(Y171,TD!$K$46:$L$64,2,0)," ")</f>
        <v>PM/0131/0112/45030040255</v>
      </c>
      <c r="AB171" s="57" t="s">
        <v>139</v>
      </c>
      <c r="AC171" s="132" t="s">
        <v>205</v>
      </c>
    </row>
    <row r="172" spans="2:29" s="28" customFormat="1" ht="71.25">
      <c r="B172" s="85">
        <v>20240918</v>
      </c>
      <c r="C172" s="53" t="s">
        <v>210</v>
      </c>
      <c r="D172" s="129" t="s">
        <v>169</v>
      </c>
      <c r="E172" s="54" t="s">
        <v>423</v>
      </c>
      <c r="F172" s="129" t="s">
        <v>451</v>
      </c>
      <c r="G172" s="129" t="s">
        <v>157</v>
      </c>
      <c r="H172" s="117">
        <v>80111600</v>
      </c>
      <c r="I172" s="130">
        <v>7</v>
      </c>
      <c r="J172" s="130">
        <v>3</v>
      </c>
      <c r="K172" s="56">
        <v>0</v>
      </c>
      <c r="L172" s="57">
        <v>9000000</v>
      </c>
      <c r="M172" s="129" t="s">
        <v>173</v>
      </c>
      <c r="N172" s="57" t="s">
        <v>114</v>
      </c>
      <c r="O172" s="54" t="s">
        <v>225</v>
      </c>
      <c r="P172" s="131" t="str">
        <f>IFERROR(VLOOKUP(C172,TD!$B$32:$F$36,2,0)," ")</f>
        <v>O230117</v>
      </c>
      <c r="Q172" s="131" t="str">
        <f>IFERROR(VLOOKUP(C172,TD!$B$32:$F$36,3,0)," ")</f>
        <v>4503</v>
      </c>
      <c r="R172" s="131">
        <f>IFERROR(VLOOKUP(C172,TD!$B$32:$F$36,4,0)," ")</f>
        <v>20240255</v>
      </c>
      <c r="S172" s="54" t="s">
        <v>192</v>
      </c>
      <c r="T172" s="131" t="str">
        <f>IFERROR(VLOOKUP(S172,TD!$J$33:$K$43,2,0)," ")</f>
        <v>Servicio de apoyo   logístico  en eventos operativos y/o emergencias.</v>
      </c>
      <c r="U172" s="54" t="str">
        <f t="shared" si="8"/>
        <v>12-Servicio de apoyo   logístico  en eventos operativos y/o emergencias.</v>
      </c>
      <c r="V172" s="54" t="s">
        <v>233</v>
      </c>
      <c r="W172" s="131" t="str">
        <f>IFERROR(VLOOKUP(V172,TD!$N$33:$O$45,2,0)," ")</f>
        <v>Servicio de atención a emergencias y desastres</v>
      </c>
      <c r="X172" s="54" t="str">
        <f t="shared" si="9"/>
        <v>004_Servicio de atención a emergencias y desastres</v>
      </c>
      <c r="Y172" s="54" t="str">
        <f t="shared" si="10"/>
        <v>12-Servicio de apoyo   logístico  en eventos operativos y/o emergencias. 004_Servicio de atención a emergencias y desastres</v>
      </c>
      <c r="Z172" s="131" t="str">
        <f t="shared" si="11"/>
        <v>O23011745032024025512004</v>
      </c>
      <c r="AA172" s="131" t="str">
        <f>IFERROR(VLOOKUP(Y172,TD!$K$46:$L$64,2,0)," ")</f>
        <v>PM/0131/0112/45030040255</v>
      </c>
      <c r="AB172" s="57" t="s">
        <v>139</v>
      </c>
      <c r="AC172" s="132" t="s">
        <v>205</v>
      </c>
    </row>
    <row r="173" spans="2:29" s="28" customFormat="1" ht="57">
      <c r="B173" s="85">
        <v>20240919</v>
      </c>
      <c r="C173" s="53" t="s">
        <v>210</v>
      </c>
      <c r="D173" s="129" t="s">
        <v>169</v>
      </c>
      <c r="E173" s="54" t="s">
        <v>423</v>
      </c>
      <c r="F173" s="129" t="s">
        <v>452</v>
      </c>
      <c r="G173" s="129" t="s">
        <v>156</v>
      </c>
      <c r="H173" s="117">
        <v>80111600</v>
      </c>
      <c r="I173" s="130">
        <v>7</v>
      </c>
      <c r="J173" s="130">
        <v>4</v>
      </c>
      <c r="K173" s="56">
        <v>0</v>
      </c>
      <c r="L173" s="57">
        <f>18000000-800000</f>
        <v>17200000</v>
      </c>
      <c r="M173" s="129" t="s">
        <v>173</v>
      </c>
      <c r="N173" s="57" t="s">
        <v>114</v>
      </c>
      <c r="O173" s="54" t="s">
        <v>225</v>
      </c>
      <c r="P173" s="131" t="str">
        <f>IFERROR(VLOOKUP(C173,TD!$B$32:$F$36,2,0)," ")</f>
        <v>O230117</v>
      </c>
      <c r="Q173" s="131" t="str">
        <f>IFERROR(VLOOKUP(C173,TD!$B$32:$F$36,3,0)," ")</f>
        <v>4503</v>
      </c>
      <c r="R173" s="131">
        <f>IFERROR(VLOOKUP(C173,TD!$B$32:$F$36,4,0)," ")</f>
        <v>20240255</v>
      </c>
      <c r="S173" s="54" t="s">
        <v>192</v>
      </c>
      <c r="T173" s="131" t="str">
        <f>IFERROR(VLOOKUP(S173,TD!$J$33:$K$43,2,0)," ")</f>
        <v>Servicio de apoyo   logístico  en eventos operativos y/o emergencias.</v>
      </c>
      <c r="U173" s="54" t="str">
        <f t="shared" si="8"/>
        <v>12-Servicio de apoyo   logístico  en eventos operativos y/o emergencias.</v>
      </c>
      <c r="V173" s="54" t="s">
        <v>233</v>
      </c>
      <c r="W173" s="131" t="str">
        <f>IFERROR(VLOOKUP(V173,TD!$N$33:$O$45,2,0)," ")</f>
        <v>Servicio de atención a emergencias y desastres</v>
      </c>
      <c r="X173" s="54" t="str">
        <f t="shared" si="9"/>
        <v>004_Servicio de atención a emergencias y desastres</v>
      </c>
      <c r="Y173" s="54" t="str">
        <f t="shared" si="10"/>
        <v>12-Servicio de apoyo   logístico  en eventos operativos y/o emergencias. 004_Servicio de atención a emergencias y desastres</v>
      </c>
      <c r="Z173" s="131" t="str">
        <f t="shared" si="11"/>
        <v>O23011745032024025512004</v>
      </c>
      <c r="AA173" s="131" t="str">
        <f>IFERROR(VLOOKUP(Y173,TD!$K$46:$L$64,2,0)," ")</f>
        <v>PM/0131/0112/45030040255</v>
      </c>
      <c r="AB173" s="57" t="s">
        <v>139</v>
      </c>
      <c r="AC173" s="132" t="s">
        <v>205</v>
      </c>
    </row>
    <row r="174" spans="2:29" s="28" customFormat="1" ht="71.25">
      <c r="B174" s="85">
        <v>20240920</v>
      </c>
      <c r="C174" s="53" t="s">
        <v>210</v>
      </c>
      <c r="D174" s="129" t="s">
        <v>169</v>
      </c>
      <c r="E174" s="54" t="s">
        <v>423</v>
      </c>
      <c r="F174" s="129" t="s">
        <v>453</v>
      </c>
      <c r="G174" s="129" t="s">
        <v>157</v>
      </c>
      <c r="H174" s="117">
        <v>80111600</v>
      </c>
      <c r="I174" s="130">
        <v>7</v>
      </c>
      <c r="J174" s="130">
        <v>4</v>
      </c>
      <c r="K174" s="56">
        <v>0</v>
      </c>
      <c r="L174" s="57">
        <v>12800000</v>
      </c>
      <c r="M174" s="129" t="s">
        <v>173</v>
      </c>
      <c r="N174" s="57" t="s">
        <v>114</v>
      </c>
      <c r="O174" s="54" t="s">
        <v>225</v>
      </c>
      <c r="P174" s="131" t="str">
        <f>IFERROR(VLOOKUP(C174,TD!$B$32:$F$36,2,0)," ")</f>
        <v>O230117</v>
      </c>
      <c r="Q174" s="131" t="str">
        <f>IFERROR(VLOOKUP(C174,TD!$B$32:$F$36,3,0)," ")</f>
        <v>4503</v>
      </c>
      <c r="R174" s="131">
        <f>IFERROR(VLOOKUP(C174,TD!$B$32:$F$36,4,0)," ")</f>
        <v>20240255</v>
      </c>
      <c r="S174" s="54" t="s">
        <v>192</v>
      </c>
      <c r="T174" s="131" t="str">
        <f>IFERROR(VLOOKUP(S174,TD!$J$33:$K$43,2,0)," ")</f>
        <v>Servicio de apoyo   logístico  en eventos operativos y/o emergencias.</v>
      </c>
      <c r="U174" s="54" t="str">
        <f t="shared" si="8"/>
        <v>12-Servicio de apoyo   logístico  en eventos operativos y/o emergencias.</v>
      </c>
      <c r="V174" s="54" t="s">
        <v>233</v>
      </c>
      <c r="W174" s="131" t="str">
        <f>IFERROR(VLOOKUP(V174,TD!$N$33:$O$45,2,0)," ")</f>
        <v>Servicio de atención a emergencias y desastres</v>
      </c>
      <c r="X174" s="54" t="str">
        <f t="shared" si="9"/>
        <v>004_Servicio de atención a emergencias y desastres</v>
      </c>
      <c r="Y174" s="54" t="str">
        <f t="shared" si="10"/>
        <v>12-Servicio de apoyo   logístico  en eventos operativos y/o emergencias. 004_Servicio de atención a emergencias y desastres</v>
      </c>
      <c r="Z174" s="131" t="str">
        <f t="shared" si="11"/>
        <v>O23011745032024025512004</v>
      </c>
      <c r="AA174" s="131" t="str">
        <f>IFERROR(VLOOKUP(Y174,TD!$K$46:$L$64,2,0)," ")</f>
        <v>PM/0131/0112/45030040255</v>
      </c>
      <c r="AB174" s="57" t="s">
        <v>139</v>
      </c>
      <c r="AC174" s="132" t="s">
        <v>205</v>
      </c>
    </row>
    <row r="175" spans="2:29" s="28" customFormat="1" ht="57">
      <c r="B175" s="85">
        <v>20240921</v>
      </c>
      <c r="C175" s="53" t="s">
        <v>209</v>
      </c>
      <c r="D175" s="129" t="s">
        <v>165</v>
      </c>
      <c r="E175" s="54" t="s">
        <v>525</v>
      </c>
      <c r="F175" s="129" t="s">
        <v>505</v>
      </c>
      <c r="G175" s="129" t="s">
        <v>156</v>
      </c>
      <c r="H175" s="117">
        <v>80111600</v>
      </c>
      <c r="I175" s="130">
        <v>11</v>
      </c>
      <c r="J175" s="130">
        <v>1</v>
      </c>
      <c r="K175" s="56">
        <v>25</v>
      </c>
      <c r="L175" s="57">
        <f>7883333+4300000</f>
        <v>12183333</v>
      </c>
      <c r="M175" s="129" t="s">
        <v>173</v>
      </c>
      <c r="N175" s="57" t="s">
        <v>114</v>
      </c>
      <c r="O175" s="54" t="s">
        <v>220</v>
      </c>
      <c r="P175" s="131" t="str">
        <f>IFERROR(VLOOKUP(C175,TD!$B$32:$F$36,2,0)," ")</f>
        <v>O230117</v>
      </c>
      <c r="Q175" s="131" t="str">
        <f>IFERROR(VLOOKUP(C175,TD!$B$32:$F$36,3,0)," ")</f>
        <v>4599</v>
      </c>
      <c r="R175" s="131">
        <f>IFERROR(VLOOKUP(C175,TD!$B$32:$F$36,4,0)," ")</f>
        <v>20240207</v>
      </c>
      <c r="S175" s="54" t="s">
        <v>186</v>
      </c>
      <c r="T175" s="131" t="str">
        <f>IFERROR(VLOOKUP(S175,TD!$J$33:$K$43,2,0)," ")</f>
        <v>Infraestructura física, mantenimiento y dotación (Sedes construidas, mantenidas reforzadas)</v>
      </c>
      <c r="U175" s="54" t="str">
        <f t="shared" si="8"/>
        <v>08-Infraestructura física, mantenimiento y dotación (Sedes construidas, mantenidas reforzadas)</v>
      </c>
      <c r="V175" s="54" t="s">
        <v>239</v>
      </c>
      <c r="W175" s="131" t="str">
        <f>IFERROR(VLOOKUP(V175,TD!$N$33:$O$45,2,0)," ")</f>
        <v>Sedes mantenidas</v>
      </c>
      <c r="X175" s="54" t="str">
        <f t="shared" si="9"/>
        <v>016_Sedes mantenidas</v>
      </c>
      <c r="Y175" s="54" t="str">
        <f t="shared" si="10"/>
        <v>08-Infraestructura física, mantenimiento y dotación (Sedes construidas, mantenidas reforzadas) 016_Sedes mantenidas</v>
      </c>
      <c r="Z175" s="131" t="str">
        <f t="shared" si="11"/>
        <v>O23011745992024020708016</v>
      </c>
      <c r="AA175" s="131" t="str">
        <f>IFERROR(VLOOKUP(Y175,TD!$K$46:$L$64,2,0)," ")</f>
        <v>PM/0131/0108/45990160207</v>
      </c>
      <c r="AB175" s="57" t="s">
        <v>139</v>
      </c>
      <c r="AC175" s="132" t="s">
        <v>206</v>
      </c>
    </row>
    <row r="176" spans="2:29" s="28" customFormat="1" ht="57">
      <c r="B176" s="85">
        <v>20240922</v>
      </c>
      <c r="C176" s="53" t="s">
        <v>209</v>
      </c>
      <c r="D176" s="129" t="s">
        <v>165</v>
      </c>
      <c r="E176" s="54" t="s">
        <v>525</v>
      </c>
      <c r="F176" s="129" t="s">
        <v>506</v>
      </c>
      <c r="G176" s="129" t="s">
        <v>156</v>
      </c>
      <c r="H176" s="117">
        <v>80111600</v>
      </c>
      <c r="I176" s="130">
        <v>8</v>
      </c>
      <c r="J176" s="130">
        <v>4</v>
      </c>
      <c r="K176" s="56">
        <v>0</v>
      </c>
      <c r="L176" s="57">
        <f>28000000+9400000</f>
        <v>37400000</v>
      </c>
      <c r="M176" s="129" t="s">
        <v>173</v>
      </c>
      <c r="N176" s="57" t="s">
        <v>114</v>
      </c>
      <c r="O176" s="54" t="s">
        <v>220</v>
      </c>
      <c r="P176" s="131" t="str">
        <f>IFERROR(VLOOKUP(C176,TD!$B$32:$F$36,2,0)," ")</f>
        <v>O230117</v>
      </c>
      <c r="Q176" s="131" t="str">
        <f>IFERROR(VLOOKUP(C176,TD!$B$32:$F$36,3,0)," ")</f>
        <v>4599</v>
      </c>
      <c r="R176" s="131">
        <f>IFERROR(VLOOKUP(C176,TD!$B$32:$F$36,4,0)," ")</f>
        <v>20240207</v>
      </c>
      <c r="S176" s="54" t="s">
        <v>186</v>
      </c>
      <c r="T176" s="131" t="str">
        <f>IFERROR(VLOOKUP(S176,TD!$J$33:$K$43,2,0)," ")</f>
        <v>Infraestructura física, mantenimiento y dotación (Sedes construidas, mantenidas reforzadas)</v>
      </c>
      <c r="U176" s="54" t="str">
        <f t="shared" si="8"/>
        <v>08-Infraestructura física, mantenimiento y dotación (Sedes construidas, mantenidas reforzadas)</v>
      </c>
      <c r="V176" s="54" t="s">
        <v>239</v>
      </c>
      <c r="W176" s="131" t="str">
        <f>IFERROR(VLOOKUP(V176,TD!$N$33:$O$45,2,0)," ")</f>
        <v>Sedes mantenidas</v>
      </c>
      <c r="X176" s="54" t="str">
        <f t="shared" si="9"/>
        <v>016_Sedes mantenidas</v>
      </c>
      <c r="Y176" s="54" t="str">
        <f t="shared" si="10"/>
        <v>08-Infraestructura física, mantenimiento y dotación (Sedes construidas, mantenidas reforzadas) 016_Sedes mantenidas</v>
      </c>
      <c r="Z176" s="131" t="str">
        <f t="shared" si="11"/>
        <v>O23011745992024020708016</v>
      </c>
      <c r="AA176" s="131" t="str">
        <f>IFERROR(VLOOKUP(Y176,TD!$K$46:$L$64,2,0)," ")</f>
        <v>PM/0131/0108/45990160207</v>
      </c>
      <c r="AB176" s="57" t="s">
        <v>139</v>
      </c>
      <c r="AC176" s="132" t="s">
        <v>205</v>
      </c>
    </row>
    <row r="177" spans="2:29" s="28" customFormat="1" ht="71.25">
      <c r="B177" s="85">
        <v>20240923</v>
      </c>
      <c r="C177" s="53" t="s">
        <v>209</v>
      </c>
      <c r="D177" s="129" t="s">
        <v>165</v>
      </c>
      <c r="E177" s="54" t="s">
        <v>525</v>
      </c>
      <c r="F177" s="129" t="s">
        <v>507</v>
      </c>
      <c r="G177" s="129" t="s">
        <v>156</v>
      </c>
      <c r="H177" s="117">
        <v>80111600</v>
      </c>
      <c r="I177" s="130">
        <v>11</v>
      </c>
      <c r="J177" s="130">
        <v>1</v>
      </c>
      <c r="K177" s="56">
        <v>10</v>
      </c>
      <c r="L177" s="57">
        <f>9600000+7200000</f>
        <v>16800000</v>
      </c>
      <c r="M177" s="129" t="s">
        <v>173</v>
      </c>
      <c r="N177" s="57" t="s">
        <v>114</v>
      </c>
      <c r="O177" s="54" t="s">
        <v>220</v>
      </c>
      <c r="P177" s="131" t="str">
        <f>IFERROR(VLOOKUP(C177,TD!$B$32:$F$36,2,0)," ")</f>
        <v>O230117</v>
      </c>
      <c r="Q177" s="131" t="str">
        <f>IFERROR(VLOOKUP(C177,TD!$B$32:$F$36,3,0)," ")</f>
        <v>4599</v>
      </c>
      <c r="R177" s="131">
        <f>IFERROR(VLOOKUP(C177,TD!$B$32:$F$36,4,0)," ")</f>
        <v>20240207</v>
      </c>
      <c r="S177" s="54" t="s">
        <v>186</v>
      </c>
      <c r="T177" s="131" t="str">
        <f>IFERROR(VLOOKUP(S177,TD!$J$33:$K$43,2,0)," ")</f>
        <v>Infraestructura física, mantenimiento y dotación (Sedes construidas, mantenidas reforzadas)</v>
      </c>
      <c r="U177" s="54" t="str">
        <f t="shared" si="8"/>
        <v>08-Infraestructura física, mantenimiento y dotación (Sedes construidas, mantenidas reforzadas)</v>
      </c>
      <c r="V177" s="54" t="s">
        <v>239</v>
      </c>
      <c r="W177" s="131" t="str">
        <f>IFERROR(VLOOKUP(V177,TD!$N$33:$O$45,2,0)," ")</f>
        <v>Sedes mantenidas</v>
      </c>
      <c r="X177" s="54" t="str">
        <f t="shared" si="9"/>
        <v>016_Sedes mantenidas</v>
      </c>
      <c r="Y177" s="54" t="str">
        <f t="shared" si="10"/>
        <v>08-Infraestructura física, mantenimiento y dotación (Sedes construidas, mantenidas reforzadas) 016_Sedes mantenidas</v>
      </c>
      <c r="Z177" s="131" t="str">
        <f t="shared" si="11"/>
        <v>O23011745992024020708016</v>
      </c>
      <c r="AA177" s="131" t="str">
        <f>IFERROR(VLOOKUP(Y177,TD!$K$46:$L$64,2,0)," ")</f>
        <v>PM/0131/0108/45990160207</v>
      </c>
      <c r="AB177" s="57" t="s">
        <v>139</v>
      </c>
      <c r="AC177" s="132" t="s">
        <v>206</v>
      </c>
    </row>
    <row r="178" spans="2:29" s="28" customFormat="1" ht="71.25">
      <c r="B178" s="85">
        <v>20240924</v>
      </c>
      <c r="C178" s="53" t="s">
        <v>209</v>
      </c>
      <c r="D178" s="129" t="s">
        <v>165</v>
      </c>
      <c r="E178" s="54" t="s">
        <v>525</v>
      </c>
      <c r="F178" s="129" t="s">
        <v>508</v>
      </c>
      <c r="G178" s="129" t="s">
        <v>156</v>
      </c>
      <c r="H178" s="117">
        <v>80111600</v>
      </c>
      <c r="I178" s="130">
        <v>8</v>
      </c>
      <c r="J178" s="130">
        <v>3</v>
      </c>
      <c r="K178" s="56">
        <v>16</v>
      </c>
      <c r="L178" s="57">
        <v>24733336</v>
      </c>
      <c r="M178" s="129" t="s">
        <v>173</v>
      </c>
      <c r="N178" s="57" t="s">
        <v>114</v>
      </c>
      <c r="O178" s="54" t="s">
        <v>220</v>
      </c>
      <c r="P178" s="131" t="str">
        <f>IFERROR(VLOOKUP(C178,TD!$B$32:$F$36,2,0)," ")</f>
        <v>O230117</v>
      </c>
      <c r="Q178" s="131" t="str">
        <f>IFERROR(VLOOKUP(C178,TD!$B$32:$F$36,3,0)," ")</f>
        <v>4599</v>
      </c>
      <c r="R178" s="131">
        <f>IFERROR(VLOOKUP(C178,TD!$B$32:$F$36,4,0)," ")</f>
        <v>20240207</v>
      </c>
      <c r="S178" s="54" t="s">
        <v>186</v>
      </c>
      <c r="T178" s="131" t="str">
        <f>IFERROR(VLOOKUP(S178,TD!$J$33:$K$43,2,0)," ")</f>
        <v>Infraestructura física, mantenimiento y dotación (Sedes construidas, mantenidas reforzadas)</v>
      </c>
      <c r="U178" s="54" t="str">
        <f t="shared" si="8"/>
        <v>08-Infraestructura física, mantenimiento y dotación (Sedes construidas, mantenidas reforzadas)</v>
      </c>
      <c r="V178" s="54" t="s">
        <v>239</v>
      </c>
      <c r="W178" s="131" t="str">
        <f>IFERROR(VLOOKUP(V178,TD!$N$33:$O$45,2,0)," ")</f>
        <v>Sedes mantenidas</v>
      </c>
      <c r="X178" s="54" t="str">
        <f t="shared" si="9"/>
        <v>016_Sedes mantenidas</v>
      </c>
      <c r="Y178" s="54" t="str">
        <f t="shared" si="10"/>
        <v>08-Infraestructura física, mantenimiento y dotación (Sedes construidas, mantenidas reforzadas) 016_Sedes mantenidas</v>
      </c>
      <c r="Z178" s="131" t="str">
        <f t="shared" si="11"/>
        <v>O23011745992024020708016</v>
      </c>
      <c r="AA178" s="131" t="str">
        <f>IFERROR(VLOOKUP(Y178,TD!$K$46:$L$64,2,0)," ")</f>
        <v>PM/0131/0108/45990160207</v>
      </c>
      <c r="AB178" s="57" t="s">
        <v>139</v>
      </c>
      <c r="AC178" s="132" t="s">
        <v>205</v>
      </c>
    </row>
    <row r="179" spans="2:29" s="28" customFormat="1" ht="57">
      <c r="B179" s="85">
        <v>20240925</v>
      </c>
      <c r="C179" s="53" t="s">
        <v>209</v>
      </c>
      <c r="D179" s="129" t="s">
        <v>165</v>
      </c>
      <c r="E179" s="54" t="s">
        <v>525</v>
      </c>
      <c r="F179" s="129" t="s">
        <v>509</v>
      </c>
      <c r="G179" s="129" t="s">
        <v>156</v>
      </c>
      <c r="H179" s="117">
        <v>80111600</v>
      </c>
      <c r="I179" s="130">
        <v>10</v>
      </c>
      <c r="J179" s="130">
        <v>2</v>
      </c>
      <c r="K179" s="56">
        <v>6</v>
      </c>
      <c r="L179" s="57">
        <f>8800000+4000000</f>
        <v>12800000</v>
      </c>
      <c r="M179" s="129" t="s">
        <v>173</v>
      </c>
      <c r="N179" s="57" t="s">
        <v>114</v>
      </c>
      <c r="O179" s="54" t="s">
        <v>220</v>
      </c>
      <c r="P179" s="131" t="str">
        <f>IFERROR(VLOOKUP(C179,TD!$B$32:$F$36,2,0)," ")</f>
        <v>O230117</v>
      </c>
      <c r="Q179" s="131" t="str">
        <f>IFERROR(VLOOKUP(C179,TD!$B$32:$F$36,3,0)," ")</f>
        <v>4599</v>
      </c>
      <c r="R179" s="131">
        <f>IFERROR(VLOOKUP(C179,TD!$B$32:$F$36,4,0)," ")</f>
        <v>20240207</v>
      </c>
      <c r="S179" s="54" t="s">
        <v>186</v>
      </c>
      <c r="T179" s="131" t="str">
        <f>IFERROR(VLOOKUP(S179,TD!$J$33:$K$43,2,0)," ")</f>
        <v>Infraestructura física, mantenimiento y dotación (Sedes construidas, mantenidas reforzadas)</v>
      </c>
      <c r="U179" s="54" t="str">
        <f t="shared" si="8"/>
        <v>08-Infraestructura física, mantenimiento y dotación (Sedes construidas, mantenidas reforzadas)</v>
      </c>
      <c r="V179" s="54" t="s">
        <v>239</v>
      </c>
      <c r="W179" s="131" t="str">
        <f>IFERROR(VLOOKUP(V179,TD!$N$33:$O$45,2,0)," ")</f>
        <v>Sedes mantenidas</v>
      </c>
      <c r="X179" s="54" t="str">
        <f t="shared" si="9"/>
        <v>016_Sedes mantenidas</v>
      </c>
      <c r="Y179" s="54" t="str">
        <f t="shared" si="10"/>
        <v>08-Infraestructura física, mantenimiento y dotación (Sedes construidas, mantenidas reforzadas) 016_Sedes mantenidas</v>
      </c>
      <c r="Z179" s="131" t="str">
        <f t="shared" si="11"/>
        <v>O23011745992024020708016</v>
      </c>
      <c r="AA179" s="131" t="str">
        <f>IFERROR(VLOOKUP(Y179,TD!$K$46:$L$64,2,0)," ")</f>
        <v>PM/0131/0108/45990160207</v>
      </c>
      <c r="AB179" s="57" t="s">
        <v>139</v>
      </c>
      <c r="AC179" s="132" t="s">
        <v>206</v>
      </c>
    </row>
    <row r="180" spans="2:29" s="28" customFormat="1" ht="57">
      <c r="B180" s="85">
        <v>20240926</v>
      </c>
      <c r="C180" s="53" t="s">
        <v>209</v>
      </c>
      <c r="D180" s="129" t="s">
        <v>165</v>
      </c>
      <c r="E180" s="54" t="s">
        <v>525</v>
      </c>
      <c r="F180" s="129" t="s">
        <v>510</v>
      </c>
      <c r="G180" s="129" t="s">
        <v>156</v>
      </c>
      <c r="H180" s="117">
        <v>80111600</v>
      </c>
      <c r="I180" s="130">
        <v>10</v>
      </c>
      <c r="J180" s="130">
        <v>2</v>
      </c>
      <c r="K180" s="56">
        <v>5</v>
      </c>
      <c r="L180" s="57">
        <f>8233333+3800000</f>
        <v>12033333</v>
      </c>
      <c r="M180" s="129" t="s">
        <v>173</v>
      </c>
      <c r="N180" s="57" t="s">
        <v>114</v>
      </c>
      <c r="O180" s="54" t="s">
        <v>220</v>
      </c>
      <c r="P180" s="131" t="str">
        <f>IFERROR(VLOOKUP(C180,TD!$B$32:$F$36,2,0)," ")</f>
        <v>O230117</v>
      </c>
      <c r="Q180" s="131" t="str">
        <f>IFERROR(VLOOKUP(C180,TD!$B$32:$F$36,3,0)," ")</f>
        <v>4599</v>
      </c>
      <c r="R180" s="131">
        <f>IFERROR(VLOOKUP(C180,TD!$B$32:$F$36,4,0)," ")</f>
        <v>20240207</v>
      </c>
      <c r="S180" s="54" t="s">
        <v>186</v>
      </c>
      <c r="T180" s="131" t="str">
        <f>IFERROR(VLOOKUP(S180,TD!$J$33:$K$43,2,0)," ")</f>
        <v>Infraestructura física, mantenimiento y dotación (Sedes construidas, mantenidas reforzadas)</v>
      </c>
      <c r="U180" s="54" t="str">
        <f t="shared" si="8"/>
        <v>08-Infraestructura física, mantenimiento y dotación (Sedes construidas, mantenidas reforzadas)</v>
      </c>
      <c r="V180" s="54" t="s">
        <v>239</v>
      </c>
      <c r="W180" s="131" t="str">
        <f>IFERROR(VLOOKUP(V180,TD!$N$33:$O$45,2,0)," ")</f>
        <v>Sedes mantenidas</v>
      </c>
      <c r="X180" s="54" t="str">
        <f t="shared" si="9"/>
        <v>016_Sedes mantenidas</v>
      </c>
      <c r="Y180" s="54" t="str">
        <f t="shared" si="10"/>
        <v>08-Infraestructura física, mantenimiento y dotación (Sedes construidas, mantenidas reforzadas) 016_Sedes mantenidas</v>
      </c>
      <c r="Z180" s="131" t="str">
        <f t="shared" si="11"/>
        <v>O23011745992024020708016</v>
      </c>
      <c r="AA180" s="131" t="str">
        <f>IFERROR(VLOOKUP(Y180,TD!$K$46:$L$64,2,0)," ")</f>
        <v>PM/0131/0108/45990160207</v>
      </c>
      <c r="AB180" s="57" t="s">
        <v>139</v>
      </c>
      <c r="AC180" s="132" t="s">
        <v>205</v>
      </c>
    </row>
    <row r="181" spans="2:29" s="28" customFormat="1" ht="71.25">
      <c r="B181" s="85">
        <v>20240927</v>
      </c>
      <c r="C181" s="53" t="s">
        <v>209</v>
      </c>
      <c r="D181" s="129" t="s">
        <v>165</v>
      </c>
      <c r="E181" s="54" t="s">
        <v>525</v>
      </c>
      <c r="F181" s="129" t="s">
        <v>511</v>
      </c>
      <c r="G181" s="129" t="s">
        <v>157</v>
      </c>
      <c r="H181" s="117">
        <v>80111600</v>
      </c>
      <c r="I181" s="130">
        <v>11</v>
      </c>
      <c r="J181" s="130">
        <v>1</v>
      </c>
      <c r="K181" s="56">
        <v>20</v>
      </c>
      <c r="L181" s="57">
        <f>5166667+3100000</f>
        <v>8266667</v>
      </c>
      <c r="M181" s="129" t="s">
        <v>173</v>
      </c>
      <c r="N181" s="57" t="s">
        <v>114</v>
      </c>
      <c r="O181" s="54" t="s">
        <v>220</v>
      </c>
      <c r="P181" s="131" t="str">
        <f>IFERROR(VLOOKUP(C181,TD!$B$32:$F$36,2,0)," ")</f>
        <v>O230117</v>
      </c>
      <c r="Q181" s="131" t="str">
        <f>IFERROR(VLOOKUP(C181,TD!$B$32:$F$36,3,0)," ")</f>
        <v>4599</v>
      </c>
      <c r="R181" s="131">
        <f>IFERROR(VLOOKUP(C181,TD!$B$32:$F$36,4,0)," ")</f>
        <v>20240207</v>
      </c>
      <c r="S181" s="54" t="s">
        <v>186</v>
      </c>
      <c r="T181" s="131" t="str">
        <f>IFERROR(VLOOKUP(S181,TD!$J$33:$K$43,2,0)," ")</f>
        <v>Infraestructura física, mantenimiento y dotación (Sedes construidas, mantenidas reforzadas)</v>
      </c>
      <c r="U181" s="54" t="str">
        <f t="shared" si="8"/>
        <v>08-Infraestructura física, mantenimiento y dotación (Sedes construidas, mantenidas reforzadas)</v>
      </c>
      <c r="V181" s="54" t="s">
        <v>239</v>
      </c>
      <c r="W181" s="131" t="str">
        <f>IFERROR(VLOOKUP(V181,TD!$N$33:$O$45,2,0)," ")</f>
        <v>Sedes mantenidas</v>
      </c>
      <c r="X181" s="54" t="str">
        <f t="shared" si="9"/>
        <v>016_Sedes mantenidas</v>
      </c>
      <c r="Y181" s="54" t="str">
        <f t="shared" si="10"/>
        <v>08-Infraestructura física, mantenimiento y dotación (Sedes construidas, mantenidas reforzadas) 016_Sedes mantenidas</v>
      </c>
      <c r="Z181" s="131" t="str">
        <f t="shared" si="11"/>
        <v>O23011745992024020708016</v>
      </c>
      <c r="AA181" s="131" t="str">
        <f>IFERROR(VLOOKUP(Y181,TD!$K$46:$L$64,2,0)," ")</f>
        <v>PM/0131/0108/45990160207</v>
      </c>
      <c r="AB181" s="57" t="s">
        <v>139</v>
      </c>
      <c r="AC181" s="132" t="s">
        <v>206</v>
      </c>
    </row>
    <row r="182" spans="2:29" s="28" customFormat="1" ht="71.25">
      <c r="B182" s="85">
        <v>20240928</v>
      </c>
      <c r="C182" s="53" t="s">
        <v>209</v>
      </c>
      <c r="D182" s="129" t="s">
        <v>165</v>
      </c>
      <c r="E182" s="54" t="s">
        <v>525</v>
      </c>
      <c r="F182" s="129" t="s">
        <v>512</v>
      </c>
      <c r="G182" s="129" t="s">
        <v>157</v>
      </c>
      <c r="H182" s="117">
        <v>80111600</v>
      </c>
      <c r="I182" s="130">
        <v>10</v>
      </c>
      <c r="J182" s="130">
        <v>2</v>
      </c>
      <c r="K182" s="56">
        <v>7</v>
      </c>
      <c r="L182" s="57">
        <f>6923333+3100000</f>
        <v>10023333</v>
      </c>
      <c r="M182" s="129" t="s">
        <v>173</v>
      </c>
      <c r="N182" s="57" t="s">
        <v>114</v>
      </c>
      <c r="O182" s="54" t="s">
        <v>220</v>
      </c>
      <c r="P182" s="131" t="str">
        <f>IFERROR(VLOOKUP(C182,TD!$B$32:$F$36,2,0)," ")</f>
        <v>O230117</v>
      </c>
      <c r="Q182" s="131" t="str">
        <f>IFERROR(VLOOKUP(C182,TD!$B$32:$F$36,3,0)," ")</f>
        <v>4599</v>
      </c>
      <c r="R182" s="131">
        <f>IFERROR(VLOOKUP(C182,TD!$B$32:$F$36,4,0)," ")</f>
        <v>20240207</v>
      </c>
      <c r="S182" s="54" t="s">
        <v>186</v>
      </c>
      <c r="T182" s="131" t="str">
        <f>IFERROR(VLOOKUP(S182,TD!$J$33:$K$43,2,0)," ")</f>
        <v>Infraestructura física, mantenimiento y dotación (Sedes construidas, mantenidas reforzadas)</v>
      </c>
      <c r="U182" s="54" t="str">
        <f t="shared" si="8"/>
        <v>08-Infraestructura física, mantenimiento y dotación (Sedes construidas, mantenidas reforzadas)</v>
      </c>
      <c r="V182" s="54" t="s">
        <v>239</v>
      </c>
      <c r="W182" s="131" t="str">
        <f>IFERROR(VLOOKUP(V182,TD!$N$33:$O$45,2,0)," ")</f>
        <v>Sedes mantenidas</v>
      </c>
      <c r="X182" s="54" t="str">
        <f t="shared" si="9"/>
        <v>016_Sedes mantenidas</v>
      </c>
      <c r="Y182" s="54" t="str">
        <f t="shared" si="10"/>
        <v>08-Infraestructura física, mantenimiento y dotación (Sedes construidas, mantenidas reforzadas) 016_Sedes mantenidas</v>
      </c>
      <c r="Z182" s="131" t="str">
        <f t="shared" si="11"/>
        <v>O23011745992024020708016</v>
      </c>
      <c r="AA182" s="131" t="str">
        <f>IFERROR(VLOOKUP(Y182,TD!$K$46:$L$64,2,0)," ")</f>
        <v>PM/0131/0108/45990160207</v>
      </c>
      <c r="AB182" s="57" t="s">
        <v>139</v>
      </c>
      <c r="AC182" s="132" t="s">
        <v>205</v>
      </c>
    </row>
    <row r="183" spans="2:29" s="28" customFormat="1" ht="57">
      <c r="B183" s="85">
        <v>20240929</v>
      </c>
      <c r="C183" s="53" t="s">
        <v>209</v>
      </c>
      <c r="D183" s="129" t="s">
        <v>165</v>
      </c>
      <c r="E183" s="54" t="s">
        <v>525</v>
      </c>
      <c r="F183" s="129" t="s">
        <v>513</v>
      </c>
      <c r="G183" s="129" t="s">
        <v>156</v>
      </c>
      <c r="H183" s="117">
        <v>80111600</v>
      </c>
      <c r="I183" s="130">
        <v>11</v>
      </c>
      <c r="J183" s="130">
        <v>1</v>
      </c>
      <c r="K183" s="56">
        <v>20</v>
      </c>
      <c r="L183" s="57">
        <f>7833333+4700000</f>
        <v>12533333</v>
      </c>
      <c r="M183" s="129" t="s">
        <v>173</v>
      </c>
      <c r="N183" s="57" t="s">
        <v>114</v>
      </c>
      <c r="O183" s="54" t="s">
        <v>220</v>
      </c>
      <c r="P183" s="131" t="str">
        <f>IFERROR(VLOOKUP(C183,TD!$B$32:$F$36,2,0)," ")</f>
        <v>O230117</v>
      </c>
      <c r="Q183" s="131" t="str">
        <f>IFERROR(VLOOKUP(C183,TD!$B$32:$F$36,3,0)," ")</f>
        <v>4599</v>
      </c>
      <c r="R183" s="131">
        <f>IFERROR(VLOOKUP(C183,TD!$B$32:$F$36,4,0)," ")</f>
        <v>20240207</v>
      </c>
      <c r="S183" s="54" t="s">
        <v>186</v>
      </c>
      <c r="T183" s="131" t="str">
        <f>IFERROR(VLOOKUP(S183,TD!$J$33:$K$43,2,0)," ")</f>
        <v>Infraestructura física, mantenimiento y dotación (Sedes construidas, mantenidas reforzadas)</v>
      </c>
      <c r="U183" s="54" t="str">
        <f t="shared" si="8"/>
        <v>08-Infraestructura física, mantenimiento y dotación (Sedes construidas, mantenidas reforzadas)</v>
      </c>
      <c r="V183" s="54" t="s">
        <v>239</v>
      </c>
      <c r="W183" s="131" t="str">
        <f>IFERROR(VLOOKUP(V183,TD!$N$33:$O$45,2,0)," ")</f>
        <v>Sedes mantenidas</v>
      </c>
      <c r="X183" s="54" t="str">
        <f t="shared" si="9"/>
        <v>016_Sedes mantenidas</v>
      </c>
      <c r="Y183" s="54" t="str">
        <f t="shared" si="10"/>
        <v>08-Infraestructura física, mantenimiento y dotación (Sedes construidas, mantenidas reforzadas) 016_Sedes mantenidas</v>
      </c>
      <c r="Z183" s="131" t="str">
        <f t="shared" si="11"/>
        <v>O23011745992024020708016</v>
      </c>
      <c r="AA183" s="131" t="str">
        <f>IFERROR(VLOOKUP(Y183,TD!$K$46:$L$64,2,0)," ")</f>
        <v>PM/0131/0108/45990160207</v>
      </c>
      <c r="AB183" s="57" t="s">
        <v>139</v>
      </c>
      <c r="AC183" s="132" t="s">
        <v>206</v>
      </c>
    </row>
    <row r="184" spans="2:29" s="28" customFormat="1" ht="57">
      <c r="B184" s="85">
        <v>20240930</v>
      </c>
      <c r="C184" s="53" t="s">
        <v>209</v>
      </c>
      <c r="D184" s="129" t="s">
        <v>165</v>
      </c>
      <c r="E184" s="54" t="s">
        <v>525</v>
      </c>
      <c r="F184" s="129" t="s">
        <v>705</v>
      </c>
      <c r="G184" s="129" t="s">
        <v>156</v>
      </c>
      <c r="H184" s="117">
        <v>80111600</v>
      </c>
      <c r="I184" s="130">
        <v>8</v>
      </c>
      <c r="J184" s="130">
        <v>2</v>
      </c>
      <c r="K184" s="56">
        <v>19</v>
      </c>
      <c r="L184" s="57">
        <f>10200000+11400000</f>
        <v>21600000</v>
      </c>
      <c r="M184" s="129" t="s">
        <v>173</v>
      </c>
      <c r="N184" s="57" t="s">
        <v>114</v>
      </c>
      <c r="O184" s="54" t="s">
        <v>220</v>
      </c>
      <c r="P184" s="131" t="str">
        <f>IFERROR(VLOOKUP(C184,TD!$B$32:$F$36,2,0)," ")</f>
        <v>O230117</v>
      </c>
      <c r="Q184" s="131" t="str">
        <f>IFERROR(VLOOKUP(C184,TD!$B$32:$F$36,3,0)," ")</f>
        <v>4599</v>
      </c>
      <c r="R184" s="131">
        <f>IFERROR(VLOOKUP(C184,TD!$B$32:$F$36,4,0)," ")</f>
        <v>20240207</v>
      </c>
      <c r="S184" s="54" t="s">
        <v>186</v>
      </c>
      <c r="T184" s="131" t="str">
        <f>IFERROR(VLOOKUP(S184,TD!$J$33:$K$43,2,0)," ")</f>
        <v>Infraestructura física, mantenimiento y dotación (Sedes construidas, mantenidas reforzadas)</v>
      </c>
      <c r="U184" s="54" t="str">
        <f t="shared" si="8"/>
        <v>08-Infraestructura física, mantenimiento y dotación (Sedes construidas, mantenidas reforzadas)</v>
      </c>
      <c r="V184" s="54" t="s">
        <v>239</v>
      </c>
      <c r="W184" s="131" t="str">
        <f>IFERROR(VLOOKUP(V184,TD!$N$33:$O$45,2,0)," ")</f>
        <v>Sedes mantenidas</v>
      </c>
      <c r="X184" s="54" t="str">
        <f t="shared" si="9"/>
        <v>016_Sedes mantenidas</v>
      </c>
      <c r="Y184" s="54" t="str">
        <f t="shared" si="10"/>
        <v>08-Infraestructura física, mantenimiento y dotación (Sedes construidas, mantenidas reforzadas) 016_Sedes mantenidas</v>
      </c>
      <c r="Z184" s="131" t="str">
        <f t="shared" si="11"/>
        <v>O23011745992024020708016</v>
      </c>
      <c r="AA184" s="131" t="str">
        <f>IFERROR(VLOOKUP(Y184,TD!$K$46:$L$64,2,0)," ")</f>
        <v>PM/0131/0108/45990160207</v>
      </c>
      <c r="AB184" s="57" t="s">
        <v>139</v>
      </c>
      <c r="AC184" s="132" t="s">
        <v>205</v>
      </c>
    </row>
    <row r="185" spans="2:29" s="28" customFormat="1" ht="71.25">
      <c r="B185" s="85">
        <v>20240931</v>
      </c>
      <c r="C185" s="53" t="s">
        <v>209</v>
      </c>
      <c r="D185" s="129" t="s">
        <v>165</v>
      </c>
      <c r="E185" s="54" t="s">
        <v>525</v>
      </c>
      <c r="F185" s="129" t="s">
        <v>515</v>
      </c>
      <c r="G185" s="129" t="s">
        <v>157</v>
      </c>
      <c r="H185" s="117">
        <v>80111600</v>
      </c>
      <c r="I185" s="130">
        <v>11</v>
      </c>
      <c r="J185" s="130">
        <v>1</v>
      </c>
      <c r="K185" s="56">
        <v>6</v>
      </c>
      <c r="L185" s="57">
        <f>3720000+3100000</f>
        <v>6820000</v>
      </c>
      <c r="M185" s="129" t="s">
        <v>173</v>
      </c>
      <c r="N185" s="57" t="s">
        <v>114</v>
      </c>
      <c r="O185" s="54" t="s">
        <v>220</v>
      </c>
      <c r="P185" s="131" t="str">
        <f>IFERROR(VLOOKUP(C185,TD!$B$32:$F$36,2,0)," ")</f>
        <v>O230117</v>
      </c>
      <c r="Q185" s="131" t="str">
        <f>IFERROR(VLOOKUP(C185,TD!$B$32:$F$36,3,0)," ")</f>
        <v>4599</v>
      </c>
      <c r="R185" s="131">
        <f>IFERROR(VLOOKUP(C185,TD!$B$32:$F$36,4,0)," ")</f>
        <v>20240207</v>
      </c>
      <c r="S185" s="54" t="s">
        <v>186</v>
      </c>
      <c r="T185" s="131" t="str">
        <f>IFERROR(VLOOKUP(S185,TD!$J$33:$K$43,2,0)," ")</f>
        <v>Infraestructura física, mantenimiento y dotación (Sedes construidas, mantenidas reforzadas)</v>
      </c>
      <c r="U185" s="54" t="str">
        <f t="shared" si="8"/>
        <v>08-Infraestructura física, mantenimiento y dotación (Sedes construidas, mantenidas reforzadas)</v>
      </c>
      <c r="V185" s="54" t="s">
        <v>239</v>
      </c>
      <c r="W185" s="131" t="str">
        <f>IFERROR(VLOOKUP(V185,TD!$N$33:$O$45,2,0)," ")</f>
        <v>Sedes mantenidas</v>
      </c>
      <c r="X185" s="54" t="str">
        <f t="shared" si="9"/>
        <v>016_Sedes mantenidas</v>
      </c>
      <c r="Y185" s="54" t="str">
        <f t="shared" si="10"/>
        <v>08-Infraestructura física, mantenimiento y dotación (Sedes construidas, mantenidas reforzadas) 016_Sedes mantenidas</v>
      </c>
      <c r="Z185" s="131" t="str">
        <f t="shared" si="11"/>
        <v>O23011745992024020708016</v>
      </c>
      <c r="AA185" s="131" t="str">
        <f>IFERROR(VLOOKUP(Y185,TD!$K$46:$L$64,2,0)," ")</f>
        <v>PM/0131/0108/45990160207</v>
      </c>
      <c r="AB185" s="57" t="s">
        <v>139</v>
      </c>
      <c r="AC185" s="132" t="s">
        <v>206</v>
      </c>
    </row>
    <row r="186" spans="2:29" s="28" customFormat="1" ht="71.25">
      <c r="B186" s="85">
        <v>20240932</v>
      </c>
      <c r="C186" s="53" t="s">
        <v>209</v>
      </c>
      <c r="D186" s="129" t="s">
        <v>165</v>
      </c>
      <c r="E186" s="54" t="s">
        <v>525</v>
      </c>
      <c r="F186" s="129" t="s">
        <v>516</v>
      </c>
      <c r="G186" s="129" t="s">
        <v>157</v>
      </c>
      <c r="H186" s="117">
        <v>80111600</v>
      </c>
      <c r="I186" s="130">
        <v>12</v>
      </c>
      <c r="J186" s="130">
        <v>0</v>
      </c>
      <c r="K186" s="56">
        <v>27</v>
      </c>
      <c r="L186" s="57">
        <f>5192208+5800000</f>
        <v>10992208</v>
      </c>
      <c r="M186" s="129" t="s">
        <v>173</v>
      </c>
      <c r="N186" s="57" t="s">
        <v>114</v>
      </c>
      <c r="O186" s="54" t="s">
        <v>220</v>
      </c>
      <c r="P186" s="131" t="str">
        <f>IFERROR(VLOOKUP(C186,TD!$B$32:$F$36,2,0)," ")</f>
        <v>O230117</v>
      </c>
      <c r="Q186" s="131" t="str">
        <f>IFERROR(VLOOKUP(C186,TD!$B$32:$F$36,3,0)," ")</f>
        <v>4599</v>
      </c>
      <c r="R186" s="131">
        <f>IFERROR(VLOOKUP(C186,TD!$B$32:$F$36,4,0)," ")</f>
        <v>20240207</v>
      </c>
      <c r="S186" s="54" t="s">
        <v>186</v>
      </c>
      <c r="T186" s="131" t="str">
        <f>IFERROR(VLOOKUP(S186,TD!$J$33:$K$43,2,0)," ")</f>
        <v>Infraestructura física, mantenimiento y dotación (Sedes construidas, mantenidas reforzadas)</v>
      </c>
      <c r="U186" s="54" t="str">
        <f t="shared" si="8"/>
        <v>08-Infraestructura física, mantenimiento y dotación (Sedes construidas, mantenidas reforzadas)</v>
      </c>
      <c r="V186" s="54" t="s">
        <v>239</v>
      </c>
      <c r="W186" s="131" t="str">
        <f>IFERROR(VLOOKUP(V186,TD!$N$33:$O$45,2,0)," ")</f>
        <v>Sedes mantenidas</v>
      </c>
      <c r="X186" s="54" t="str">
        <f t="shared" si="9"/>
        <v>016_Sedes mantenidas</v>
      </c>
      <c r="Y186" s="54" t="str">
        <f t="shared" si="10"/>
        <v>08-Infraestructura física, mantenimiento y dotación (Sedes construidas, mantenidas reforzadas) 016_Sedes mantenidas</v>
      </c>
      <c r="Z186" s="131" t="str">
        <f t="shared" si="11"/>
        <v>O23011745992024020708016</v>
      </c>
      <c r="AA186" s="131" t="str">
        <f>IFERROR(VLOOKUP(Y186,TD!$K$46:$L$64,2,0)," ")</f>
        <v>PM/0131/0108/45990160207</v>
      </c>
      <c r="AB186" s="57" t="s">
        <v>139</v>
      </c>
      <c r="AC186" s="132" t="s">
        <v>206</v>
      </c>
    </row>
    <row r="187" spans="2:29" s="28" customFormat="1" ht="57">
      <c r="B187" s="85">
        <v>20240933</v>
      </c>
      <c r="C187" s="53" t="s">
        <v>209</v>
      </c>
      <c r="D187" s="129" t="s">
        <v>165</v>
      </c>
      <c r="E187" s="54" t="s">
        <v>525</v>
      </c>
      <c r="F187" s="129" t="s">
        <v>517</v>
      </c>
      <c r="G187" s="129" t="s">
        <v>156</v>
      </c>
      <c r="H187" s="117">
        <v>80111600</v>
      </c>
      <c r="I187" s="130">
        <v>11</v>
      </c>
      <c r="J187" s="130">
        <v>1</v>
      </c>
      <c r="K187" s="56">
        <v>17</v>
      </c>
      <c r="L187" s="57">
        <f>8288293+5300000</f>
        <v>13588293</v>
      </c>
      <c r="M187" s="129" t="s">
        <v>173</v>
      </c>
      <c r="N187" s="57" t="s">
        <v>114</v>
      </c>
      <c r="O187" s="54" t="s">
        <v>220</v>
      </c>
      <c r="P187" s="131" t="str">
        <f>IFERROR(VLOOKUP(C187,TD!$B$32:$F$36,2,0)," ")</f>
        <v>O230117</v>
      </c>
      <c r="Q187" s="131" t="str">
        <f>IFERROR(VLOOKUP(C187,TD!$B$32:$F$36,3,0)," ")</f>
        <v>4599</v>
      </c>
      <c r="R187" s="131">
        <f>IFERROR(VLOOKUP(C187,TD!$B$32:$F$36,4,0)," ")</f>
        <v>20240207</v>
      </c>
      <c r="S187" s="54" t="s">
        <v>186</v>
      </c>
      <c r="T187" s="131" t="str">
        <f>IFERROR(VLOOKUP(S187,TD!$J$33:$K$43,2,0)," ")</f>
        <v>Infraestructura física, mantenimiento y dotación (Sedes construidas, mantenidas reforzadas)</v>
      </c>
      <c r="U187" s="54" t="str">
        <f t="shared" si="8"/>
        <v>08-Infraestructura física, mantenimiento y dotación (Sedes construidas, mantenidas reforzadas)</v>
      </c>
      <c r="V187" s="54" t="s">
        <v>239</v>
      </c>
      <c r="W187" s="131" t="str">
        <f>IFERROR(VLOOKUP(V187,TD!$N$33:$O$45,2,0)," ")</f>
        <v>Sedes mantenidas</v>
      </c>
      <c r="X187" s="54" t="str">
        <f t="shared" si="9"/>
        <v>016_Sedes mantenidas</v>
      </c>
      <c r="Y187" s="54" t="str">
        <f t="shared" si="10"/>
        <v>08-Infraestructura física, mantenimiento y dotación (Sedes construidas, mantenidas reforzadas) 016_Sedes mantenidas</v>
      </c>
      <c r="Z187" s="131" t="str">
        <f t="shared" si="11"/>
        <v>O23011745992024020708016</v>
      </c>
      <c r="AA187" s="131" t="str">
        <f>IFERROR(VLOOKUP(Y187,TD!$K$46:$L$64,2,0)," ")</f>
        <v>PM/0131/0108/45990160207</v>
      </c>
      <c r="AB187" s="57" t="s">
        <v>139</v>
      </c>
      <c r="AC187" s="132" t="s">
        <v>206</v>
      </c>
    </row>
    <row r="188" spans="2:29" s="28" customFormat="1" ht="57">
      <c r="B188" s="85">
        <v>20240934</v>
      </c>
      <c r="C188" s="53" t="s">
        <v>209</v>
      </c>
      <c r="D188" s="129" t="s">
        <v>165</v>
      </c>
      <c r="E188" s="54" t="s">
        <v>525</v>
      </c>
      <c r="F188" s="129" t="s">
        <v>518</v>
      </c>
      <c r="G188" s="129" t="s">
        <v>156</v>
      </c>
      <c r="H188" s="117">
        <v>80111600</v>
      </c>
      <c r="I188" s="130">
        <v>12</v>
      </c>
      <c r="J188" s="130">
        <v>0</v>
      </c>
      <c r="K188" s="56">
        <v>6</v>
      </c>
      <c r="L188" s="57">
        <f>5661285+33626285</f>
        <v>39287570</v>
      </c>
      <c r="M188" s="129" t="s">
        <v>173</v>
      </c>
      <c r="N188" s="57" t="s">
        <v>114</v>
      </c>
      <c r="O188" s="54" t="s">
        <v>220</v>
      </c>
      <c r="P188" s="131" t="str">
        <f>IFERROR(VLOOKUP(C188,TD!$B$32:$F$36,2,0)," ")</f>
        <v>O230117</v>
      </c>
      <c r="Q188" s="131" t="str">
        <f>IFERROR(VLOOKUP(C188,TD!$B$32:$F$36,3,0)," ")</f>
        <v>4599</v>
      </c>
      <c r="R188" s="131">
        <f>IFERROR(VLOOKUP(C188,TD!$B$32:$F$36,4,0)," ")</f>
        <v>20240207</v>
      </c>
      <c r="S188" s="54" t="s">
        <v>186</v>
      </c>
      <c r="T188" s="131" t="str">
        <f>IFERROR(VLOOKUP(S188,TD!$J$33:$K$43,2,0)," ")</f>
        <v>Infraestructura física, mantenimiento y dotación (Sedes construidas, mantenidas reforzadas)</v>
      </c>
      <c r="U188" s="54" t="str">
        <f t="shared" si="8"/>
        <v>08-Infraestructura física, mantenimiento y dotación (Sedes construidas, mantenidas reforzadas)</v>
      </c>
      <c r="V188" s="54" t="s">
        <v>239</v>
      </c>
      <c r="W188" s="131" t="str">
        <f>IFERROR(VLOOKUP(V188,TD!$N$33:$O$45,2,0)," ")</f>
        <v>Sedes mantenidas</v>
      </c>
      <c r="X188" s="54" t="str">
        <f t="shared" si="9"/>
        <v>016_Sedes mantenidas</v>
      </c>
      <c r="Y188" s="54" t="str">
        <f t="shared" si="10"/>
        <v>08-Infraestructura física, mantenimiento y dotación (Sedes construidas, mantenidas reforzadas) 016_Sedes mantenidas</v>
      </c>
      <c r="Z188" s="131" t="str">
        <f t="shared" si="11"/>
        <v>O23011745992024020708016</v>
      </c>
      <c r="AA188" s="131" t="str">
        <f>IFERROR(VLOOKUP(Y188,TD!$K$46:$L$64,2,0)," ")</f>
        <v>PM/0131/0108/45990160207</v>
      </c>
      <c r="AB188" s="57" t="s">
        <v>139</v>
      </c>
      <c r="AC188" s="132" t="s">
        <v>206</v>
      </c>
    </row>
    <row r="189" spans="2:29" s="28" customFormat="1" ht="57">
      <c r="B189" s="85">
        <v>20240935</v>
      </c>
      <c r="C189" s="53" t="s">
        <v>209</v>
      </c>
      <c r="D189" s="129" t="s">
        <v>165</v>
      </c>
      <c r="E189" s="54" t="s">
        <v>525</v>
      </c>
      <c r="F189" s="129" t="s">
        <v>519</v>
      </c>
      <c r="G189" s="129" t="s">
        <v>156</v>
      </c>
      <c r="H189" s="117">
        <v>80111600</v>
      </c>
      <c r="I189" s="130">
        <v>8</v>
      </c>
      <c r="J189" s="130">
        <v>3</v>
      </c>
      <c r="K189" s="56">
        <v>20</v>
      </c>
      <c r="L189" s="57">
        <f>14116667+7700000</f>
        <v>21816667</v>
      </c>
      <c r="M189" s="129" t="s">
        <v>173</v>
      </c>
      <c r="N189" s="57" t="s">
        <v>114</v>
      </c>
      <c r="O189" s="54" t="s">
        <v>220</v>
      </c>
      <c r="P189" s="131" t="str">
        <f>IFERROR(VLOOKUP(C189,TD!$B$32:$F$36,2,0)," ")</f>
        <v>O230117</v>
      </c>
      <c r="Q189" s="131" t="str">
        <f>IFERROR(VLOOKUP(C189,TD!$B$32:$F$36,3,0)," ")</f>
        <v>4599</v>
      </c>
      <c r="R189" s="131">
        <f>IFERROR(VLOOKUP(C189,TD!$B$32:$F$36,4,0)," ")</f>
        <v>20240207</v>
      </c>
      <c r="S189" s="54" t="s">
        <v>186</v>
      </c>
      <c r="T189" s="131" t="str">
        <f>IFERROR(VLOOKUP(S189,TD!$J$33:$K$43,2,0)," ")</f>
        <v>Infraestructura física, mantenimiento y dotación (Sedes construidas, mantenidas reforzadas)</v>
      </c>
      <c r="U189" s="54" t="str">
        <f t="shared" si="8"/>
        <v>08-Infraestructura física, mantenimiento y dotación (Sedes construidas, mantenidas reforzadas)</v>
      </c>
      <c r="V189" s="54" t="s">
        <v>239</v>
      </c>
      <c r="W189" s="131" t="str">
        <f>IFERROR(VLOOKUP(V189,TD!$N$33:$O$45,2,0)," ")</f>
        <v>Sedes mantenidas</v>
      </c>
      <c r="X189" s="54" t="str">
        <f t="shared" si="9"/>
        <v>016_Sedes mantenidas</v>
      </c>
      <c r="Y189" s="54" t="str">
        <f t="shared" si="10"/>
        <v>08-Infraestructura física, mantenimiento y dotación (Sedes construidas, mantenidas reforzadas) 016_Sedes mantenidas</v>
      </c>
      <c r="Z189" s="131" t="str">
        <f t="shared" si="11"/>
        <v>O23011745992024020708016</v>
      </c>
      <c r="AA189" s="131" t="str">
        <f>IFERROR(VLOOKUP(Y189,TD!$K$46:$L$64,2,0)," ")</f>
        <v>PM/0131/0108/45990160207</v>
      </c>
      <c r="AB189" s="57" t="s">
        <v>139</v>
      </c>
      <c r="AC189" s="132" t="s">
        <v>205</v>
      </c>
    </row>
    <row r="190" spans="2:29" s="28" customFormat="1" ht="57">
      <c r="B190" s="85">
        <v>20240936</v>
      </c>
      <c r="C190" s="53" t="s">
        <v>209</v>
      </c>
      <c r="D190" s="129" t="s">
        <v>165</v>
      </c>
      <c r="E190" s="54" t="s">
        <v>525</v>
      </c>
      <c r="F190" s="129" t="s">
        <v>520</v>
      </c>
      <c r="G190" s="129" t="s">
        <v>156</v>
      </c>
      <c r="H190" s="117">
        <v>80111600</v>
      </c>
      <c r="I190" s="130">
        <v>9</v>
      </c>
      <c r="J190" s="130">
        <v>3</v>
      </c>
      <c r="K190" s="56">
        <v>0</v>
      </c>
      <c r="L190" s="57">
        <f>23550000+15700000</f>
        <v>39250000</v>
      </c>
      <c r="M190" s="129" t="s">
        <v>173</v>
      </c>
      <c r="N190" s="57" t="s">
        <v>114</v>
      </c>
      <c r="O190" s="54" t="s">
        <v>220</v>
      </c>
      <c r="P190" s="131" t="str">
        <f>IFERROR(VLOOKUP(C190,TD!$B$32:$F$36,2,0)," ")</f>
        <v>O230117</v>
      </c>
      <c r="Q190" s="131" t="str">
        <f>IFERROR(VLOOKUP(C190,TD!$B$32:$F$36,3,0)," ")</f>
        <v>4599</v>
      </c>
      <c r="R190" s="131">
        <f>IFERROR(VLOOKUP(C190,TD!$B$32:$F$36,4,0)," ")</f>
        <v>20240207</v>
      </c>
      <c r="S190" s="54" t="s">
        <v>186</v>
      </c>
      <c r="T190" s="131" t="str">
        <f>IFERROR(VLOOKUP(S190,TD!$J$33:$K$43,2,0)," ")</f>
        <v>Infraestructura física, mantenimiento y dotación (Sedes construidas, mantenidas reforzadas)</v>
      </c>
      <c r="U190" s="54" t="str">
        <f t="shared" si="8"/>
        <v>08-Infraestructura física, mantenimiento y dotación (Sedes construidas, mantenidas reforzadas)</v>
      </c>
      <c r="V190" s="54" t="s">
        <v>239</v>
      </c>
      <c r="W190" s="131" t="str">
        <f>IFERROR(VLOOKUP(V190,TD!$N$33:$O$45,2,0)," ")</f>
        <v>Sedes mantenidas</v>
      </c>
      <c r="X190" s="54" t="str">
        <f t="shared" si="9"/>
        <v>016_Sedes mantenidas</v>
      </c>
      <c r="Y190" s="54" t="str">
        <f t="shared" si="10"/>
        <v>08-Infraestructura física, mantenimiento y dotación (Sedes construidas, mantenidas reforzadas) 016_Sedes mantenidas</v>
      </c>
      <c r="Z190" s="131" t="str">
        <f t="shared" si="11"/>
        <v>O23011745992024020708016</v>
      </c>
      <c r="AA190" s="131" t="str">
        <f>IFERROR(VLOOKUP(Y190,TD!$K$46:$L$64,2,0)," ")</f>
        <v>PM/0131/0108/45990160207</v>
      </c>
      <c r="AB190" s="57" t="s">
        <v>139</v>
      </c>
      <c r="AC190" s="132" t="s">
        <v>205</v>
      </c>
    </row>
    <row r="191" spans="2:29" s="28" customFormat="1" ht="71.25">
      <c r="B191" s="85">
        <v>20240937</v>
      </c>
      <c r="C191" s="53" t="s">
        <v>209</v>
      </c>
      <c r="D191" s="129" t="s">
        <v>165</v>
      </c>
      <c r="E191" s="54" t="s">
        <v>525</v>
      </c>
      <c r="F191" s="129" t="s">
        <v>521</v>
      </c>
      <c r="G191" s="129" t="s">
        <v>156</v>
      </c>
      <c r="H191" s="117">
        <v>80111600</v>
      </c>
      <c r="I191" s="130">
        <v>12</v>
      </c>
      <c r="J191" s="130">
        <v>0</v>
      </c>
      <c r="K191" s="56">
        <v>27</v>
      </c>
      <c r="L191" s="57">
        <f>4680000+5200000</f>
        <v>9880000</v>
      </c>
      <c r="M191" s="129" t="s">
        <v>173</v>
      </c>
      <c r="N191" s="57" t="s">
        <v>114</v>
      </c>
      <c r="O191" s="54" t="s">
        <v>220</v>
      </c>
      <c r="P191" s="131" t="str">
        <f>IFERROR(VLOOKUP(C191,TD!$B$32:$F$36,2,0)," ")</f>
        <v>O230117</v>
      </c>
      <c r="Q191" s="131" t="str">
        <f>IFERROR(VLOOKUP(C191,TD!$B$32:$F$36,3,0)," ")</f>
        <v>4599</v>
      </c>
      <c r="R191" s="131">
        <f>IFERROR(VLOOKUP(C191,TD!$B$32:$F$36,4,0)," ")</f>
        <v>20240207</v>
      </c>
      <c r="S191" s="54" t="s">
        <v>186</v>
      </c>
      <c r="T191" s="131" t="str">
        <f>IFERROR(VLOOKUP(S191,TD!$J$33:$K$43,2,0)," ")</f>
        <v>Infraestructura física, mantenimiento y dotación (Sedes construidas, mantenidas reforzadas)</v>
      </c>
      <c r="U191" s="54" t="str">
        <f t="shared" si="8"/>
        <v>08-Infraestructura física, mantenimiento y dotación (Sedes construidas, mantenidas reforzadas)</v>
      </c>
      <c r="V191" s="54" t="s">
        <v>239</v>
      </c>
      <c r="W191" s="131" t="str">
        <f>IFERROR(VLOOKUP(V191,TD!$N$33:$O$45,2,0)," ")</f>
        <v>Sedes mantenidas</v>
      </c>
      <c r="X191" s="54" t="str">
        <f t="shared" si="9"/>
        <v>016_Sedes mantenidas</v>
      </c>
      <c r="Y191" s="54" t="str">
        <f t="shared" si="10"/>
        <v>08-Infraestructura física, mantenimiento y dotación (Sedes construidas, mantenidas reforzadas) 016_Sedes mantenidas</v>
      </c>
      <c r="Z191" s="131" t="str">
        <f t="shared" si="11"/>
        <v>O23011745992024020708016</v>
      </c>
      <c r="AA191" s="131" t="str">
        <f>IFERROR(VLOOKUP(Y191,TD!$K$46:$L$64,2,0)," ")</f>
        <v>PM/0131/0108/45990160207</v>
      </c>
      <c r="AB191" s="57" t="s">
        <v>139</v>
      </c>
      <c r="AC191" s="132" t="s">
        <v>206</v>
      </c>
    </row>
    <row r="192" spans="2:29" s="28" customFormat="1" ht="57">
      <c r="B192" s="85">
        <v>20240938</v>
      </c>
      <c r="C192" s="53" t="s">
        <v>209</v>
      </c>
      <c r="D192" s="129" t="s">
        <v>165</v>
      </c>
      <c r="E192" s="54" t="s">
        <v>525</v>
      </c>
      <c r="F192" s="129" t="s">
        <v>522</v>
      </c>
      <c r="G192" s="129" t="s">
        <v>156</v>
      </c>
      <c r="H192" s="117">
        <v>80111600</v>
      </c>
      <c r="I192" s="130">
        <v>10</v>
      </c>
      <c r="J192" s="130">
        <v>4</v>
      </c>
      <c r="K192" s="56">
        <v>0</v>
      </c>
      <c r="L192" s="57">
        <f>36000000+15000000</f>
        <v>51000000</v>
      </c>
      <c r="M192" s="129" t="s">
        <v>173</v>
      </c>
      <c r="N192" s="57" t="s">
        <v>114</v>
      </c>
      <c r="O192" s="54" t="s">
        <v>220</v>
      </c>
      <c r="P192" s="131" t="str">
        <f>IFERROR(VLOOKUP(C192,TD!$B$32:$F$36,2,0)," ")</f>
        <v>O230117</v>
      </c>
      <c r="Q192" s="131" t="str">
        <f>IFERROR(VLOOKUP(C192,TD!$B$32:$F$36,3,0)," ")</f>
        <v>4599</v>
      </c>
      <c r="R192" s="131">
        <f>IFERROR(VLOOKUP(C192,TD!$B$32:$F$36,4,0)," ")</f>
        <v>20240207</v>
      </c>
      <c r="S192" s="54" t="s">
        <v>186</v>
      </c>
      <c r="T192" s="131" t="str">
        <f>IFERROR(VLOOKUP(S192,TD!$J$33:$K$43,2,0)," ")</f>
        <v>Infraestructura física, mantenimiento y dotación (Sedes construidas, mantenidas reforzadas)</v>
      </c>
      <c r="U192" s="54" t="str">
        <f t="shared" si="8"/>
        <v>08-Infraestructura física, mantenimiento y dotación (Sedes construidas, mantenidas reforzadas)</v>
      </c>
      <c r="V192" s="54" t="s">
        <v>239</v>
      </c>
      <c r="W192" s="131" t="str">
        <f>IFERROR(VLOOKUP(V192,TD!$N$33:$O$45,2,0)," ")</f>
        <v>Sedes mantenidas</v>
      </c>
      <c r="X192" s="54" t="str">
        <f t="shared" si="9"/>
        <v>016_Sedes mantenidas</v>
      </c>
      <c r="Y192" s="54" t="str">
        <f t="shared" si="10"/>
        <v>08-Infraestructura física, mantenimiento y dotación (Sedes construidas, mantenidas reforzadas) 016_Sedes mantenidas</v>
      </c>
      <c r="Z192" s="131" t="str">
        <f t="shared" si="11"/>
        <v>O23011745992024020708016</v>
      </c>
      <c r="AA192" s="131" t="str">
        <f>IFERROR(VLOOKUP(Y192,TD!$K$46:$L$64,2,0)," ")</f>
        <v>PM/0131/0108/45990160207</v>
      </c>
      <c r="AB192" s="57" t="s">
        <v>139</v>
      </c>
      <c r="AC192" s="132" t="s">
        <v>205</v>
      </c>
    </row>
    <row r="193" spans="2:29" s="28" customFormat="1" ht="71.25">
      <c r="B193" s="85">
        <v>20240939</v>
      </c>
      <c r="C193" s="53" t="s">
        <v>209</v>
      </c>
      <c r="D193" s="129" t="s">
        <v>165</v>
      </c>
      <c r="E193" s="54" t="s">
        <v>525</v>
      </c>
      <c r="F193" s="129" t="s">
        <v>514</v>
      </c>
      <c r="G193" s="129" t="s">
        <v>157</v>
      </c>
      <c r="H193" s="117">
        <v>80111600</v>
      </c>
      <c r="I193" s="130">
        <v>8</v>
      </c>
      <c r="J193" s="130">
        <v>3</v>
      </c>
      <c r="K193" s="56">
        <v>15</v>
      </c>
      <c r="L193" s="57">
        <v>10850000</v>
      </c>
      <c r="M193" s="129" t="s">
        <v>173</v>
      </c>
      <c r="N193" s="57" t="s">
        <v>114</v>
      </c>
      <c r="O193" s="54" t="s">
        <v>220</v>
      </c>
      <c r="P193" s="131" t="str">
        <f>IFERROR(VLOOKUP(C193,TD!$B$32:$F$36,2,0)," ")</f>
        <v>O230117</v>
      </c>
      <c r="Q193" s="131" t="str">
        <f>IFERROR(VLOOKUP(C193,TD!$B$32:$F$36,3,0)," ")</f>
        <v>4599</v>
      </c>
      <c r="R193" s="131">
        <f>IFERROR(VLOOKUP(C193,TD!$B$32:$F$36,4,0)," ")</f>
        <v>20240207</v>
      </c>
      <c r="S193" s="54" t="s">
        <v>186</v>
      </c>
      <c r="T193" s="131" t="str">
        <f>IFERROR(VLOOKUP(S193,TD!$J$33:$K$43,2,0)," ")</f>
        <v>Infraestructura física, mantenimiento y dotación (Sedes construidas, mantenidas reforzadas)</v>
      </c>
      <c r="U193" s="54" t="str">
        <f t="shared" si="8"/>
        <v>08-Infraestructura física, mantenimiento y dotación (Sedes construidas, mantenidas reforzadas)</v>
      </c>
      <c r="V193" s="54" t="s">
        <v>239</v>
      </c>
      <c r="W193" s="131" t="str">
        <f>IFERROR(VLOOKUP(V193,TD!$N$33:$O$45,2,0)," ")</f>
        <v>Sedes mantenidas</v>
      </c>
      <c r="X193" s="54" t="str">
        <f t="shared" si="9"/>
        <v>016_Sedes mantenidas</v>
      </c>
      <c r="Y193" s="54" t="str">
        <f t="shared" si="10"/>
        <v>08-Infraestructura física, mantenimiento y dotación (Sedes construidas, mantenidas reforzadas) 016_Sedes mantenidas</v>
      </c>
      <c r="Z193" s="131" t="str">
        <f t="shared" si="11"/>
        <v>O23011745992024020708016</v>
      </c>
      <c r="AA193" s="131" t="str">
        <f>IFERROR(VLOOKUP(Y193,TD!$K$46:$L$64,2,0)," ")</f>
        <v>PM/0131/0108/45990160207</v>
      </c>
      <c r="AB193" s="57" t="s">
        <v>139</v>
      </c>
      <c r="AC193" s="132" t="s">
        <v>205</v>
      </c>
    </row>
    <row r="194" spans="2:29" s="28" customFormat="1" ht="71.25">
      <c r="B194" s="85">
        <v>20240940</v>
      </c>
      <c r="C194" s="53" t="s">
        <v>210</v>
      </c>
      <c r="D194" s="129" t="s">
        <v>170</v>
      </c>
      <c r="E194" s="54" t="s">
        <v>461</v>
      </c>
      <c r="F194" s="129" t="s">
        <v>462</v>
      </c>
      <c r="G194" s="129" t="s">
        <v>157</v>
      </c>
      <c r="H194" s="117">
        <v>80111600</v>
      </c>
      <c r="I194" s="130">
        <v>8</v>
      </c>
      <c r="J194" s="130">
        <v>5</v>
      </c>
      <c r="K194" s="56">
        <v>8</v>
      </c>
      <c r="L194" s="57">
        <v>12113333</v>
      </c>
      <c r="M194" s="129" t="s">
        <v>173</v>
      </c>
      <c r="N194" s="57" t="s">
        <v>114</v>
      </c>
      <c r="O194" s="54" t="s">
        <v>223</v>
      </c>
      <c r="P194" s="131" t="str">
        <f>IFERROR(VLOOKUP(C194,TD!$B$32:$F$36,2,0)," ")</f>
        <v>O230117</v>
      </c>
      <c r="Q194" s="131" t="str">
        <f>IFERROR(VLOOKUP(C194,TD!$B$32:$F$36,3,0)," ")</f>
        <v>4503</v>
      </c>
      <c r="R194" s="131">
        <f>IFERROR(VLOOKUP(C194,TD!$B$32:$F$36,4,0)," ")</f>
        <v>20240255</v>
      </c>
      <c r="S194" s="54" t="s">
        <v>176</v>
      </c>
      <c r="T194" s="131" t="str">
        <f>IFERROR(VLOOKUP(S194,TD!$J$33:$K$43,2,0)," ")</f>
        <v>Servicio de atención a incidentes y emergencias.</v>
      </c>
      <c r="U194" s="54" t="str">
        <f t="shared" si="8"/>
        <v>04-Servicio de atención a incidentes y emergencias.</v>
      </c>
      <c r="V194" s="54" t="s">
        <v>233</v>
      </c>
      <c r="W194" s="131" t="str">
        <f>IFERROR(VLOOKUP(V194,TD!$N$33:$O$45,2,0)," ")</f>
        <v>Servicio de atención a emergencias y desastres</v>
      </c>
      <c r="X194" s="54" t="str">
        <f t="shared" si="9"/>
        <v>004_Servicio de atención a emergencias y desastres</v>
      </c>
      <c r="Y194" s="54" t="str">
        <f t="shared" si="10"/>
        <v>04-Servicio de atención a incidentes y emergencias. 004_Servicio de atención a emergencias y desastres</v>
      </c>
      <c r="Z194" s="131" t="str">
        <f t="shared" si="11"/>
        <v>O23011745032024025504004</v>
      </c>
      <c r="AA194" s="131" t="str">
        <f>IFERROR(VLOOKUP(Y194,TD!$K$46:$L$64,2,0)," ")</f>
        <v>PM/0131/0104/45030040255</v>
      </c>
      <c r="AB194" s="57" t="s">
        <v>139</v>
      </c>
      <c r="AC194" s="132" t="s">
        <v>205</v>
      </c>
    </row>
    <row r="195" spans="2:29" s="28" customFormat="1" ht="71.25">
      <c r="B195" s="85">
        <v>20240941</v>
      </c>
      <c r="C195" s="53" t="s">
        <v>210</v>
      </c>
      <c r="D195" s="129" t="s">
        <v>170</v>
      </c>
      <c r="E195" s="54" t="s">
        <v>461</v>
      </c>
      <c r="F195" s="129" t="s">
        <v>462</v>
      </c>
      <c r="G195" s="129" t="s">
        <v>157</v>
      </c>
      <c r="H195" s="117">
        <v>80111600</v>
      </c>
      <c r="I195" s="130">
        <v>8</v>
      </c>
      <c r="J195" s="130">
        <v>5</v>
      </c>
      <c r="K195" s="56">
        <v>15</v>
      </c>
      <c r="L195" s="57">
        <v>12650000</v>
      </c>
      <c r="M195" s="129" t="s">
        <v>173</v>
      </c>
      <c r="N195" s="57" t="s">
        <v>114</v>
      </c>
      <c r="O195" s="54" t="s">
        <v>223</v>
      </c>
      <c r="P195" s="131" t="str">
        <f>IFERROR(VLOOKUP(C195,TD!$B$32:$F$36,2,0)," ")</f>
        <v>O230117</v>
      </c>
      <c r="Q195" s="131" t="str">
        <f>IFERROR(VLOOKUP(C195,TD!$B$32:$F$36,3,0)," ")</f>
        <v>4503</v>
      </c>
      <c r="R195" s="131">
        <f>IFERROR(VLOOKUP(C195,TD!$B$32:$F$36,4,0)," ")</f>
        <v>20240255</v>
      </c>
      <c r="S195" s="54" t="s">
        <v>176</v>
      </c>
      <c r="T195" s="131" t="str">
        <f>IFERROR(VLOOKUP(S195,TD!$J$33:$K$43,2,0)," ")</f>
        <v>Servicio de atención a incidentes y emergencias.</v>
      </c>
      <c r="U195" s="54" t="str">
        <f t="shared" si="8"/>
        <v>04-Servicio de atención a incidentes y emergencias.</v>
      </c>
      <c r="V195" s="54" t="s">
        <v>233</v>
      </c>
      <c r="W195" s="131" t="str">
        <f>IFERROR(VLOOKUP(V195,TD!$N$33:$O$45,2,0)," ")</f>
        <v>Servicio de atención a emergencias y desastres</v>
      </c>
      <c r="X195" s="54" t="str">
        <f t="shared" si="9"/>
        <v>004_Servicio de atención a emergencias y desastres</v>
      </c>
      <c r="Y195" s="54" t="str">
        <f t="shared" si="10"/>
        <v>04-Servicio de atención a incidentes y emergencias. 004_Servicio de atención a emergencias y desastres</v>
      </c>
      <c r="Z195" s="131" t="str">
        <f t="shared" si="11"/>
        <v>O23011745032024025504004</v>
      </c>
      <c r="AA195" s="131" t="str">
        <f>IFERROR(VLOOKUP(Y195,TD!$K$46:$L$64,2,0)," ")</f>
        <v>PM/0131/0104/45030040255</v>
      </c>
      <c r="AB195" s="57" t="s">
        <v>139</v>
      </c>
      <c r="AC195" s="132" t="s">
        <v>205</v>
      </c>
    </row>
    <row r="196" spans="2:29" s="28" customFormat="1" ht="71.25">
      <c r="B196" s="85">
        <v>20240942</v>
      </c>
      <c r="C196" s="53" t="s">
        <v>210</v>
      </c>
      <c r="D196" s="129" t="s">
        <v>170</v>
      </c>
      <c r="E196" s="54" t="s">
        <v>461</v>
      </c>
      <c r="F196" s="129" t="s">
        <v>462</v>
      </c>
      <c r="G196" s="129" t="s">
        <v>157</v>
      </c>
      <c r="H196" s="117">
        <v>80111600</v>
      </c>
      <c r="I196" s="130">
        <v>8</v>
      </c>
      <c r="J196" s="130">
        <v>5</v>
      </c>
      <c r="K196" s="56">
        <v>15</v>
      </c>
      <c r="L196" s="57">
        <v>12650000</v>
      </c>
      <c r="M196" s="129" t="s">
        <v>173</v>
      </c>
      <c r="N196" s="57" t="s">
        <v>114</v>
      </c>
      <c r="O196" s="54" t="s">
        <v>223</v>
      </c>
      <c r="P196" s="131" t="str">
        <f>IFERROR(VLOOKUP(C196,TD!$B$32:$F$36,2,0)," ")</f>
        <v>O230117</v>
      </c>
      <c r="Q196" s="131" t="str">
        <f>IFERROR(VLOOKUP(C196,TD!$B$32:$F$36,3,0)," ")</f>
        <v>4503</v>
      </c>
      <c r="R196" s="131">
        <f>IFERROR(VLOOKUP(C196,TD!$B$32:$F$36,4,0)," ")</f>
        <v>20240255</v>
      </c>
      <c r="S196" s="54" t="s">
        <v>176</v>
      </c>
      <c r="T196" s="131" t="str">
        <f>IFERROR(VLOOKUP(S196,TD!$J$33:$K$43,2,0)," ")</f>
        <v>Servicio de atención a incidentes y emergencias.</v>
      </c>
      <c r="U196" s="54" t="str">
        <f t="shared" si="8"/>
        <v>04-Servicio de atención a incidentes y emergencias.</v>
      </c>
      <c r="V196" s="54" t="s">
        <v>233</v>
      </c>
      <c r="W196" s="131" t="str">
        <f>IFERROR(VLOOKUP(V196,TD!$N$33:$O$45,2,0)," ")</f>
        <v>Servicio de atención a emergencias y desastres</v>
      </c>
      <c r="X196" s="54" t="str">
        <f t="shared" si="9"/>
        <v>004_Servicio de atención a emergencias y desastres</v>
      </c>
      <c r="Y196" s="54" t="str">
        <f t="shared" si="10"/>
        <v>04-Servicio de atención a incidentes y emergencias. 004_Servicio de atención a emergencias y desastres</v>
      </c>
      <c r="Z196" s="131" t="str">
        <f t="shared" si="11"/>
        <v>O23011745032024025504004</v>
      </c>
      <c r="AA196" s="131" t="str">
        <f>IFERROR(VLOOKUP(Y196,TD!$K$46:$L$64,2,0)," ")</f>
        <v>PM/0131/0104/45030040255</v>
      </c>
      <c r="AB196" s="57" t="s">
        <v>139</v>
      </c>
      <c r="AC196" s="132" t="s">
        <v>205</v>
      </c>
    </row>
    <row r="197" spans="2:29" s="28" customFormat="1" ht="71.25">
      <c r="B197" s="85">
        <v>20240943</v>
      </c>
      <c r="C197" s="53" t="s">
        <v>210</v>
      </c>
      <c r="D197" s="129" t="s">
        <v>170</v>
      </c>
      <c r="E197" s="54" t="s">
        <v>461</v>
      </c>
      <c r="F197" s="129" t="s">
        <v>462</v>
      </c>
      <c r="G197" s="129" t="s">
        <v>157</v>
      </c>
      <c r="H197" s="117">
        <v>80111600</v>
      </c>
      <c r="I197" s="130">
        <v>8</v>
      </c>
      <c r="J197" s="130">
        <v>5</v>
      </c>
      <c r="K197" s="56">
        <v>15</v>
      </c>
      <c r="L197" s="57">
        <v>12650000</v>
      </c>
      <c r="M197" s="129" t="s">
        <v>173</v>
      </c>
      <c r="N197" s="57" t="s">
        <v>114</v>
      </c>
      <c r="O197" s="54" t="s">
        <v>223</v>
      </c>
      <c r="P197" s="131" t="str">
        <f>IFERROR(VLOOKUP(C197,TD!$B$32:$F$36,2,0)," ")</f>
        <v>O230117</v>
      </c>
      <c r="Q197" s="131" t="str">
        <f>IFERROR(VLOOKUP(C197,TD!$B$32:$F$36,3,0)," ")</f>
        <v>4503</v>
      </c>
      <c r="R197" s="131">
        <f>IFERROR(VLOOKUP(C197,TD!$B$32:$F$36,4,0)," ")</f>
        <v>20240255</v>
      </c>
      <c r="S197" s="54" t="s">
        <v>176</v>
      </c>
      <c r="T197" s="131" t="str">
        <f>IFERROR(VLOOKUP(S197,TD!$J$33:$K$43,2,0)," ")</f>
        <v>Servicio de atención a incidentes y emergencias.</v>
      </c>
      <c r="U197" s="54" t="str">
        <f t="shared" si="8"/>
        <v>04-Servicio de atención a incidentes y emergencias.</v>
      </c>
      <c r="V197" s="54" t="s">
        <v>233</v>
      </c>
      <c r="W197" s="131" t="str">
        <f>IFERROR(VLOOKUP(V197,TD!$N$33:$O$45,2,0)," ")</f>
        <v>Servicio de atención a emergencias y desastres</v>
      </c>
      <c r="X197" s="54" t="str">
        <f t="shared" si="9"/>
        <v>004_Servicio de atención a emergencias y desastres</v>
      </c>
      <c r="Y197" s="54" t="str">
        <f t="shared" si="10"/>
        <v>04-Servicio de atención a incidentes y emergencias. 004_Servicio de atención a emergencias y desastres</v>
      </c>
      <c r="Z197" s="131" t="str">
        <f t="shared" si="11"/>
        <v>O23011745032024025504004</v>
      </c>
      <c r="AA197" s="131" t="str">
        <f>IFERROR(VLOOKUP(Y197,TD!$K$46:$L$64,2,0)," ")</f>
        <v>PM/0131/0104/45030040255</v>
      </c>
      <c r="AB197" s="57" t="s">
        <v>139</v>
      </c>
      <c r="AC197" s="132" t="s">
        <v>205</v>
      </c>
    </row>
    <row r="198" spans="2:29" s="28" customFormat="1" ht="71.25">
      <c r="B198" s="85">
        <v>20240944</v>
      </c>
      <c r="C198" s="53" t="s">
        <v>210</v>
      </c>
      <c r="D198" s="129" t="s">
        <v>170</v>
      </c>
      <c r="E198" s="54" t="s">
        <v>461</v>
      </c>
      <c r="F198" s="129" t="s">
        <v>462</v>
      </c>
      <c r="G198" s="129" t="s">
        <v>157</v>
      </c>
      <c r="H198" s="117">
        <v>80111600</v>
      </c>
      <c r="I198" s="130">
        <v>8</v>
      </c>
      <c r="J198" s="130">
        <v>5</v>
      </c>
      <c r="K198" s="56">
        <v>15</v>
      </c>
      <c r="L198" s="57">
        <v>12650000</v>
      </c>
      <c r="M198" s="129" t="s">
        <v>173</v>
      </c>
      <c r="N198" s="57" t="s">
        <v>114</v>
      </c>
      <c r="O198" s="54" t="s">
        <v>223</v>
      </c>
      <c r="P198" s="131" t="str">
        <f>IFERROR(VLOOKUP(C198,TD!$B$32:$F$36,2,0)," ")</f>
        <v>O230117</v>
      </c>
      <c r="Q198" s="131" t="str">
        <f>IFERROR(VLOOKUP(C198,TD!$B$32:$F$36,3,0)," ")</f>
        <v>4503</v>
      </c>
      <c r="R198" s="131">
        <f>IFERROR(VLOOKUP(C198,TD!$B$32:$F$36,4,0)," ")</f>
        <v>20240255</v>
      </c>
      <c r="S198" s="54" t="s">
        <v>176</v>
      </c>
      <c r="T198" s="131" t="str">
        <f>IFERROR(VLOOKUP(S198,TD!$J$33:$K$43,2,0)," ")</f>
        <v>Servicio de atención a incidentes y emergencias.</v>
      </c>
      <c r="U198" s="54" t="str">
        <f t="shared" si="8"/>
        <v>04-Servicio de atención a incidentes y emergencias.</v>
      </c>
      <c r="V198" s="54" t="s">
        <v>233</v>
      </c>
      <c r="W198" s="131" t="str">
        <f>IFERROR(VLOOKUP(V198,TD!$N$33:$O$45,2,0)," ")</f>
        <v>Servicio de atención a emergencias y desastres</v>
      </c>
      <c r="X198" s="54" t="str">
        <f t="shared" si="9"/>
        <v>004_Servicio de atención a emergencias y desastres</v>
      </c>
      <c r="Y198" s="54" t="str">
        <f t="shared" si="10"/>
        <v>04-Servicio de atención a incidentes y emergencias. 004_Servicio de atención a emergencias y desastres</v>
      </c>
      <c r="Z198" s="131" t="str">
        <f t="shared" si="11"/>
        <v>O23011745032024025504004</v>
      </c>
      <c r="AA198" s="131" t="str">
        <f>IFERROR(VLOOKUP(Y198,TD!$K$46:$L$64,2,0)," ")</f>
        <v>PM/0131/0104/45030040255</v>
      </c>
      <c r="AB198" s="57" t="s">
        <v>139</v>
      </c>
      <c r="AC198" s="132" t="s">
        <v>205</v>
      </c>
    </row>
    <row r="199" spans="2:29" s="28" customFormat="1" ht="71.25">
      <c r="B199" s="85">
        <v>20240945</v>
      </c>
      <c r="C199" s="53" t="s">
        <v>210</v>
      </c>
      <c r="D199" s="129" t="s">
        <v>170</v>
      </c>
      <c r="E199" s="54" t="s">
        <v>461</v>
      </c>
      <c r="F199" s="129" t="s">
        <v>462</v>
      </c>
      <c r="G199" s="129" t="s">
        <v>157</v>
      </c>
      <c r="H199" s="117">
        <v>80111600</v>
      </c>
      <c r="I199" s="130">
        <v>8</v>
      </c>
      <c r="J199" s="130">
        <v>5</v>
      </c>
      <c r="K199" s="56">
        <v>15</v>
      </c>
      <c r="L199" s="57">
        <v>12650000</v>
      </c>
      <c r="M199" s="129" t="s">
        <v>173</v>
      </c>
      <c r="N199" s="57" t="s">
        <v>114</v>
      </c>
      <c r="O199" s="54" t="s">
        <v>223</v>
      </c>
      <c r="P199" s="131" t="str">
        <f>IFERROR(VLOOKUP(C199,TD!$B$32:$F$36,2,0)," ")</f>
        <v>O230117</v>
      </c>
      <c r="Q199" s="131" t="str">
        <f>IFERROR(VLOOKUP(C199,TD!$B$32:$F$36,3,0)," ")</f>
        <v>4503</v>
      </c>
      <c r="R199" s="131">
        <f>IFERROR(VLOOKUP(C199,TD!$B$32:$F$36,4,0)," ")</f>
        <v>20240255</v>
      </c>
      <c r="S199" s="54" t="s">
        <v>176</v>
      </c>
      <c r="T199" s="131" t="str">
        <f>IFERROR(VLOOKUP(S199,TD!$J$33:$K$43,2,0)," ")</f>
        <v>Servicio de atención a incidentes y emergencias.</v>
      </c>
      <c r="U199" s="54" t="str">
        <f t="shared" si="8"/>
        <v>04-Servicio de atención a incidentes y emergencias.</v>
      </c>
      <c r="V199" s="54" t="s">
        <v>233</v>
      </c>
      <c r="W199" s="131" t="str">
        <f>IFERROR(VLOOKUP(V199,TD!$N$33:$O$45,2,0)," ")</f>
        <v>Servicio de atención a emergencias y desastres</v>
      </c>
      <c r="X199" s="54" t="str">
        <f t="shared" si="9"/>
        <v>004_Servicio de atención a emergencias y desastres</v>
      </c>
      <c r="Y199" s="54" t="str">
        <f t="shared" si="10"/>
        <v>04-Servicio de atención a incidentes y emergencias. 004_Servicio de atención a emergencias y desastres</v>
      </c>
      <c r="Z199" s="131" t="str">
        <f t="shared" si="11"/>
        <v>O23011745032024025504004</v>
      </c>
      <c r="AA199" s="131" t="str">
        <f>IFERROR(VLOOKUP(Y199,TD!$K$46:$L$64,2,0)," ")</f>
        <v>PM/0131/0104/45030040255</v>
      </c>
      <c r="AB199" s="57" t="s">
        <v>139</v>
      </c>
      <c r="AC199" s="132" t="s">
        <v>205</v>
      </c>
    </row>
    <row r="200" spans="2:29" s="28" customFormat="1" ht="71.25">
      <c r="B200" s="85">
        <v>20240946</v>
      </c>
      <c r="C200" s="53" t="s">
        <v>210</v>
      </c>
      <c r="D200" s="129" t="s">
        <v>170</v>
      </c>
      <c r="E200" s="54" t="s">
        <v>461</v>
      </c>
      <c r="F200" s="129" t="s">
        <v>462</v>
      </c>
      <c r="G200" s="129" t="s">
        <v>157</v>
      </c>
      <c r="H200" s="117">
        <v>80111600</v>
      </c>
      <c r="I200" s="130">
        <v>8</v>
      </c>
      <c r="J200" s="130">
        <v>5</v>
      </c>
      <c r="K200" s="56">
        <v>15</v>
      </c>
      <c r="L200" s="57">
        <v>12650000</v>
      </c>
      <c r="M200" s="129" t="s">
        <v>173</v>
      </c>
      <c r="N200" s="57" t="s">
        <v>114</v>
      </c>
      <c r="O200" s="54" t="s">
        <v>223</v>
      </c>
      <c r="P200" s="131" t="str">
        <f>IFERROR(VLOOKUP(C200,TD!$B$32:$F$36,2,0)," ")</f>
        <v>O230117</v>
      </c>
      <c r="Q200" s="131" t="str">
        <f>IFERROR(VLOOKUP(C200,TD!$B$32:$F$36,3,0)," ")</f>
        <v>4503</v>
      </c>
      <c r="R200" s="131">
        <f>IFERROR(VLOOKUP(C200,TD!$B$32:$F$36,4,0)," ")</f>
        <v>20240255</v>
      </c>
      <c r="S200" s="54" t="s">
        <v>176</v>
      </c>
      <c r="T200" s="131" t="str">
        <f>IFERROR(VLOOKUP(S200,TD!$J$33:$K$43,2,0)," ")</f>
        <v>Servicio de atención a incidentes y emergencias.</v>
      </c>
      <c r="U200" s="54" t="str">
        <f t="shared" si="8"/>
        <v>04-Servicio de atención a incidentes y emergencias.</v>
      </c>
      <c r="V200" s="54" t="s">
        <v>233</v>
      </c>
      <c r="W200" s="131" t="str">
        <f>IFERROR(VLOOKUP(V200,TD!$N$33:$O$45,2,0)," ")</f>
        <v>Servicio de atención a emergencias y desastres</v>
      </c>
      <c r="X200" s="54" t="str">
        <f t="shared" si="9"/>
        <v>004_Servicio de atención a emergencias y desastres</v>
      </c>
      <c r="Y200" s="54" t="str">
        <f t="shared" si="10"/>
        <v>04-Servicio de atención a incidentes y emergencias. 004_Servicio de atención a emergencias y desastres</v>
      </c>
      <c r="Z200" s="131" t="str">
        <f t="shared" si="11"/>
        <v>O23011745032024025504004</v>
      </c>
      <c r="AA200" s="131" t="str">
        <f>IFERROR(VLOOKUP(Y200,TD!$K$46:$L$64,2,0)," ")</f>
        <v>PM/0131/0104/45030040255</v>
      </c>
      <c r="AB200" s="57" t="s">
        <v>139</v>
      </c>
      <c r="AC200" s="132" t="s">
        <v>205</v>
      </c>
    </row>
    <row r="201" spans="2:29" s="28" customFormat="1" ht="71.25">
      <c r="B201" s="85">
        <v>20240947</v>
      </c>
      <c r="C201" s="53" t="s">
        <v>210</v>
      </c>
      <c r="D201" s="129" t="s">
        <v>170</v>
      </c>
      <c r="E201" s="54" t="s">
        <v>461</v>
      </c>
      <c r="F201" s="129" t="s">
        <v>462</v>
      </c>
      <c r="G201" s="129" t="s">
        <v>157</v>
      </c>
      <c r="H201" s="117">
        <v>80111600</v>
      </c>
      <c r="I201" s="130">
        <v>8</v>
      </c>
      <c r="J201" s="130">
        <v>5</v>
      </c>
      <c r="K201" s="56">
        <v>15</v>
      </c>
      <c r="L201" s="57">
        <v>12650000</v>
      </c>
      <c r="M201" s="129" t="s">
        <v>173</v>
      </c>
      <c r="N201" s="57" t="s">
        <v>114</v>
      </c>
      <c r="O201" s="54" t="s">
        <v>223</v>
      </c>
      <c r="P201" s="131" t="str">
        <f>IFERROR(VLOOKUP(C201,TD!$B$32:$F$36,2,0)," ")</f>
        <v>O230117</v>
      </c>
      <c r="Q201" s="131" t="str">
        <f>IFERROR(VLOOKUP(C201,TD!$B$32:$F$36,3,0)," ")</f>
        <v>4503</v>
      </c>
      <c r="R201" s="131">
        <f>IFERROR(VLOOKUP(C201,TD!$B$32:$F$36,4,0)," ")</f>
        <v>20240255</v>
      </c>
      <c r="S201" s="54" t="s">
        <v>176</v>
      </c>
      <c r="T201" s="131" t="str">
        <f>IFERROR(VLOOKUP(S201,TD!$J$33:$K$43,2,0)," ")</f>
        <v>Servicio de atención a incidentes y emergencias.</v>
      </c>
      <c r="U201" s="54" t="str">
        <f t="shared" si="8"/>
        <v>04-Servicio de atención a incidentes y emergencias.</v>
      </c>
      <c r="V201" s="54" t="s">
        <v>233</v>
      </c>
      <c r="W201" s="131" t="str">
        <f>IFERROR(VLOOKUP(V201,TD!$N$33:$O$45,2,0)," ")</f>
        <v>Servicio de atención a emergencias y desastres</v>
      </c>
      <c r="X201" s="54" t="str">
        <f t="shared" si="9"/>
        <v>004_Servicio de atención a emergencias y desastres</v>
      </c>
      <c r="Y201" s="54" t="str">
        <f t="shared" si="10"/>
        <v>04-Servicio de atención a incidentes y emergencias. 004_Servicio de atención a emergencias y desastres</v>
      </c>
      <c r="Z201" s="131" t="str">
        <f t="shared" si="11"/>
        <v>O23011745032024025504004</v>
      </c>
      <c r="AA201" s="131" t="str">
        <f>IFERROR(VLOOKUP(Y201,TD!$K$46:$L$64,2,0)," ")</f>
        <v>PM/0131/0104/45030040255</v>
      </c>
      <c r="AB201" s="57" t="s">
        <v>139</v>
      </c>
      <c r="AC201" s="132" t="s">
        <v>205</v>
      </c>
    </row>
    <row r="202" spans="2:29" s="28" customFormat="1" ht="71.25">
      <c r="B202" s="85">
        <v>20240948</v>
      </c>
      <c r="C202" s="53" t="s">
        <v>210</v>
      </c>
      <c r="D202" s="129" t="s">
        <v>170</v>
      </c>
      <c r="E202" s="54" t="s">
        <v>461</v>
      </c>
      <c r="F202" s="129" t="s">
        <v>462</v>
      </c>
      <c r="G202" s="129" t="s">
        <v>157</v>
      </c>
      <c r="H202" s="117">
        <v>80111600</v>
      </c>
      <c r="I202" s="130">
        <v>8</v>
      </c>
      <c r="J202" s="130">
        <v>5</v>
      </c>
      <c r="K202" s="56">
        <v>15</v>
      </c>
      <c r="L202" s="57">
        <v>12650000</v>
      </c>
      <c r="M202" s="129" t="s">
        <v>173</v>
      </c>
      <c r="N202" s="57" t="s">
        <v>114</v>
      </c>
      <c r="O202" s="54" t="s">
        <v>223</v>
      </c>
      <c r="P202" s="131" t="str">
        <f>IFERROR(VLOOKUP(C202,TD!$B$32:$F$36,2,0)," ")</f>
        <v>O230117</v>
      </c>
      <c r="Q202" s="131" t="str">
        <f>IFERROR(VLOOKUP(C202,TD!$B$32:$F$36,3,0)," ")</f>
        <v>4503</v>
      </c>
      <c r="R202" s="131">
        <f>IFERROR(VLOOKUP(C202,TD!$B$32:$F$36,4,0)," ")</f>
        <v>20240255</v>
      </c>
      <c r="S202" s="54" t="s">
        <v>176</v>
      </c>
      <c r="T202" s="131" t="str">
        <f>IFERROR(VLOOKUP(S202,TD!$J$33:$K$43,2,0)," ")</f>
        <v>Servicio de atención a incidentes y emergencias.</v>
      </c>
      <c r="U202" s="54" t="str">
        <f t="shared" si="8"/>
        <v>04-Servicio de atención a incidentes y emergencias.</v>
      </c>
      <c r="V202" s="54" t="s">
        <v>233</v>
      </c>
      <c r="W202" s="131" t="str">
        <f>IFERROR(VLOOKUP(V202,TD!$N$33:$O$45,2,0)," ")</f>
        <v>Servicio de atención a emergencias y desastres</v>
      </c>
      <c r="X202" s="54" t="str">
        <f t="shared" si="9"/>
        <v>004_Servicio de atención a emergencias y desastres</v>
      </c>
      <c r="Y202" s="54" t="str">
        <f t="shared" si="10"/>
        <v>04-Servicio de atención a incidentes y emergencias. 004_Servicio de atención a emergencias y desastres</v>
      </c>
      <c r="Z202" s="131" t="str">
        <f t="shared" si="11"/>
        <v>O23011745032024025504004</v>
      </c>
      <c r="AA202" s="131" t="str">
        <f>IFERROR(VLOOKUP(Y202,TD!$K$46:$L$64,2,0)," ")</f>
        <v>PM/0131/0104/45030040255</v>
      </c>
      <c r="AB202" s="57" t="s">
        <v>139</v>
      </c>
      <c r="AC202" s="132" t="s">
        <v>205</v>
      </c>
    </row>
    <row r="203" spans="2:29" s="28" customFormat="1" ht="71.25">
      <c r="B203" s="85">
        <v>20240949</v>
      </c>
      <c r="C203" s="53" t="s">
        <v>210</v>
      </c>
      <c r="D203" s="129" t="s">
        <v>170</v>
      </c>
      <c r="E203" s="54" t="s">
        <v>461</v>
      </c>
      <c r="F203" s="129" t="s">
        <v>462</v>
      </c>
      <c r="G203" s="129" t="s">
        <v>157</v>
      </c>
      <c r="H203" s="117">
        <v>80111600</v>
      </c>
      <c r="I203" s="130">
        <v>8</v>
      </c>
      <c r="J203" s="130">
        <v>5</v>
      </c>
      <c r="K203" s="56">
        <v>15</v>
      </c>
      <c r="L203" s="57">
        <v>12650000</v>
      </c>
      <c r="M203" s="129" t="s">
        <v>173</v>
      </c>
      <c r="N203" s="57" t="s">
        <v>114</v>
      </c>
      <c r="O203" s="54" t="s">
        <v>223</v>
      </c>
      <c r="P203" s="131" t="str">
        <f>IFERROR(VLOOKUP(C203,TD!$B$32:$F$36,2,0)," ")</f>
        <v>O230117</v>
      </c>
      <c r="Q203" s="131" t="str">
        <f>IFERROR(VLOOKUP(C203,TD!$B$32:$F$36,3,0)," ")</f>
        <v>4503</v>
      </c>
      <c r="R203" s="131">
        <f>IFERROR(VLOOKUP(C203,TD!$B$32:$F$36,4,0)," ")</f>
        <v>20240255</v>
      </c>
      <c r="S203" s="54" t="s">
        <v>176</v>
      </c>
      <c r="T203" s="131" t="str">
        <f>IFERROR(VLOOKUP(S203,TD!$J$33:$K$43,2,0)," ")</f>
        <v>Servicio de atención a incidentes y emergencias.</v>
      </c>
      <c r="U203" s="54" t="str">
        <f t="shared" ref="U203:U266" si="12">CONCATENATE(S203,"-",T203)</f>
        <v>04-Servicio de atención a incidentes y emergencias.</v>
      </c>
      <c r="V203" s="54" t="s">
        <v>233</v>
      </c>
      <c r="W203" s="131" t="str">
        <f>IFERROR(VLOOKUP(V203,TD!$N$33:$O$45,2,0)," ")</f>
        <v>Servicio de atención a emergencias y desastres</v>
      </c>
      <c r="X203" s="54" t="str">
        <f t="shared" ref="X203:X266" si="13">CONCATENATE(V203,"_",W203)</f>
        <v>004_Servicio de atención a emergencias y desastres</v>
      </c>
      <c r="Y203" s="54" t="str">
        <f t="shared" ref="Y203:Y266" si="14">CONCATENATE(U203," ",X203)</f>
        <v>04-Servicio de atención a incidentes y emergencias. 004_Servicio de atención a emergencias y desastres</v>
      </c>
      <c r="Z203" s="131" t="str">
        <f t="shared" ref="Z203:Z266" si="15">CONCATENATE(P203,Q203,R203,S203,V203)</f>
        <v>O23011745032024025504004</v>
      </c>
      <c r="AA203" s="131" t="str">
        <f>IFERROR(VLOOKUP(Y203,TD!$K$46:$L$64,2,0)," ")</f>
        <v>PM/0131/0104/45030040255</v>
      </c>
      <c r="AB203" s="57" t="s">
        <v>139</v>
      </c>
      <c r="AC203" s="132" t="s">
        <v>205</v>
      </c>
    </row>
    <row r="204" spans="2:29" s="28" customFormat="1" ht="71.25">
      <c r="B204" s="85">
        <v>20240950</v>
      </c>
      <c r="C204" s="53" t="s">
        <v>210</v>
      </c>
      <c r="D204" s="129" t="s">
        <v>170</v>
      </c>
      <c r="E204" s="54" t="s">
        <v>461</v>
      </c>
      <c r="F204" s="129" t="s">
        <v>462</v>
      </c>
      <c r="G204" s="129" t="s">
        <v>157</v>
      </c>
      <c r="H204" s="117">
        <v>80111600</v>
      </c>
      <c r="I204" s="130">
        <v>8</v>
      </c>
      <c r="J204" s="130">
        <v>5</v>
      </c>
      <c r="K204" s="56">
        <v>15</v>
      </c>
      <c r="L204" s="57">
        <v>12650000</v>
      </c>
      <c r="M204" s="129" t="s">
        <v>173</v>
      </c>
      <c r="N204" s="57" t="s">
        <v>114</v>
      </c>
      <c r="O204" s="54" t="s">
        <v>223</v>
      </c>
      <c r="P204" s="131" t="str">
        <f>IFERROR(VLOOKUP(C204,TD!$B$32:$F$36,2,0)," ")</f>
        <v>O230117</v>
      </c>
      <c r="Q204" s="131" t="str">
        <f>IFERROR(VLOOKUP(C204,TD!$B$32:$F$36,3,0)," ")</f>
        <v>4503</v>
      </c>
      <c r="R204" s="131">
        <f>IFERROR(VLOOKUP(C204,TD!$B$32:$F$36,4,0)," ")</f>
        <v>20240255</v>
      </c>
      <c r="S204" s="54" t="s">
        <v>176</v>
      </c>
      <c r="T204" s="131" t="str">
        <f>IFERROR(VLOOKUP(S204,TD!$J$33:$K$43,2,0)," ")</f>
        <v>Servicio de atención a incidentes y emergencias.</v>
      </c>
      <c r="U204" s="54" t="str">
        <f t="shared" si="12"/>
        <v>04-Servicio de atención a incidentes y emergencias.</v>
      </c>
      <c r="V204" s="54" t="s">
        <v>233</v>
      </c>
      <c r="W204" s="131" t="str">
        <f>IFERROR(VLOOKUP(V204,TD!$N$33:$O$45,2,0)," ")</f>
        <v>Servicio de atención a emergencias y desastres</v>
      </c>
      <c r="X204" s="54" t="str">
        <f t="shared" si="13"/>
        <v>004_Servicio de atención a emergencias y desastres</v>
      </c>
      <c r="Y204" s="54" t="str">
        <f t="shared" si="14"/>
        <v>04-Servicio de atención a incidentes y emergencias. 004_Servicio de atención a emergencias y desastres</v>
      </c>
      <c r="Z204" s="131" t="str">
        <f t="shared" si="15"/>
        <v>O23011745032024025504004</v>
      </c>
      <c r="AA204" s="131" t="str">
        <f>IFERROR(VLOOKUP(Y204,TD!$K$46:$L$64,2,0)," ")</f>
        <v>PM/0131/0104/45030040255</v>
      </c>
      <c r="AB204" s="57" t="s">
        <v>139</v>
      </c>
      <c r="AC204" s="132" t="s">
        <v>205</v>
      </c>
    </row>
    <row r="205" spans="2:29" s="28" customFormat="1" ht="71.25">
      <c r="B205" s="85">
        <v>20240951</v>
      </c>
      <c r="C205" s="53" t="s">
        <v>210</v>
      </c>
      <c r="D205" s="129" t="s">
        <v>170</v>
      </c>
      <c r="E205" s="54" t="s">
        <v>461</v>
      </c>
      <c r="F205" s="129" t="s">
        <v>462</v>
      </c>
      <c r="G205" s="129" t="s">
        <v>157</v>
      </c>
      <c r="H205" s="117">
        <v>80111600</v>
      </c>
      <c r="I205" s="130">
        <v>8</v>
      </c>
      <c r="J205" s="130">
        <v>5</v>
      </c>
      <c r="K205" s="56">
        <v>15</v>
      </c>
      <c r="L205" s="57">
        <v>12650000</v>
      </c>
      <c r="M205" s="129" t="s">
        <v>173</v>
      </c>
      <c r="N205" s="57" t="s">
        <v>114</v>
      </c>
      <c r="O205" s="54" t="s">
        <v>223</v>
      </c>
      <c r="P205" s="131" t="str">
        <f>IFERROR(VLOOKUP(C205,TD!$B$32:$F$36,2,0)," ")</f>
        <v>O230117</v>
      </c>
      <c r="Q205" s="131" t="str">
        <f>IFERROR(VLOOKUP(C205,TD!$B$32:$F$36,3,0)," ")</f>
        <v>4503</v>
      </c>
      <c r="R205" s="131">
        <f>IFERROR(VLOOKUP(C205,TD!$B$32:$F$36,4,0)," ")</f>
        <v>20240255</v>
      </c>
      <c r="S205" s="54" t="s">
        <v>176</v>
      </c>
      <c r="T205" s="131" t="str">
        <f>IFERROR(VLOOKUP(S205,TD!$J$33:$K$43,2,0)," ")</f>
        <v>Servicio de atención a incidentes y emergencias.</v>
      </c>
      <c r="U205" s="54" t="str">
        <f t="shared" si="12"/>
        <v>04-Servicio de atención a incidentes y emergencias.</v>
      </c>
      <c r="V205" s="54" t="s">
        <v>233</v>
      </c>
      <c r="W205" s="131" t="str">
        <f>IFERROR(VLOOKUP(V205,TD!$N$33:$O$45,2,0)," ")</f>
        <v>Servicio de atención a emergencias y desastres</v>
      </c>
      <c r="X205" s="54" t="str">
        <f t="shared" si="13"/>
        <v>004_Servicio de atención a emergencias y desastres</v>
      </c>
      <c r="Y205" s="54" t="str">
        <f t="shared" si="14"/>
        <v>04-Servicio de atención a incidentes y emergencias. 004_Servicio de atención a emergencias y desastres</v>
      </c>
      <c r="Z205" s="131" t="str">
        <f t="shared" si="15"/>
        <v>O23011745032024025504004</v>
      </c>
      <c r="AA205" s="131" t="str">
        <f>IFERROR(VLOOKUP(Y205,TD!$K$46:$L$64,2,0)," ")</f>
        <v>PM/0131/0104/45030040255</v>
      </c>
      <c r="AB205" s="57" t="s">
        <v>139</v>
      </c>
      <c r="AC205" s="132" t="s">
        <v>205</v>
      </c>
    </row>
    <row r="206" spans="2:29" s="28" customFormat="1" ht="71.25">
      <c r="B206" s="85">
        <v>20240952</v>
      </c>
      <c r="C206" s="53" t="s">
        <v>210</v>
      </c>
      <c r="D206" s="129" t="s">
        <v>170</v>
      </c>
      <c r="E206" s="54" t="s">
        <v>461</v>
      </c>
      <c r="F206" s="129" t="s">
        <v>462</v>
      </c>
      <c r="G206" s="129" t="s">
        <v>157</v>
      </c>
      <c r="H206" s="117">
        <v>80111600</v>
      </c>
      <c r="I206" s="130">
        <v>8</v>
      </c>
      <c r="J206" s="130">
        <v>6</v>
      </c>
      <c r="K206" s="56">
        <v>2</v>
      </c>
      <c r="L206" s="57">
        <v>13953333</v>
      </c>
      <c r="M206" s="129" t="s">
        <v>173</v>
      </c>
      <c r="N206" s="57" t="s">
        <v>114</v>
      </c>
      <c r="O206" s="54" t="s">
        <v>223</v>
      </c>
      <c r="P206" s="131" t="str">
        <f>IFERROR(VLOOKUP(C206,TD!$B$32:$F$36,2,0)," ")</f>
        <v>O230117</v>
      </c>
      <c r="Q206" s="131" t="str">
        <f>IFERROR(VLOOKUP(C206,TD!$B$32:$F$36,3,0)," ")</f>
        <v>4503</v>
      </c>
      <c r="R206" s="131">
        <f>IFERROR(VLOOKUP(C206,TD!$B$32:$F$36,4,0)," ")</f>
        <v>20240255</v>
      </c>
      <c r="S206" s="54" t="s">
        <v>176</v>
      </c>
      <c r="T206" s="131" t="str">
        <f>IFERROR(VLOOKUP(S206,TD!$J$33:$K$43,2,0)," ")</f>
        <v>Servicio de atención a incidentes y emergencias.</v>
      </c>
      <c r="U206" s="54" t="str">
        <f t="shared" si="12"/>
        <v>04-Servicio de atención a incidentes y emergencias.</v>
      </c>
      <c r="V206" s="54" t="s">
        <v>233</v>
      </c>
      <c r="W206" s="131" t="str">
        <f>IFERROR(VLOOKUP(V206,TD!$N$33:$O$45,2,0)," ")</f>
        <v>Servicio de atención a emergencias y desastres</v>
      </c>
      <c r="X206" s="54" t="str">
        <f t="shared" si="13"/>
        <v>004_Servicio de atención a emergencias y desastres</v>
      </c>
      <c r="Y206" s="54" t="str">
        <f t="shared" si="14"/>
        <v>04-Servicio de atención a incidentes y emergencias. 004_Servicio de atención a emergencias y desastres</v>
      </c>
      <c r="Z206" s="131" t="str">
        <f t="shared" si="15"/>
        <v>O23011745032024025504004</v>
      </c>
      <c r="AA206" s="131" t="str">
        <f>IFERROR(VLOOKUP(Y206,TD!$K$46:$L$64,2,0)," ")</f>
        <v>PM/0131/0104/45030040255</v>
      </c>
      <c r="AB206" s="57" t="s">
        <v>139</v>
      </c>
      <c r="AC206" s="132" t="s">
        <v>205</v>
      </c>
    </row>
    <row r="207" spans="2:29" s="28" customFormat="1" ht="71.25">
      <c r="B207" s="85">
        <v>20240953</v>
      </c>
      <c r="C207" s="53" t="s">
        <v>210</v>
      </c>
      <c r="D207" s="129" t="s">
        <v>170</v>
      </c>
      <c r="E207" s="54" t="s">
        <v>461</v>
      </c>
      <c r="F207" s="129" t="s">
        <v>462</v>
      </c>
      <c r="G207" s="129" t="s">
        <v>157</v>
      </c>
      <c r="H207" s="117">
        <v>80111600</v>
      </c>
      <c r="I207" s="130">
        <v>8</v>
      </c>
      <c r="J207" s="130">
        <v>6</v>
      </c>
      <c r="K207" s="56">
        <v>8</v>
      </c>
      <c r="L207" s="57">
        <v>14413333</v>
      </c>
      <c r="M207" s="129" t="s">
        <v>173</v>
      </c>
      <c r="N207" s="57" t="s">
        <v>114</v>
      </c>
      <c r="O207" s="54" t="s">
        <v>223</v>
      </c>
      <c r="P207" s="131" t="str">
        <f>IFERROR(VLOOKUP(C207,TD!$B$32:$F$36,2,0)," ")</f>
        <v>O230117</v>
      </c>
      <c r="Q207" s="131" t="str">
        <f>IFERROR(VLOOKUP(C207,TD!$B$32:$F$36,3,0)," ")</f>
        <v>4503</v>
      </c>
      <c r="R207" s="131">
        <f>IFERROR(VLOOKUP(C207,TD!$B$32:$F$36,4,0)," ")</f>
        <v>20240255</v>
      </c>
      <c r="S207" s="54" t="s">
        <v>176</v>
      </c>
      <c r="T207" s="131" t="str">
        <f>IFERROR(VLOOKUP(S207,TD!$J$33:$K$43,2,0)," ")</f>
        <v>Servicio de atención a incidentes y emergencias.</v>
      </c>
      <c r="U207" s="54" t="str">
        <f t="shared" si="12"/>
        <v>04-Servicio de atención a incidentes y emergencias.</v>
      </c>
      <c r="V207" s="54" t="s">
        <v>233</v>
      </c>
      <c r="W207" s="131" t="str">
        <f>IFERROR(VLOOKUP(V207,TD!$N$33:$O$45,2,0)," ")</f>
        <v>Servicio de atención a emergencias y desastres</v>
      </c>
      <c r="X207" s="54" t="str">
        <f t="shared" si="13"/>
        <v>004_Servicio de atención a emergencias y desastres</v>
      </c>
      <c r="Y207" s="54" t="str">
        <f t="shared" si="14"/>
        <v>04-Servicio de atención a incidentes y emergencias. 004_Servicio de atención a emergencias y desastres</v>
      </c>
      <c r="Z207" s="131" t="str">
        <f t="shared" si="15"/>
        <v>O23011745032024025504004</v>
      </c>
      <c r="AA207" s="131" t="str">
        <f>IFERROR(VLOOKUP(Y207,TD!$K$46:$L$64,2,0)," ")</f>
        <v>PM/0131/0104/45030040255</v>
      </c>
      <c r="AB207" s="57" t="s">
        <v>139</v>
      </c>
      <c r="AC207" s="132" t="s">
        <v>205</v>
      </c>
    </row>
    <row r="208" spans="2:29" s="28" customFormat="1" ht="71.25">
      <c r="B208" s="85">
        <v>20240954</v>
      </c>
      <c r="C208" s="53" t="s">
        <v>210</v>
      </c>
      <c r="D208" s="129" t="s">
        <v>170</v>
      </c>
      <c r="E208" s="54" t="s">
        <v>461</v>
      </c>
      <c r="F208" s="129" t="s">
        <v>462</v>
      </c>
      <c r="G208" s="129" t="s">
        <v>157</v>
      </c>
      <c r="H208" s="117">
        <v>80111600</v>
      </c>
      <c r="I208" s="130">
        <v>8</v>
      </c>
      <c r="J208" s="130">
        <v>6</v>
      </c>
      <c r="K208" s="56">
        <v>11</v>
      </c>
      <c r="L208" s="57">
        <v>14643333</v>
      </c>
      <c r="M208" s="129" t="s">
        <v>173</v>
      </c>
      <c r="N208" s="57" t="s">
        <v>114</v>
      </c>
      <c r="O208" s="54" t="s">
        <v>223</v>
      </c>
      <c r="P208" s="131" t="str">
        <f>IFERROR(VLOOKUP(C208,TD!$B$32:$F$36,2,0)," ")</f>
        <v>O230117</v>
      </c>
      <c r="Q208" s="131" t="str">
        <f>IFERROR(VLOOKUP(C208,TD!$B$32:$F$36,3,0)," ")</f>
        <v>4503</v>
      </c>
      <c r="R208" s="131">
        <f>IFERROR(VLOOKUP(C208,TD!$B$32:$F$36,4,0)," ")</f>
        <v>20240255</v>
      </c>
      <c r="S208" s="54" t="s">
        <v>176</v>
      </c>
      <c r="T208" s="131" t="str">
        <f>IFERROR(VLOOKUP(S208,TD!$J$33:$K$43,2,0)," ")</f>
        <v>Servicio de atención a incidentes y emergencias.</v>
      </c>
      <c r="U208" s="54" t="str">
        <f t="shared" si="12"/>
        <v>04-Servicio de atención a incidentes y emergencias.</v>
      </c>
      <c r="V208" s="54" t="s">
        <v>233</v>
      </c>
      <c r="W208" s="131" t="str">
        <f>IFERROR(VLOOKUP(V208,TD!$N$33:$O$45,2,0)," ")</f>
        <v>Servicio de atención a emergencias y desastres</v>
      </c>
      <c r="X208" s="54" t="str">
        <f t="shared" si="13"/>
        <v>004_Servicio de atención a emergencias y desastres</v>
      </c>
      <c r="Y208" s="54" t="str">
        <f t="shared" si="14"/>
        <v>04-Servicio de atención a incidentes y emergencias. 004_Servicio de atención a emergencias y desastres</v>
      </c>
      <c r="Z208" s="131" t="str">
        <f t="shared" si="15"/>
        <v>O23011745032024025504004</v>
      </c>
      <c r="AA208" s="131" t="str">
        <f>IFERROR(VLOOKUP(Y208,TD!$K$46:$L$64,2,0)," ")</f>
        <v>PM/0131/0104/45030040255</v>
      </c>
      <c r="AB208" s="57" t="s">
        <v>139</v>
      </c>
      <c r="AC208" s="132" t="s">
        <v>205</v>
      </c>
    </row>
    <row r="209" spans="2:29" s="28" customFormat="1" ht="71.25">
      <c r="B209" s="85">
        <v>20240955</v>
      </c>
      <c r="C209" s="53" t="s">
        <v>210</v>
      </c>
      <c r="D209" s="129" t="s">
        <v>170</v>
      </c>
      <c r="E209" s="54" t="s">
        <v>461</v>
      </c>
      <c r="F209" s="129" t="s">
        <v>462</v>
      </c>
      <c r="G209" s="129" t="s">
        <v>157</v>
      </c>
      <c r="H209" s="117">
        <v>80111600</v>
      </c>
      <c r="I209" s="130">
        <v>8</v>
      </c>
      <c r="J209" s="130">
        <v>6</v>
      </c>
      <c r="K209" s="56">
        <v>11</v>
      </c>
      <c r="L209" s="57">
        <v>14643333</v>
      </c>
      <c r="M209" s="129" t="s">
        <v>173</v>
      </c>
      <c r="N209" s="57" t="s">
        <v>114</v>
      </c>
      <c r="O209" s="54" t="s">
        <v>223</v>
      </c>
      <c r="P209" s="131" t="str">
        <f>IFERROR(VLOOKUP(C209,TD!$B$32:$F$36,2,0)," ")</f>
        <v>O230117</v>
      </c>
      <c r="Q209" s="131" t="str">
        <f>IFERROR(VLOOKUP(C209,TD!$B$32:$F$36,3,0)," ")</f>
        <v>4503</v>
      </c>
      <c r="R209" s="131">
        <f>IFERROR(VLOOKUP(C209,TD!$B$32:$F$36,4,0)," ")</f>
        <v>20240255</v>
      </c>
      <c r="S209" s="54" t="s">
        <v>176</v>
      </c>
      <c r="T209" s="131" t="str">
        <f>IFERROR(VLOOKUP(S209,TD!$J$33:$K$43,2,0)," ")</f>
        <v>Servicio de atención a incidentes y emergencias.</v>
      </c>
      <c r="U209" s="54" t="str">
        <f t="shared" si="12"/>
        <v>04-Servicio de atención a incidentes y emergencias.</v>
      </c>
      <c r="V209" s="54" t="s">
        <v>233</v>
      </c>
      <c r="W209" s="131" t="str">
        <f>IFERROR(VLOOKUP(V209,TD!$N$33:$O$45,2,0)," ")</f>
        <v>Servicio de atención a emergencias y desastres</v>
      </c>
      <c r="X209" s="54" t="str">
        <f t="shared" si="13"/>
        <v>004_Servicio de atención a emergencias y desastres</v>
      </c>
      <c r="Y209" s="54" t="str">
        <f t="shared" si="14"/>
        <v>04-Servicio de atención a incidentes y emergencias. 004_Servicio de atención a emergencias y desastres</v>
      </c>
      <c r="Z209" s="131" t="str">
        <f t="shared" si="15"/>
        <v>O23011745032024025504004</v>
      </c>
      <c r="AA209" s="131" t="str">
        <f>IFERROR(VLOOKUP(Y209,TD!$K$46:$L$64,2,0)," ")</f>
        <v>PM/0131/0104/45030040255</v>
      </c>
      <c r="AB209" s="57" t="s">
        <v>139</v>
      </c>
      <c r="AC209" s="132" t="s">
        <v>205</v>
      </c>
    </row>
    <row r="210" spans="2:29" s="28" customFormat="1" ht="71.25">
      <c r="B210" s="85">
        <v>20240956</v>
      </c>
      <c r="C210" s="53" t="s">
        <v>210</v>
      </c>
      <c r="D210" s="129" t="s">
        <v>170</v>
      </c>
      <c r="E210" s="54" t="s">
        <v>461</v>
      </c>
      <c r="F210" s="129" t="s">
        <v>463</v>
      </c>
      <c r="G210" s="129" t="s">
        <v>157</v>
      </c>
      <c r="H210" s="117">
        <v>80111600</v>
      </c>
      <c r="I210" s="130">
        <v>8</v>
      </c>
      <c r="J210" s="130">
        <v>6</v>
      </c>
      <c r="K210" s="56">
        <v>28</v>
      </c>
      <c r="L210" s="57">
        <v>18720000</v>
      </c>
      <c r="M210" s="129" t="s">
        <v>173</v>
      </c>
      <c r="N210" s="57" t="s">
        <v>114</v>
      </c>
      <c r="O210" s="54" t="s">
        <v>223</v>
      </c>
      <c r="P210" s="131" t="str">
        <f>IFERROR(VLOOKUP(C210,TD!$B$32:$F$36,2,0)," ")</f>
        <v>O230117</v>
      </c>
      <c r="Q210" s="131" t="str">
        <f>IFERROR(VLOOKUP(C210,TD!$B$32:$F$36,3,0)," ")</f>
        <v>4503</v>
      </c>
      <c r="R210" s="131">
        <f>IFERROR(VLOOKUP(C210,TD!$B$32:$F$36,4,0)," ")</f>
        <v>20240255</v>
      </c>
      <c r="S210" s="54" t="s">
        <v>176</v>
      </c>
      <c r="T210" s="131" t="str">
        <f>IFERROR(VLOOKUP(S210,TD!$J$33:$K$43,2,0)," ")</f>
        <v>Servicio de atención a incidentes y emergencias.</v>
      </c>
      <c r="U210" s="54" t="str">
        <f t="shared" si="12"/>
        <v>04-Servicio de atención a incidentes y emergencias.</v>
      </c>
      <c r="V210" s="54" t="s">
        <v>233</v>
      </c>
      <c r="W210" s="131" t="str">
        <f>IFERROR(VLOOKUP(V210,TD!$N$33:$O$45,2,0)," ")</f>
        <v>Servicio de atención a emergencias y desastres</v>
      </c>
      <c r="X210" s="54" t="str">
        <f t="shared" si="13"/>
        <v>004_Servicio de atención a emergencias y desastres</v>
      </c>
      <c r="Y210" s="54" t="str">
        <f t="shared" si="14"/>
        <v>04-Servicio de atención a incidentes y emergencias. 004_Servicio de atención a emergencias y desastres</v>
      </c>
      <c r="Z210" s="131" t="str">
        <f t="shared" si="15"/>
        <v>O23011745032024025504004</v>
      </c>
      <c r="AA210" s="131" t="str">
        <f>IFERROR(VLOOKUP(Y210,TD!$K$46:$L$64,2,0)," ")</f>
        <v>PM/0131/0104/45030040255</v>
      </c>
      <c r="AB210" s="57" t="s">
        <v>139</v>
      </c>
      <c r="AC210" s="132" t="s">
        <v>205</v>
      </c>
    </row>
    <row r="211" spans="2:29" s="28" customFormat="1" ht="71.25">
      <c r="B211" s="85">
        <v>20240957</v>
      </c>
      <c r="C211" s="53" t="s">
        <v>210</v>
      </c>
      <c r="D211" s="129" t="s">
        <v>170</v>
      </c>
      <c r="E211" s="54" t="s">
        <v>461</v>
      </c>
      <c r="F211" s="129" t="s">
        <v>464</v>
      </c>
      <c r="G211" s="129" t="s">
        <v>157</v>
      </c>
      <c r="H211" s="117">
        <v>80111600</v>
      </c>
      <c r="I211" s="130">
        <v>9</v>
      </c>
      <c r="J211" s="130">
        <v>4</v>
      </c>
      <c r="K211" s="56">
        <v>16</v>
      </c>
      <c r="L211" s="57">
        <v>12240000</v>
      </c>
      <c r="M211" s="129" t="s">
        <v>173</v>
      </c>
      <c r="N211" s="57" t="s">
        <v>114</v>
      </c>
      <c r="O211" s="54" t="s">
        <v>223</v>
      </c>
      <c r="P211" s="131" t="str">
        <f>IFERROR(VLOOKUP(C211,TD!$B$32:$F$36,2,0)," ")</f>
        <v>O230117</v>
      </c>
      <c r="Q211" s="131" t="str">
        <f>IFERROR(VLOOKUP(C211,TD!$B$32:$F$36,3,0)," ")</f>
        <v>4503</v>
      </c>
      <c r="R211" s="131">
        <f>IFERROR(VLOOKUP(C211,TD!$B$32:$F$36,4,0)," ")</f>
        <v>20240255</v>
      </c>
      <c r="S211" s="54" t="s">
        <v>176</v>
      </c>
      <c r="T211" s="131" t="str">
        <f>IFERROR(VLOOKUP(S211,TD!$J$33:$K$43,2,0)," ")</f>
        <v>Servicio de atención a incidentes y emergencias.</v>
      </c>
      <c r="U211" s="54" t="str">
        <f t="shared" si="12"/>
        <v>04-Servicio de atención a incidentes y emergencias.</v>
      </c>
      <c r="V211" s="54" t="s">
        <v>233</v>
      </c>
      <c r="W211" s="131" t="str">
        <f>IFERROR(VLOOKUP(V211,TD!$N$33:$O$45,2,0)," ")</f>
        <v>Servicio de atención a emergencias y desastres</v>
      </c>
      <c r="X211" s="54" t="str">
        <f t="shared" si="13"/>
        <v>004_Servicio de atención a emergencias y desastres</v>
      </c>
      <c r="Y211" s="54" t="str">
        <f t="shared" si="14"/>
        <v>04-Servicio de atención a incidentes y emergencias. 004_Servicio de atención a emergencias y desastres</v>
      </c>
      <c r="Z211" s="131" t="str">
        <f t="shared" si="15"/>
        <v>O23011745032024025504004</v>
      </c>
      <c r="AA211" s="131" t="str">
        <f>IFERROR(VLOOKUP(Y211,TD!$K$46:$L$64,2,0)," ")</f>
        <v>PM/0131/0104/45030040255</v>
      </c>
      <c r="AB211" s="57" t="s">
        <v>139</v>
      </c>
      <c r="AC211" s="132" t="s">
        <v>205</v>
      </c>
    </row>
    <row r="212" spans="2:29" s="28" customFormat="1" ht="71.25">
      <c r="B212" s="85">
        <v>20240958</v>
      </c>
      <c r="C212" s="53" t="s">
        <v>210</v>
      </c>
      <c r="D212" s="129" t="s">
        <v>170</v>
      </c>
      <c r="E212" s="54" t="s">
        <v>461</v>
      </c>
      <c r="F212" s="129" t="s">
        <v>464</v>
      </c>
      <c r="G212" s="129" t="s">
        <v>157</v>
      </c>
      <c r="H212" s="117">
        <v>80111600</v>
      </c>
      <c r="I212" s="130">
        <v>7</v>
      </c>
      <c r="J212" s="130">
        <v>6</v>
      </c>
      <c r="K212" s="56">
        <v>10</v>
      </c>
      <c r="L212" s="57">
        <v>18450000</v>
      </c>
      <c r="M212" s="129" t="s">
        <v>173</v>
      </c>
      <c r="N212" s="57" t="s">
        <v>114</v>
      </c>
      <c r="O212" s="54" t="s">
        <v>223</v>
      </c>
      <c r="P212" s="131" t="str">
        <f>IFERROR(VLOOKUP(C212,TD!$B$32:$F$36,2,0)," ")</f>
        <v>O230117</v>
      </c>
      <c r="Q212" s="131" t="str">
        <f>IFERROR(VLOOKUP(C212,TD!$B$32:$F$36,3,0)," ")</f>
        <v>4503</v>
      </c>
      <c r="R212" s="131">
        <f>IFERROR(VLOOKUP(C212,TD!$B$32:$F$36,4,0)," ")</f>
        <v>20240255</v>
      </c>
      <c r="S212" s="54" t="s">
        <v>176</v>
      </c>
      <c r="T212" s="131" t="str">
        <f>IFERROR(VLOOKUP(S212,TD!$J$33:$K$43,2,0)," ")</f>
        <v>Servicio de atención a incidentes y emergencias.</v>
      </c>
      <c r="U212" s="54" t="str">
        <f t="shared" si="12"/>
        <v>04-Servicio de atención a incidentes y emergencias.</v>
      </c>
      <c r="V212" s="54" t="s">
        <v>233</v>
      </c>
      <c r="W212" s="131" t="str">
        <f>IFERROR(VLOOKUP(V212,TD!$N$33:$O$45,2,0)," ")</f>
        <v>Servicio de atención a emergencias y desastres</v>
      </c>
      <c r="X212" s="54" t="str">
        <f t="shared" si="13"/>
        <v>004_Servicio de atención a emergencias y desastres</v>
      </c>
      <c r="Y212" s="54" t="str">
        <f t="shared" si="14"/>
        <v>04-Servicio de atención a incidentes y emergencias. 004_Servicio de atención a emergencias y desastres</v>
      </c>
      <c r="Z212" s="131" t="str">
        <f t="shared" si="15"/>
        <v>O23011745032024025504004</v>
      </c>
      <c r="AA212" s="131" t="str">
        <f>IFERROR(VLOOKUP(Y212,TD!$K$46:$L$64,2,0)," ")</f>
        <v>PM/0131/0104/45030040255</v>
      </c>
      <c r="AB212" s="57" t="s">
        <v>139</v>
      </c>
      <c r="AC212" s="132" t="s">
        <v>205</v>
      </c>
    </row>
    <row r="213" spans="2:29" s="28" customFormat="1" ht="71.25">
      <c r="B213" s="85">
        <v>20240959</v>
      </c>
      <c r="C213" s="53" t="s">
        <v>210</v>
      </c>
      <c r="D213" s="129" t="s">
        <v>170</v>
      </c>
      <c r="E213" s="54" t="s">
        <v>461</v>
      </c>
      <c r="F213" s="129" t="s">
        <v>464</v>
      </c>
      <c r="G213" s="129" t="s">
        <v>157</v>
      </c>
      <c r="H213" s="117">
        <v>80111600</v>
      </c>
      <c r="I213" s="130">
        <v>7</v>
      </c>
      <c r="J213" s="130">
        <v>6</v>
      </c>
      <c r="K213" s="56">
        <v>27</v>
      </c>
      <c r="L213" s="57">
        <v>18630000</v>
      </c>
      <c r="M213" s="129" t="s">
        <v>173</v>
      </c>
      <c r="N213" s="57" t="s">
        <v>114</v>
      </c>
      <c r="O213" s="54" t="s">
        <v>223</v>
      </c>
      <c r="P213" s="131" t="str">
        <f>IFERROR(VLOOKUP(C213,TD!$B$32:$F$36,2,0)," ")</f>
        <v>O230117</v>
      </c>
      <c r="Q213" s="131" t="str">
        <f>IFERROR(VLOOKUP(C213,TD!$B$32:$F$36,3,0)," ")</f>
        <v>4503</v>
      </c>
      <c r="R213" s="131">
        <f>IFERROR(VLOOKUP(C213,TD!$B$32:$F$36,4,0)," ")</f>
        <v>20240255</v>
      </c>
      <c r="S213" s="54" t="s">
        <v>176</v>
      </c>
      <c r="T213" s="131" t="str">
        <f>IFERROR(VLOOKUP(S213,TD!$J$33:$K$43,2,0)," ")</f>
        <v>Servicio de atención a incidentes y emergencias.</v>
      </c>
      <c r="U213" s="54" t="str">
        <f t="shared" si="12"/>
        <v>04-Servicio de atención a incidentes y emergencias.</v>
      </c>
      <c r="V213" s="54" t="s">
        <v>233</v>
      </c>
      <c r="W213" s="131" t="str">
        <f>IFERROR(VLOOKUP(V213,TD!$N$33:$O$45,2,0)," ")</f>
        <v>Servicio de atención a emergencias y desastres</v>
      </c>
      <c r="X213" s="54" t="str">
        <f t="shared" si="13"/>
        <v>004_Servicio de atención a emergencias y desastres</v>
      </c>
      <c r="Y213" s="54" t="str">
        <f t="shared" si="14"/>
        <v>04-Servicio de atención a incidentes y emergencias. 004_Servicio de atención a emergencias y desastres</v>
      </c>
      <c r="Z213" s="131" t="str">
        <f t="shared" si="15"/>
        <v>O23011745032024025504004</v>
      </c>
      <c r="AA213" s="131" t="str">
        <f>IFERROR(VLOOKUP(Y213,TD!$K$46:$L$64,2,0)," ")</f>
        <v>PM/0131/0104/45030040255</v>
      </c>
      <c r="AB213" s="57" t="s">
        <v>139</v>
      </c>
      <c r="AC213" s="132" t="s">
        <v>205</v>
      </c>
    </row>
    <row r="214" spans="2:29" s="28" customFormat="1" ht="71.25">
      <c r="B214" s="85">
        <v>20240960</v>
      </c>
      <c r="C214" s="53" t="s">
        <v>210</v>
      </c>
      <c r="D214" s="129" t="s">
        <v>170</v>
      </c>
      <c r="E214" s="54" t="s">
        <v>461</v>
      </c>
      <c r="F214" s="129" t="s">
        <v>464</v>
      </c>
      <c r="G214" s="129" t="s">
        <v>157</v>
      </c>
      <c r="H214" s="117">
        <v>80111600</v>
      </c>
      <c r="I214" s="130">
        <v>7</v>
      </c>
      <c r="J214" s="130">
        <v>7</v>
      </c>
      <c r="K214" s="56">
        <v>0</v>
      </c>
      <c r="L214" s="57">
        <v>18900000</v>
      </c>
      <c r="M214" s="129" t="s">
        <v>173</v>
      </c>
      <c r="N214" s="57" t="s">
        <v>114</v>
      </c>
      <c r="O214" s="54" t="s">
        <v>223</v>
      </c>
      <c r="P214" s="131" t="str">
        <f>IFERROR(VLOOKUP(C214,TD!$B$32:$F$36,2,0)," ")</f>
        <v>O230117</v>
      </c>
      <c r="Q214" s="131" t="str">
        <f>IFERROR(VLOOKUP(C214,TD!$B$32:$F$36,3,0)," ")</f>
        <v>4503</v>
      </c>
      <c r="R214" s="131">
        <f>IFERROR(VLOOKUP(C214,TD!$B$32:$F$36,4,0)," ")</f>
        <v>20240255</v>
      </c>
      <c r="S214" s="54" t="s">
        <v>176</v>
      </c>
      <c r="T214" s="131" t="str">
        <f>IFERROR(VLOOKUP(S214,TD!$J$33:$K$43,2,0)," ")</f>
        <v>Servicio de atención a incidentes y emergencias.</v>
      </c>
      <c r="U214" s="54" t="str">
        <f t="shared" si="12"/>
        <v>04-Servicio de atención a incidentes y emergencias.</v>
      </c>
      <c r="V214" s="54" t="s">
        <v>233</v>
      </c>
      <c r="W214" s="131" t="str">
        <f>IFERROR(VLOOKUP(V214,TD!$N$33:$O$45,2,0)," ")</f>
        <v>Servicio de atención a emergencias y desastres</v>
      </c>
      <c r="X214" s="54" t="str">
        <f t="shared" si="13"/>
        <v>004_Servicio de atención a emergencias y desastres</v>
      </c>
      <c r="Y214" s="54" t="str">
        <f t="shared" si="14"/>
        <v>04-Servicio de atención a incidentes y emergencias. 004_Servicio de atención a emergencias y desastres</v>
      </c>
      <c r="Z214" s="131" t="str">
        <f t="shared" si="15"/>
        <v>O23011745032024025504004</v>
      </c>
      <c r="AA214" s="131" t="str">
        <f>IFERROR(VLOOKUP(Y214,TD!$K$46:$L$64,2,0)," ")</f>
        <v>PM/0131/0104/45030040255</v>
      </c>
      <c r="AB214" s="57" t="s">
        <v>139</v>
      </c>
      <c r="AC214" s="132" t="s">
        <v>205</v>
      </c>
    </row>
    <row r="215" spans="2:29" s="28" customFormat="1" ht="71.25">
      <c r="B215" s="85">
        <v>20240961</v>
      </c>
      <c r="C215" s="53" t="s">
        <v>210</v>
      </c>
      <c r="D215" s="129" t="s">
        <v>170</v>
      </c>
      <c r="E215" s="54" t="s">
        <v>461</v>
      </c>
      <c r="F215" s="129" t="s">
        <v>464</v>
      </c>
      <c r="G215" s="129" t="s">
        <v>157</v>
      </c>
      <c r="H215" s="117">
        <v>80111600</v>
      </c>
      <c r="I215" s="130">
        <v>7</v>
      </c>
      <c r="J215" s="130">
        <v>7</v>
      </c>
      <c r="K215" s="56">
        <v>2</v>
      </c>
      <c r="L215" s="57">
        <v>19080000</v>
      </c>
      <c r="M215" s="129" t="s">
        <v>173</v>
      </c>
      <c r="N215" s="57" t="s">
        <v>114</v>
      </c>
      <c r="O215" s="54" t="s">
        <v>223</v>
      </c>
      <c r="P215" s="131" t="str">
        <f>IFERROR(VLOOKUP(C215,TD!$B$32:$F$36,2,0)," ")</f>
        <v>O230117</v>
      </c>
      <c r="Q215" s="131" t="str">
        <f>IFERROR(VLOOKUP(C215,TD!$B$32:$F$36,3,0)," ")</f>
        <v>4503</v>
      </c>
      <c r="R215" s="131">
        <f>IFERROR(VLOOKUP(C215,TD!$B$32:$F$36,4,0)," ")</f>
        <v>20240255</v>
      </c>
      <c r="S215" s="54" t="s">
        <v>176</v>
      </c>
      <c r="T215" s="131" t="str">
        <f>IFERROR(VLOOKUP(S215,TD!$J$33:$K$43,2,0)," ")</f>
        <v>Servicio de atención a incidentes y emergencias.</v>
      </c>
      <c r="U215" s="54" t="str">
        <f t="shared" si="12"/>
        <v>04-Servicio de atención a incidentes y emergencias.</v>
      </c>
      <c r="V215" s="54" t="s">
        <v>233</v>
      </c>
      <c r="W215" s="131" t="str">
        <f>IFERROR(VLOOKUP(V215,TD!$N$33:$O$45,2,0)," ")</f>
        <v>Servicio de atención a emergencias y desastres</v>
      </c>
      <c r="X215" s="54" t="str">
        <f t="shared" si="13"/>
        <v>004_Servicio de atención a emergencias y desastres</v>
      </c>
      <c r="Y215" s="54" t="str">
        <f t="shared" si="14"/>
        <v>04-Servicio de atención a incidentes y emergencias. 004_Servicio de atención a emergencias y desastres</v>
      </c>
      <c r="Z215" s="131" t="str">
        <f t="shared" si="15"/>
        <v>O23011745032024025504004</v>
      </c>
      <c r="AA215" s="131" t="str">
        <f>IFERROR(VLOOKUP(Y215,TD!$K$46:$L$64,2,0)," ")</f>
        <v>PM/0131/0104/45030040255</v>
      </c>
      <c r="AB215" s="57" t="s">
        <v>139</v>
      </c>
      <c r="AC215" s="132" t="s">
        <v>205</v>
      </c>
    </row>
    <row r="216" spans="2:29" s="28" customFormat="1" ht="71.25">
      <c r="B216" s="85">
        <v>20240962</v>
      </c>
      <c r="C216" s="53" t="s">
        <v>210</v>
      </c>
      <c r="D216" s="129" t="s">
        <v>170</v>
      </c>
      <c r="E216" s="54" t="s">
        <v>461</v>
      </c>
      <c r="F216" s="129" t="s">
        <v>464</v>
      </c>
      <c r="G216" s="129" t="s">
        <v>157</v>
      </c>
      <c r="H216" s="117">
        <v>80111600</v>
      </c>
      <c r="I216" s="130">
        <v>7</v>
      </c>
      <c r="J216" s="130">
        <v>7</v>
      </c>
      <c r="K216" s="56">
        <v>5</v>
      </c>
      <c r="L216" s="57">
        <v>19350000</v>
      </c>
      <c r="M216" s="129" t="s">
        <v>173</v>
      </c>
      <c r="N216" s="57" t="s">
        <v>114</v>
      </c>
      <c r="O216" s="54" t="s">
        <v>223</v>
      </c>
      <c r="P216" s="131" t="str">
        <f>IFERROR(VLOOKUP(C216,TD!$B$32:$F$36,2,0)," ")</f>
        <v>O230117</v>
      </c>
      <c r="Q216" s="131" t="str">
        <f>IFERROR(VLOOKUP(C216,TD!$B$32:$F$36,3,0)," ")</f>
        <v>4503</v>
      </c>
      <c r="R216" s="131">
        <f>IFERROR(VLOOKUP(C216,TD!$B$32:$F$36,4,0)," ")</f>
        <v>20240255</v>
      </c>
      <c r="S216" s="54" t="s">
        <v>176</v>
      </c>
      <c r="T216" s="131" t="str">
        <f>IFERROR(VLOOKUP(S216,TD!$J$33:$K$43,2,0)," ")</f>
        <v>Servicio de atención a incidentes y emergencias.</v>
      </c>
      <c r="U216" s="54" t="str">
        <f t="shared" si="12"/>
        <v>04-Servicio de atención a incidentes y emergencias.</v>
      </c>
      <c r="V216" s="54" t="s">
        <v>233</v>
      </c>
      <c r="W216" s="131" t="str">
        <f>IFERROR(VLOOKUP(V216,TD!$N$33:$O$45,2,0)," ")</f>
        <v>Servicio de atención a emergencias y desastres</v>
      </c>
      <c r="X216" s="54" t="str">
        <f t="shared" si="13"/>
        <v>004_Servicio de atención a emergencias y desastres</v>
      </c>
      <c r="Y216" s="54" t="str">
        <f t="shared" si="14"/>
        <v>04-Servicio de atención a incidentes y emergencias. 004_Servicio de atención a emergencias y desastres</v>
      </c>
      <c r="Z216" s="131" t="str">
        <f t="shared" si="15"/>
        <v>O23011745032024025504004</v>
      </c>
      <c r="AA216" s="131" t="str">
        <f>IFERROR(VLOOKUP(Y216,TD!$K$46:$L$64,2,0)," ")</f>
        <v>PM/0131/0104/45030040255</v>
      </c>
      <c r="AB216" s="57" t="s">
        <v>139</v>
      </c>
      <c r="AC216" s="132" t="s">
        <v>205</v>
      </c>
    </row>
    <row r="217" spans="2:29" s="28" customFormat="1" ht="71.25">
      <c r="B217" s="85">
        <v>20240963</v>
      </c>
      <c r="C217" s="53" t="s">
        <v>210</v>
      </c>
      <c r="D217" s="129" t="s">
        <v>170</v>
      </c>
      <c r="E217" s="54" t="s">
        <v>461</v>
      </c>
      <c r="F217" s="129" t="s">
        <v>464</v>
      </c>
      <c r="G217" s="129" t="s">
        <v>157</v>
      </c>
      <c r="H217" s="117">
        <v>80111600</v>
      </c>
      <c r="I217" s="130">
        <v>8</v>
      </c>
      <c r="J217" s="130">
        <v>6</v>
      </c>
      <c r="K217" s="56">
        <v>0</v>
      </c>
      <c r="L217" s="57">
        <f>19980000-3780000</f>
        <v>16200000</v>
      </c>
      <c r="M217" s="129" t="s">
        <v>173</v>
      </c>
      <c r="N217" s="57" t="s">
        <v>114</v>
      </c>
      <c r="O217" s="54" t="s">
        <v>223</v>
      </c>
      <c r="P217" s="131" t="str">
        <f>IFERROR(VLOOKUP(C217,TD!$B$32:$F$36,2,0)," ")</f>
        <v>O230117</v>
      </c>
      <c r="Q217" s="131" t="str">
        <f>IFERROR(VLOOKUP(C217,TD!$B$32:$F$36,3,0)," ")</f>
        <v>4503</v>
      </c>
      <c r="R217" s="131">
        <f>IFERROR(VLOOKUP(C217,TD!$B$32:$F$36,4,0)," ")</f>
        <v>20240255</v>
      </c>
      <c r="S217" s="54" t="s">
        <v>176</v>
      </c>
      <c r="T217" s="131" t="str">
        <f>IFERROR(VLOOKUP(S217,TD!$J$33:$K$43,2,0)," ")</f>
        <v>Servicio de atención a incidentes y emergencias.</v>
      </c>
      <c r="U217" s="54" t="str">
        <f t="shared" si="12"/>
        <v>04-Servicio de atención a incidentes y emergencias.</v>
      </c>
      <c r="V217" s="54" t="s">
        <v>233</v>
      </c>
      <c r="W217" s="131" t="str">
        <f>IFERROR(VLOOKUP(V217,TD!$N$33:$O$45,2,0)," ")</f>
        <v>Servicio de atención a emergencias y desastres</v>
      </c>
      <c r="X217" s="54" t="str">
        <f t="shared" si="13"/>
        <v>004_Servicio de atención a emergencias y desastres</v>
      </c>
      <c r="Y217" s="54" t="str">
        <f t="shared" si="14"/>
        <v>04-Servicio de atención a incidentes y emergencias. 004_Servicio de atención a emergencias y desastres</v>
      </c>
      <c r="Z217" s="131" t="str">
        <f t="shared" si="15"/>
        <v>O23011745032024025504004</v>
      </c>
      <c r="AA217" s="131" t="str">
        <f>IFERROR(VLOOKUP(Y217,TD!$K$46:$L$64,2,0)," ")</f>
        <v>PM/0131/0104/45030040255</v>
      </c>
      <c r="AB217" s="57" t="s">
        <v>139</v>
      </c>
      <c r="AC217" s="132" t="s">
        <v>205</v>
      </c>
    </row>
    <row r="218" spans="2:29" s="28" customFormat="1" ht="71.25">
      <c r="B218" s="85">
        <v>20240964</v>
      </c>
      <c r="C218" s="53" t="s">
        <v>210</v>
      </c>
      <c r="D218" s="129" t="s">
        <v>170</v>
      </c>
      <c r="E218" s="54" t="s">
        <v>461</v>
      </c>
      <c r="F218" s="129" t="s">
        <v>465</v>
      </c>
      <c r="G218" s="129" t="s">
        <v>157</v>
      </c>
      <c r="H218" s="117">
        <v>80111600</v>
      </c>
      <c r="I218" s="130">
        <v>8</v>
      </c>
      <c r="J218" s="130">
        <v>5</v>
      </c>
      <c r="K218" s="56">
        <v>15</v>
      </c>
      <c r="L218" s="57">
        <v>15242920</v>
      </c>
      <c r="M218" s="129" t="s">
        <v>173</v>
      </c>
      <c r="N218" s="57" t="s">
        <v>114</v>
      </c>
      <c r="O218" s="54" t="s">
        <v>223</v>
      </c>
      <c r="P218" s="131" t="str">
        <f>IFERROR(VLOOKUP(C218,TD!$B$32:$F$36,2,0)," ")</f>
        <v>O230117</v>
      </c>
      <c r="Q218" s="131" t="str">
        <f>IFERROR(VLOOKUP(C218,TD!$B$32:$F$36,3,0)," ")</f>
        <v>4503</v>
      </c>
      <c r="R218" s="131">
        <f>IFERROR(VLOOKUP(C218,TD!$B$32:$F$36,4,0)," ")</f>
        <v>20240255</v>
      </c>
      <c r="S218" s="54" t="s">
        <v>176</v>
      </c>
      <c r="T218" s="131" t="str">
        <f>IFERROR(VLOOKUP(S218,TD!$J$33:$K$43,2,0)," ")</f>
        <v>Servicio de atención a incidentes y emergencias.</v>
      </c>
      <c r="U218" s="54" t="str">
        <f t="shared" si="12"/>
        <v>04-Servicio de atención a incidentes y emergencias.</v>
      </c>
      <c r="V218" s="54" t="s">
        <v>233</v>
      </c>
      <c r="W218" s="131" t="str">
        <f>IFERROR(VLOOKUP(V218,TD!$N$33:$O$45,2,0)," ")</f>
        <v>Servicio de atención a emergencias y desastres</v>
      </c>
      <c r="X218" s="54" t="str">
        <f t="shared" si="13"/>
        <v>004_Servicio de atención a emergencias y desastres</v>
      </c>
      <c r="Y218" s="54" t="str">
        <f t="shared" si="14"/>
        <v>04-Servicio de atención a incidentes y emergencias. 004_Servicio de atención a emergencias y desastres</v>
      </c>
      <c r="Z218" s="131" t="str">
        <f t="shared" si="15"/>
        <v>O23011745032024025504004</v>
      </c>
      <c r="AA218" s="131" t="str">
        <f>IFERROR(VLOOKUP(Y218,TD!$K$46:$L$64,2,0)," ")</f>
        <v>PM/0131/0104/45030040255</v>
      </c>
      <c r="AB218" s="57" t="s">
        <v>139</v>
      </c>
      <c r="AC218" s="132" t="s">
        <v>205</v>
      </c>
    </row>
    <row r="219" spans="2:29" s="28" customFormat="1" ht="71.25">
      <c r="B219" s="85">
        <v>20240965</v>
      </c>
      <c r="C219" s="53" t="s">
        <v>210</v>
      </c>
      <c r="D219" s="129" t="s">
        <v>170</v>
      </c>
      <c r="E219" s="54" t="s">
        <v>461</v>
      </c>
      <c r="F219" s="129" t="s">
        <v>466</v>
      </c>
      <c r="G219" s="129" t="s">
        <v>157</v>
      </c>
      <c r="H219" s="117">
        <v>80111600</v>
      </c>
      <c r="I219" s="130">
        <v>8</v>
      </c>
      <c r="J219" s="130">
        <v>5</v>
      </c>
      <c r="K219" s="56">
        <v>15</v>
      </c>
      <c r="L219" s="57">
        <v>16500000</v>
      </c>
      <c r="M219" s="129" t="s">
        <v>173</v>
      </c>
      <c r="N219" s="57" t="s">
        <v>114</v>
      </c>
      <c r="O219" s="54" t="s">
        <v>223</v>
      </c>
      <c r="P219" s="131" t="str">
        <f>IFERROR(VLOOKUP(C219,TD!$B$32:$F$36,2,0)," ")</f>
        <v>O230117</v>
      </c>
      <c r="Q219" s="131" t="str">
        <f>IFERROR(VLOOKUP(C219,TD!$B$32:$F$36,3,0)," ")</f>
        <v>4503</v>
      </c>
      <c r="R219" s="131">
        <f>IFERROR(VLOOKUP(C219,TD!$B$32:$F$36,4,0)," ")</f>
        <v>20240255</v>
      </c>
      <c r="S219" s="54" t="s">
        <v>176</v>
      </c>
      <c r="T219" s="131" t="str">
        <f>IFERROR(VLOOKUP(S219,TD!$J$33:$K$43,2,0)," ")</f>
        <v>Servicio de atención a incidentes y emergencias.</v>
      </c>
      <c r="U219" s="54" t="str">
        <f t="shared" si="12"/>
        <v>04-Servicio de atención a incidentes y emergencias.</v>
      </c>
      <c r="V219" s="54" t="s">
        <v>233</v>
      </c>
      <c r="W219" s="131" t="str">
        <f>IFERROR(VLOOKUP(V219,TD!$N$33:$O$45,2,0)," ")</f>
        <v>Servicio de atención a emergencias y desastres</v>
      </c>
      <c r="X219" s="54" t="str">
        <f t="shared" si="13"/>
        <v>004_Servicio de atención a emergencias y desastres</v>
      </c>
      <c r="Y219" s="54" t="str">
        <f t="shared" si="14"/>
        <v>04-Servicio de atención a incidentes y emergencias. 004_Servicio de atención a emergencias y desastres</v>
      </c>
      <c r="Z219" s="131" t="str">
        <f t="shared" si="15"/>
        <v>O23011745032024025504004</v>
      </c>
      <c r="AA219" s="131" t="str">
        <f>IFERROR(VLOOKUP(Y219,TD!$K$46:$L$64,2,0)," ")</f>
        <v>PM/0131/0104/45030040255</v>
      </c>
      <c r="AB219" s="57" t="s">
        <v>139</v>
      </c>
      <c r="AC219" s="132" t="s">
        <v>205</v>
      </c>
    </row>
    <row r="220" spans="2:29" s="28" customFormat="1" ht="57">
      <c r="B220" s="85">
        <v>20240966</v>
      </c>
      <c r="C220" s="53" t="s">
        <v>210</v>
      </c>
      <c r="D220" s="129" t="s">
        <v>170</v>
      </c>
      <c r="E220" s="54" t="s">
        <v>461</v>
      </c>
      <c r="F220" s="129" t="s">
        <v>467</v>
      </c>
      <c r="G220" s="129" t="s">
        <v>156</v>
      </c>
      <c r="H220" s="117">
        <v>80111600</v>
      </c>
      <c r="I220" s="130">
        <v>8</v>
      </c>
      <c r="J220" s="130">
        <v>5</v>
      </c>
      <c r="K220" s="56">
        <v>15</v>
      </c>
      <c r="L220" s="57">
        <v>22000000</v>
      </c>
      <c r="M220" s="129" t="s">
        <v>173</v>
      </c>
      <c r="N220" s="57" t="s">
        <v>114</v>
      </c>
      <c r="O220" s="54" t="s">
        <v>223</v>
      </c>
      <c r="P220" s="131" t="str">
        <f>IFERROR(VLOOKUP(C220,TD!$B$32:$F$36,2,0)," ")</f>
        <v>O230117</v>
      </c>
      <c r="Q220" s="131" t="str">
        <f>IFERROR(VLOOKUP(C220,TD!$B$32:$F$36,3,0)," ")</f>
        <v>4503</v>
      </c>
      <c r="R220" s="131">
        <f>IFERROR(VLOOKUP(C220,TD!$B$32:$F$36,4,0)," ")</f>
        <v>20240255</v>
      </c>
      <c r="S220" s="54" t="s">
        <v>176</v>
      </c>
      <c r="T220" s="131" t="str">
        <f>IFERROR(VLOOKUP(S220,TD!$J$33:$K$43,2,0)," ")</f>
        <v>Servicio de atención a incidentes y emergencias.</v>
      </c>
      <c r="U220" s="54" t="str">
        <f t="shared" si="12"/>
        <v>04-Servicio de atención a incidentes y emergencias.</v>
      </c>
      <c r="V220" s="54" t="s">
        <v>233</v>
      </c>
      <c r="W220" s="131" t="str">
        <f>IFERROR(VLOOKUP(V220,TD!$N$33:$O$45,2,0)," ")</f>
        <v>Servicio de atención a emergencias y desastres</v>
      </c>
      <c r="X220" s="54" t="str">
        <f t="shared" si="13"/>
        <v>004_Servicio de atención a emergencias y desastres</v>
      </c>
      <c r="Y220" s="54" t="str">
        <f t="shared" si="14"/>
        <v>04-Servicio de atención a incidentes y emergencias. 004_Servicio de atención a emergencias y desastres</v>
      </c>
      <c r="Z220" s="131" t="str">
        <f t="shared" si="15"/>
        <v>O23011745032024025504004</v>
      </c>
      <c r="AA220" s="131" t="str">
        <f>IFERROR(VLOOKUP(Y220,TD!$K$46:$L$64,2,0)," ")</f>
        <v>PM/0131/0104/45030040255</v>
      </c>
      <c r="AB220" s="57" t="s">
        <v>139</v>
      </c>
      <c r="AC220" s="132" t="s">
        <v>205</v>
      </c>
    </row>
    <row r="221" spans="2:29" s="28" customFormat="1" ht="57">
      <c r="B221" s="85">
        <v>20240967</v>
      </c>
      <c r="C221" s="53" t="s">
        <v>210</v>
      </c>
      <c r="D221" s="129" t="s">
        <v>170</v>
      </c>
      <c r="E221" s="54" t="s">
        <v>461</v>
      </c>
      <c r="F221" s="129" t="s">
        <v>468</v>
      </c>
      <c r="G221" s="129" t="s">
        <v>156</v>
      </c>
      <c r="H221" s="117">
        <v>80111600</v>
      </c>
      <c r="I221" s="130">
        <v>8</v>
      </c>
      <c r="J221" s="130">
        <v>5</v>
      </c>
      <c r="K221" s="56">
        <v>28</v>
      </c>
      <c r="L221" s="57">
        <v>25513333</v>
      </c>
      <c r="M221" s="129" t="s">
        <v>173</v>
      </c>
      <c r="N221" s="57" t="s">
        <v>114</v>
      </c>
      <c r="O221" s="54" t="s">
        <v>223</v>
      </c>
      <c r="P221" s="131" t="str">
        <f>IFERROR(VLOOKUP(C221,TD!$B$32:$F$36,2,0)," ")</f>
        <v>O230117</v>
      </c>
      <c r="Q221" s="131" t="str">
        <f>IFERROR(VLOOKUP(C221,TD!$B$32:$F$36,3,0)," ")</f>
        <v>4503</v>
      </c>
      <c r="R221" s="131">
        <f>IFERROR(VLOOKUP(C221,TD!$B$32:$F$36,4,0)," ")</f>
        <v>20240255</v>
      </c>
      <c r="S221" s="54" t="s">
        <v>176</v>
      </c>
      <c r="T221" s="131" t="str">
        <f>IFERROR(VLOOKUP(S221,TD!$J$33:$K$43,2,0)," ")</f>
        <v>Servicio de atención a incidentes y emergencias.</v>
      </c>
      <c r="U221" s="54" t="str">
        <f t="shared" si="12"/>
        <v>04-Servicio de atención a incidentes y emergencias.</v>
      </c>
      <c r="V221" s="54" t="s">
        <v>233</v>
      </c>
      <c r="W221" s="131" t="str">
        <f>IFERROR(VLOOKUP(V221,TD!$N$33:$O$45,2,0)," ")</f>
        <v>Servicio de atención a emergencias y desastres</v>
      </c>
      <c r="X221" s="54" t="str">
        <f t="shared" si="13"/>
        <v>004_Servicio de atención a emergencias y desastres</v>
      </c>
      <c r="Y221" s="54" t="str">
        <f t="shared" si="14"/>
        <v>04-Servicio de atención a incidentes y emergencias. 004_Servicio de atención a emergencias y desastres</v>
      </c>
      <c r="Z221" s="131" t="str">
        <f t="shared" si="15"/>
        <v>O23011745032024025504004</v>
      </c>
      <c r="AA221" s="131" t="str">
        <f>IFERROR(VLOOKUP(Y221,TD!$K$46:$L$64,2,0)," ")</f>
        <v>PM/0131/0104/45030040255</v>
      </c>
      <c r="AB221" s="57" t="s">
        <v>139</v>
      </c>
      <c r="AC221" s="132" t="s">
        <v>205</v>
      </c>
    </row>
    <row r="222" spans="2:29" s="28" customFormat="1" ht="99.75">
      <c r="B222" s="85">
        <v>20240968</v>
      </c>
      <c r="C222" s="53" t="s">
        <v>210</v>
      </c>
      <c r="D222" s="129" t="s">
        <v>170</v>
      </c>
      <c r="E222" s="54" t="s">
        <v>461</v>
      </c>
      <c r="F222" s="129" t="s">
        <v>504</v>
      </c>
      <c r="G222" s="129" t="s">
        <v>156</v>
      </c>
      <c r="H222" s="117">
        <v>80111600</v>
      </c>
      <c r="I222" s="130">
        <v>8</v>
      </c>
      <c r="J222" s="130">
        <v>5</v>
      </c>
      <c r="K222" s="56">
        <v>15</v>
      </c>
      <c r="L222" s="57">
        <v>23925000</v>
      </c>
      <c r="M222" s="129" t="s">
        <v>173</v>
      </c>
      <c r="N222" s="57" t="s">
        <v>114</v>
      </c>
      <c r="O222" s="54" t="s">
        <v>223</v>
      </c>
      <c r="P222" s="131" t="str">
        <f>IFERROR(VLOOKUP(C222,TD!$B$32:$F$36,2,0)," ")</f>
        <v>O230117</v>
      </c>
      <c r="Q222" s="131" t="str">
        <f>IFERROR(VLOOKUP(C222,TD!$B$32:$F$36,3,0)," ")</f>
        <v>4503</v>
      </c>
      <c r="R222" s="131">
        <f>IFERROR(VLOOKUP(C222,TD!$B$32:$F$36,4,0)," ")</f>
        <v>20240255</v>
      </c>
      <c r="S222" s="54" t="s">
        <v>176</v>
      </c>
      <c r="T222" s="131" t="str">
        <f>IFERROR(VLOOKUP(S222,TD!$J$33:$K$43,2,0)," ")</f>
        <v>Servicio de atención a incidentes y emergencias.</v>
      </c>
      <c r="U222" s="54" t="str">
        <f t="shared" si="12"/>
        <v>04-Servicio de atención a incidentes y emergencias.</v>
      </c>
      <c r="V222" s="54" t="s">
        <v>233</v>
      </c>
      <c r="W222" s="131" t="str">
        <f>IFERROR(VLOOKUP(V222,TD!$N$33:$O$45,2,0)," ")</f>
        <v>Servicio de atención a emergencias y desastres</v>
      </c>
      <c r="X222" s="54" t="str">
        <f t="shared" si="13"/>
        <v>004_Servicio de atención a emergencias y desastres</v>
      </c>
      <c r="Y222" s="54" t="str">
        <f t="shared" si="14"/>
        <v>04-Servicio de atención a incidentes y emergencias. 004_Servicio de atención a emergencias y desastres</v>
      </c>
      <c r="Z222" s="131" t="str">
        <f t="shared" si="15"/>
        <v>O23011745032024025504004</v>
      </c>
      <c r="AA222" s="131" t="str">
        <f>IFERROR(VLOOKUP(Y222,TD!$K$46:$L$64,2,0)," ")</f>
        <v>PM/0131/0104/45030040255</v>
      </c>
      <c r="AB222" s="57" t="s">
        <v>139</v>
      </c>
      <c r="AC222" s="132" t="s">
        <v>205</v>
      </c>
    </row>
    <row r="223" spans="2:29" s="28" customFormat="1" ht="57">
      <c r="B223" s="85">
        <v>20240969</v>
      </c>
      <c r="C223" s="53" t="s">
        <v>210</v>
      </c>
      <c r="D223" s="129" t="s">
        <v>170</v>
      </c>
      <c r="E223" s="54" t="s">
        <v>461</v>
      </c>
      <c r="F223" s="129" t="s">
        <v>469</v>
      </c>
      <c r="G223" s="129" t="s">
        <v>156</v>
      </c>
      <c r="H223" s="117">
        <v>80111600</v>
      </c>
      <c r="I223" s="130">
        <v>8</v>
      </c>
      <c r="J223" s="130">
        <v>6</v>
      </c>
      <c r="K223" s="56">
        <v>0</v>
      </c>
      <c r="L223" s="57">
        <v>28440000</v>
      </c>
      <c r="M223" s="129" t="s">
        <v>173</v>
      </c>
      <c r="N223" s="57" t="s">
        <v>114</v>
      </c>
      <c r="O223" s="54" t="s">
        <v>223</v>
      </c>
      <c r="P223" s="131" t="str">
        <f>IFERROR(VLOOKUP(C223,TD!$B$32:$F$36,2,0)," ")</f>
        <v>O230117</v>
      </c>
      <c r="Q223" s="131" t="str">
        <f>IFERROR(VLOOKUP(C223,TD!$B$32:$F$36,3,0)," ")</f>
        <v>4503</v>
      </c>
      <c r="R223" s="131">
        <f>IFERROR(VLOOKUP(C223,TD!$B$32:$F$36,4,0)," ")</f>
        <v>20240255</v>
      </c>
      <c r="S223" s="54" t="s">
        <v>176</v>
      </c>
      <c r="T223" s="131" t="str">
        <f>IFERROR(VLOOKUP(S223,TD!$J$33:$K$43,2,0)," ")</f>
        <v>Servicio de atención a incidentes y emergencias.</v>
      </c>
      <c r="U223" s="54" t="str">
        <f t="shared" si="12"/>
        <v>04-Servicio de atención a incidentes y emergencias.</v>
      </c>
      <c r="V223" s="54" t="s">
        <v>233</v>
      </c>
      <c r="W223" s="131" t="str">
        <f>IFERROR(VLOOKUP(V223,TD!$N$33:$O$45,2,0)," ")</f>
        <v>Servicio de atención a emergencias y desastres</v>
      </c>
      <c r="X223" s="54" t="str">
        <f t="shared" si="13"/>
        <v>004_Servicio de atención a emergencias y desastres</v>
      </c>
      <c r="Y223" s="54" t="str">
        <f t="shared" si="14"/>
        <v>04-Servicio de atención a incidentes y emergencias. 004_Servicio de atención a emergencias y desastres</v>
      </c>
      <c r="Z223" s="131" t="str">
        <f t="shared" si="15"/>
        <v>O23011745032024025504004</v>
      </c>
      <c r="AA223" s="131" t="str">
        <f>IFERROR(VLOOKUP(Y223,TD!$K$46:$L$64,2,0)," ")</f>
        <v>PM/0131/0104/45030040255</v>
      </c>
      <c r="AB223" s="57" t="s">
        <v>139</v>
      </c>
      <c r="AC223" s="132" t="s">
        <v>205</v>
      </c>
    </row>
    <row r="224" spans="2:29" s="28" customFormat="1" ht="57">
      <c r="B224" s="85">
        <v>20240970</v>
      </c>
      <c r="C224" s="53" t="s">
        <v>210</v>
      </c>
      <c r="D224" s="129" t="s">
        <v>170</v>
      </c>
      <c r="E224" s="54" t="s">
        <v>461</v>
      </c>
      <c r="F224" s="129" t="s">
        <v>470</v>
      </c>
      <c r="G224" s="129" t="s">
        <v>156</v>
      </c>
      <c r="H224" s="117">
        <v>80111600</v>
      </c>
      <c r="I224" s="130">
        <v>8</v>
      </c>
      <c r="J224" s="130">
        <v>5</v>
      </c>
      <c r="K224" s="56">
        <v>15</v>
      </c>
      <c r="L224" s="57">
        <v>26400000</v>
      </c>
      <c r="M224" s="129" t="s">
        <v>173</v>
      </c>
      <c r="N224" s="57" t="s">
        <v>114</v>
      </c>
      <c r="O224" s="54" t="s">
        <v>223</v>
      </c>
      <c r="P224" s="131" t="str">
        <f>IFERROR(VLOOKUP(C224,TD!$B$32:$F$36,2,0)," ")</f>
        <v>O230117</v>
      </c>
      <c r="Q224" s="131" t="str">
        <f>IFERROR(VLOOKUP(C224,TD!$B$32:$F$36,3,0)," ")</f>
        <v>4503</v>
      </c>
      <c r="R224" s="131">
        <f>IFERROR(VLOOKUP(C224,TD!$B$32:$F$36,4,0)," ")</f>
        <v>20240255</v>
      </c>
      <c r="S224" s="54" t="s">
        <v>176</v>
      </c>
      <c r="T224" s="131" t="str">
        <f>IFERROR(VLOOKUP(S224,TD!$J$33:$K$43,2,0)," ")</f>
        <v>Servicio de atención a incidentes y emergencias.</v>
      </c>
      <c r="U224" s="54" t="str">
        <f t="shared" si="12"/>
        <v>04-Servicio de atención a incidentes y emergencias.</v>
      </c>
      <c r="V224" s="54" t="s">
        <v>233</v>
      </c>
      <c r="W224" s="131" t="str">
        <f>IFERROR(VLOOKUP(V224,TD!$N$33:$O$45,2,0)," ")</f>
        <v>Servicio de atención a emergencias y desastres</v>
      </c>
      <c r="X224" s="54" t="str">
        <f t="shared" si="13"/>
        <v>004_Servicio de atención a emergencias y desastres</v>
      </c>
      <c r="Y224" s="54" t="str">
        <f t="shared" si="14"/>
        <v>04-Servicio de atención a incidentes y emergencias. 004_Servicio de atención a emergencias y desastres</v>
      </c>
      <c r="Z224" s="131" t="str">
        <f t="shared" si="15"/>
        <v>O23011745032024025504004</v>
      </c>
      <c r="AA224" s="131" t="str">
        <f>IFERROR(VLOOKUP(Y224,TD!$K$46:$L$64,2,0)," ")</f>
        <v>PM/0131/0104/45030040255</v>
      </c>
      <c r="AB224" s="57" t="s">
        <v>139</v>
      </c>
      <c r="AC224" s="132" t="s">
        <v>205</v>
      </c>
    </row>
    <row r="225" spans="2:29" s="28" customFormat="1" ht="57">
      <c r="B225" s="85">
        <v>20240971</v>
      </c>
      <c r="C225" s="53" t="s">
        <v>210</v>
      </c>
      <c r="D225" s="129" t="s">
        <v>170</v>
      </c>
      <c r="E225" s="54" t="s">
        <v>461</v>
      </c>
      <c r="F225" s="129" t="s">
        <v>471</v>
      </c>
      <c r="G225" s="129" t="s">
        <v>156</v>
      </c>
      <c r="H225" s="117">
        <v>80111600</v>
      </c>
      <c r="I225" s="130">
        <v>7</v>
      </c>
      <c r="J225" s="130">
        <v>6</v>
      </c>
      <c r="K225" s="56">
        <v>25</v>
      </c>
      <c r="L225" s="57">
        <v>34166666</v>
      </c>
      <c r="M225" s="129" t="s">
        <v>173</v>
      </c>
      <c r="N225" s="57" t="s">
        <v>114</v>
      </c>
      <c r="O225" s="54" t="s">
        <v>223</v>
      </c>
      <c r="P225" s="131" t="str">
        <f>IFERROR(VLOOKUP(C225,TD!$B$32:$F$36,2,0)," ")</f>
        <v>O230117</v>
      </c>
      <c r="Q225" s="131" t="str">
        <f>IFERROR(VLOOKUP(C225,TD!$B$32:$F$36,3,0)," ")</f>
        <v>4503</v>
      </c>
      <c r="R225" s="131">
        <f>IFERROR(VLOOKUP(C225,TD!$B$32:$F$36,4,0)," ")</f>
        <v>20240255</v>
      </c>
      <c r="S225" s="54" t="s">
        <v>176</v>
      </c>
      <c r="T225" s="131" t="str">
        <f>IFERROR(VLOOKUP(S225,TD!$J$33:$K$43,2,0)," ")</f>
        <v>Servicio de atención a incidentes y emergencias.</v>
      </c>
      <c r="U225" s="54" t="str">
        <f t="shared" si="12"/>
        <v>04-Servicio de atención a incidentes y emergencias.</v>
      </c>
      <c r="V225" s="54" t="s">
        <v>233</v>
      </c>
      <c r="W225" s="131" t="str">
        <f>IFERROR(VLOOKUP(V225,TD!$N$33:$O$45,2,0)," ")</f>
        <v>Servicio de atención a emergencias y desastres</v>
      </c>
      <c r="X225" s="54" t="str">
        <f t="shared" si="13"/>
        <v>004_Servicio de atención a emergencias y desastres</v>
      </c>
      <c r="Y225" s="54" t="str">
        <f t="shared" si="14"/>
        <v>04-Servicio de atención a incidentes y emergencias. 004_Servicio de atención a emergencias y desastres</v>
      </c>
      <c r="Z225" s="131" t="str">
        <f t="shared" si="15"/>
        <v>O23011745032024025504004</v>
      </c>
      <c r="AA225" s="131" t="str">
        <f>IFERROR(VLOOKUP(Y225,TD!$K$46:$L$64,2,0)," ")</f>
        <v>PM/0131/0104/45030040255</v>
      </c>
      <c r="AB225" s="57" t="s">
        <v>139</v>
      </c>
      <c r="AC225" s="132" t="s">
        <v>205</v>
      </c>
    </row>
    <row r="226" spans="2:29" s="28" customFormat="1" ht="114">
      <c r="B226" s="85">
        <v>20240972</v>
      </c>
      <c r="C226" s="53" t="s">
        <v>210</v>
      </c>
      <c r="D226" s="129" t="s">
        <v>170</v>
      </c>
      <c r="E226" s="54" t="s">
        <v>461</v>
      </c>
      <c r="F226" s="129" t="s">
        <v>472</v>
      </c>
      <c r="G226" s="129" t="s">
        <v>156</v>
      </c>
      <c r="H226" s="117">
        <v>80111600</v>
      </c>
      <c r="I226" s="130">
        <v>10</v>
      </c>
      <c r="J226" s="130">
        <v>3</v>
      </c>
      <c r="K226" s="56">
        <v>28</v>
      </c>
      <c r="L226" s="57">
        <v>19666666</v>
      </c>
      <c r="M226" s="129" t="s">
        <v>173</v>
      </c>
      <c r="N226" s="57" t="s">
        <v>114</v>
      </c>
      <c r="O226" s="54" t="s">
        <v>223</v>
      </c>
      <c r="P226" s="131" t="str">
        <f>IFERROR(VLOOKUP(C226,TD!$B$32:$F$36,2,0)," ")</f>
        <v>O230117</v>
      </c>
      <c r="Q226" s="131" t="str">
        <f>IFERROR(VLOOKUP(C226,TD!$B$32:$F$36,3,0)," ")</f>
        <v>4503</v>
      </c>
      <c r="R226" s="131">
        <f>IFERROR(VLOOKUP(C226,TD!$B$32:$F$36,4,0)," ")</f>
        <v>20240255</v>
      </c>
      <c r="S226" s="54" t="s">
        <v>176</v>
      </c>
      <c r="T226" s="131" t="str">
        <f>IFERROR(VLOOKUP(S226,TD!$J$33:$K$43,2,0)," ")</f>
        <v>Servicio de atención a incidentes y emergencias.</v>
      </c>
      <c r="U226" s="54" t="str">
        <f t="shared" si="12"/>
        <v>04-Servicio de atención a incidentes y emergencias.</v>
      </c>
      <c r="V226" s="54" t="s">
        <v>233</v>
      </c>
      <c r="W226" s="131" t="str">
        <f>IFERROR(VLOOKUP(V226,TD!$N$33:$O$45,2,0)," ")</f>
        <v>Servicio de atención a emergencias y desastres</v>
      </c>
      <c r="X226" s="54" t="str">
        <f t="shared" si="13"/>
        <v>004_Servicio de atención a emergencias y desastres</v>
      </c>
      <c r="Y226" s="54" t="str">
        <f t="shared" si="14"/>
        <v>04-Servicio de atención a incidentes y emergencias. 004_Servicio de atención a emergencias y desastres</v>
      </c>
      <c r="Z226" s="131" t="str">
        <f t="shared" si="15"/>
        <v>O23011745032024025504004</v>
      </c>
      <c r="AA226" s="131" t="str">
        <f>IFERROR(VLOOKUP(Y226,TD!$K$46:$L$64,2,0)," ")</f>
        <v>PM/0131/0104/45030040255</v>
      </c>
      <c r="AB226" s="57" t="s">
        <v>139</v>
      </c>
      <c r="AC226" s="132" t="s">
        <v>205</v>
      </c>
    </row>
    <row r="227" spans="2:29" s="28" customFormat="1" ht="57">
      <c r="B227" s="85">
        <v>20240973</v>
      </c>
      <c r="C227" s="53" t="s">
        <v>210</v>
      </c>
      <c r="D227" s="129" t="s">
        <v>170</v>
      </c>
      <c r="E227" s="54" t="s">
        <v>461</v>
      </c>
      <c r="F227" s="129" t="s">
        <v>473</v>
      </c>
      <c r="G227" s="129" t="s">
        <v>156</v>
      </c>
      <c r="H227" s="117">
        <v>80111600</v>
      </c>
      <c r="I227" s="130">
        <v>8</v>
      </c>
      <c r="J227" s="130">
        <v>5</v>
      </c>
      <c r="K227" s="56">
        <v>9</v>
      </c>
      <c r="L227" s="57">
        <v>27030000</v>
      </c>
      <c r="M227" s="129" t="s">
        <v>173</v>
      </c>
      <c r="N227" s="57" t="s">
        <v>114</v>
      </c>
      <c r="O227" s="54" t="s">
        <v>223</v>
      </c>
      <c r="P227" s="131" t="str">
        <f>IFERROR(VLOOKUP(C227,TD!$B$32:$F$36,2,0)," ")</f>
        <v>O230117</v>
      </c>
      <c r="Q227" s="131" t="str">
        <f>IFERROR(VLOOKUP(C227,TD!$B$32:$F$36,3,0)," ")</f>
        <v>4503</v>
      </c>
      <c r="R227" s="131">
        <f>IFERROR(VLOOKUP(C227,TD!$B$32:$F$36,4,0)," ")</f>
        <v>20240255</v>
      </c>
      <c r="S227" s="54" t="s">
        <v>176</v>
      </c>
      <c r="T227" s="131" t="str">
        <f>IFERROR(VLOOKUP(S227,TD!$J$33:$K$43,2,0)," ")</f>
        <v>Servicio de atención a incidentes y emergencias.</v>
      </c>
      <c r="U227" s="54" t="str">
        <f t="shared" si="12"/>
        <v>04-Servicio de atención a incidentes y emergencias.</v>
      </c>
      <c r="V227" s="54" t="s">
        <v>233</v>
      </c>
      <c r="W227" s="131" t="str">
        <f>IFERROR(VLOOKUP(V227,TD!$N$33:$O$45,2,0)," ")</f>
        <v>Servicio de atención a emergencias y desastres</v>
      </c>
      <c r="X227" s="54" t="str">
        <f t="shared" si="13"/>
        <v>004_Servicio de atención a emergencias y desastres</v>
      </c>
      <c r="Y227" s="54" t="str">
        <f t="shared" si="14"/>
        <v>04-Servicio de atención a incidentes y emergencias. 004_Servicio de atención a emergencias y desastres</v>
      </c>
      <c r="Z227" s="131" t="str">
        <f t="shared" si="15"/>
        <v>O23011745032024025504004</v>
      </c>
      <c r="AA227" s="131" t="str">
        <f>IFERROR(VLOOKUP(Y227,TD!$K$46:$L$64,2,0)," ")</f>
        <v>PM/0131/0104/45030040255</v>
      </c>
      <c r="AB227" s="57" t="s">
        <v>139</v>
      </c>
      <c r="AC227" s="132" t="s">
        <v>205</v>
      </c>
    </row>
    <row r="228" spans="2:29" s="28" customFormat="1" ht="57">
      <c r="B228" s="85">
        <v>20240974</v>
      </c>
      <c r="C228" s="53" t="s">
        <v>210</v>
      </c>
      <c r="D228" s="129" t="s">
        <v>170</v>
      </c>
      <c r="E228" s="54" t="s">
        <v>461</v>
      </c>
      <c r="F228" s="129" t="s">
        <v>473</v>
      </c>
      <c r="G228" s="129" t="s">
        <v>156</v>
      </c>
      <c r="H228" s="117">
        <v>80111600</v>
      </c>
      <c r="I228" s="130">
        <v>8</v>
      </c>
      <c r="J228" s="130">
        <v>5</v>
      </c>
      <c r="K228" s="56">
        <v>9</v>
      </c>
      <c r="L228" s="57">
        <v>27030000</v>
      </c>
      <c r="M228" s="129" t="s">
        <v>173</v>
      </c>
      <c r="N228" s="57" t="s">
        <v>114</v>
      </c>
      <c r="O228" s="54" t="s">
        <v>223</v>
      </c>
      <c r="P228" s="131" t="str">
        <f>IFERROR(VLOOKUP(C228,TD!$B$32:$F$36,2,0)," ")</f>
        <v>O230117</v>
      </c>
      <c r="Q228" s="131" t="str">
        <f>IFERROR(VLOOKUP(C228,TD!$B$32:$F$36,3,0)," ")</f>
        <v>4503</v>
      </c>
      <c r="R228" s="131">
        <f>IFERROR(VLOOKUP(C228,TD!$B$32:$F$36,4,0)," ")</f>
        <v>20240255</v>
      </c>
      <c r="S228" s="54" t="s">
        <v>176</v>
      </c>
      <c r="T228" s="131" t="str">
        <f>IFERROR(VLOOKUP(S228,TD!$J$33:$K$43,2,0)," ")</f>
        <v>Servicio de atención a incidentes y emergencias.</v>
      </c>
      <c r="U228" s="54" t="str">
        <f t="shared" si="12"/>
        <v>04-Servicio de atención a incidentes y emergencias.</v>
      </c>
      <c r="V228" s="54" t="s">
        <v>233</v>
      </c>
      <c r="W228" s="131" t="str">
        <f>IFERROR(VLOOKUP(V228,TD!$N$33:$O$45,2,0)," ")</f>
        <v>Servicio de atención a emergencias y desastres</v>
      </c>
      <c r="X228" s="54" t="str">
        <f t="shared" si="13"/>
        <v>004_Servicio de atención a emergencias y desastres</v>
      </c>
      <c r="Y228" s="54" t="str">
        <f t="shared" si="14"/>
        <v>04-Servicio de atención a incidentes y emergencias. 004_Servicio de atención a emergencias y desastres</v>
      </c>
      <c r="Z228" s="131" t="str">
        <f t="shared" si="15"/>
        <v>O23011745032024025504004</v>
      </c>
      <c r="AA228" s="131" t="str">
        <f>IFERROR(VLOOKUP(Y228,TD!$K$46:$L$64,2,0)," ")</f>
        <v>PM/0131/0104/45030040255</v>
      </c>
      <c r="AB228" s="57" t="s">
        <v>139</v>
      </c>
      <c r="AC228" s="132" t="s">
        <v>205</v>
      </c>
    </row>
    <row r="229" spans="2:29" s="28" customFormat="1" ht="57">
      <c r="B229" s="85">
        <v>20240976</v>
      </c>
      <c r="C229" s="53" t="s">
        <v>210</v>
      </c>
      <c r="D229" s="129" t="s">
        <v>170</v>
      </c>
      <c r="E229" s="54" t="s">
        <v>461</v>
      </c>
      <c r="F229" s="129" t="s">
        <v>474</v>
      </c>
      <c r="G229" s="129" t="s">
        <v>156</v>
      </c>
      <c r="H229" s="117">
        <v>80111600</v>
      </c>
      <c r="I229" s="130">
        <v>8</v>
      </c>
      <c r="J229" s="130">
        <v>6</v>
      </c>
      <c r="K229" s="56">
        <v>0</v>
      </c>
      <c r="L229" s="57">
        <v>33000000</v>
      </c>
      <c r="M229" s="129" t="s">
        <v>173</v>
      </c>
      <c r="N229" s="57" t="s">
        <v>114</v>
      </c>
      <c r="O229" s="54" t="s">
        <v>223</v>
      </c>
      <c r="P229" s="131" t="str">
        <f>IFERROR(VLOOKUP(C229,TD!$B$32:$F$36,2,0)," ")</f>
        <v>O230117</v>
      </c>
      <c r="Q229" s="131" t="str">
        <f>IFERROR(VLOOKUP(C229,TD!$B$32:$F$36,3,0)," ")</f>
        <v>4503</v>
      </c>
      <c r="R229" s="131">
        <f>IFERROR(VLOOKUP(C229,TD!$B$32:$F$36,4,0)," ")</f>
        <v>20240255</v>
      </c>
      <c r="S229" s="54" t="s">
        <v>176</v>
      </c>
      <c r="T229" s="131" t="str">
        <f>IFERROR(VLOOKUP(S229,TD!$J$33:$K$43,2,0)," ")</f>
        <v>Servicio de atención a incidentes y emergencias.</v>
      </c>
      <c r="U229" s="54" t="str">
        <f t="shared" si="12"/>
        <v>04-Servicio de atención a incidentes y emergencias.</v>
      </c>
      <c r="V229" s="54" t="s">
        <v>233</v>
      </c>
      <c r="W229" s="131" t="str">
        <f>IFERROR(VLOOKUP(V229,TD!$N$33:$O$45,2,0)," ")</f>
        <v>Servicio de atención a emergencias y desastres</v>
      </c>
      <c r="X229" s="54" t="str">
        <f t="shared" si="13"/>
        <v>004_Servicio de atención a emergencias y desastres</v>
      </c>
      <c r="Y229" s="54" t="str">
        <f t="shared" si="14"/>
        <v>04-Servicio de atención a incidentes y emergencias. 004_Servicio de atención a emergencias y desastres</v>
      </c>
      <c r="Z229" s="131" t="str">
        <f t="shared" si="15"/>
        <v>O23011745032024025504004</v>
      </c>
      <c r="AA229" s="131" t="str">
        <f>IFERROR(VLOOKUP(Y229,TD!$K$46:$L$64,2,0)," ")</f>
        <v>PM/0131/0104/45030040255</v>
      </c>
      <c r="AB229" s="57" t="s">
        <v>139</v>
      </c>
      <c r="AC229" s="132" t="s">
        <v>205</v>
      </c>
    </row>
    <row r="230" spans="2:29" s="28" customFormat="1" ht="57">
      <c r="B230" s="85">
        <v>20240977</v>
      </c>
      <c r="C230" s="53" t="s">
        <v>210</v>
      </c>
      <c r="D230" s="129" t="s">
        <v>170</v>
      </c>
      <c r="E230" s="54" t="s">
        <v>461</v>
      </c>
      <c r="F230" s="129" t="s">
        <v>475</v>
      </c>
      <c r="G230" s="129" t="s">
        <v>156</v>
      </c>
      <c r="H230" s="117">
        <v>80111600</v>
      </c>
      <c r="I230" s="130">
        <v>8</v>
      </c>
      <c r="J230" s="130">
        <v>5</v>
      </c>
      <c r="K230" s="56">
        <v>8</v>
      </c>
      <c r="L230" s="57">
        <v>28966666</v>
      </c>
      <c r="M230" s="129" t="s">
        <v>173</v>
      </c>
      <c r="N230" s="57" t="s">
        <v>114</v>
      </c>
      <c r="O230" s="54" t="s">
        <v>223</v>
      </c>
      <c r="P230" s="131" t="str">
        <f>IFERROR(VLOOKUP(C230,TD!$B$32:$F$36,2,0)," ")</f>
        <v>O230117</v>
      </c>
      <c r="Q230" s="131" t="str">
        <f>IFERROR(VLOOKUP(C230,TD!$B$32:$F$36,3,0)," ")</f>
        <v>4503</v>
      </c>
      <c r="R230" s="131">
        <f>IFERROR(VLOOKUP(C230,TD!$B$32:$F$36,4,0)," ")</f>
        <v>20240255</v>
      </c>
      <c r="S230" s="54" t="s">
        <v>176</v>
      </c>
      <c r="T230" s="131" t="str">
        <f>IFERROR(VLOOKUP(S230,TD!$J$33:$K$43,2,0)," ")</f>
        <v>Servicio de atención a incidentes y emergencias.</v>
      </c>
      <c r="U230" s="54" t="str">
        <f t="shared" si="12"/>
        <v>04-Servicio de atención a incidentes y emergencias.</v>
      </c>
      <c r="V230" s="54" t="s">
        <v>233</v>
      </c>
      <c r="W230" s="131" t="str">
        <f>IFERROR(VLOOKUP(V230,TD!$N$33:$O$45,2,0)," ")</f>
        <v>Servicio de atención a emergencias y desastres</v>
      </c>
      <c r="X230" s="54" t="str">
        <f t="shared" si="13"/>
        <v>004_Servicio de atención a emergencias y desastres</v>
      </c>
      <c r="Y230" s="54" t="str">
        <f t="shared" si="14"/>
        <v>04-Servicio de atención a incidentes y emergencias. 004_Servicio de atención a emergencias y desastres</v>
      </c>
      <c r="Z230" s="131" t="str">
        <f t="shared" si="15"/>
        <v>O23011745032024025504004</v>
      </c>
      <c r="AA230" s="131" t="str">
        <f>IFERROR(VLOOKUP(Y230,TD!$K$46:$L$64,2,0)," ")</f>
        <v>PM/0131/0104/45030040255</v>
      </c>
      <c r="AB230" s="57" t="s">
        <v>139</v>
      </c>
      <c r="AC230" s="132" t="s">
        <v>205</v>
      </c>
    </row>
    <row r="231" spans="2:29" s="28" customFormat="1" ht="71.25">
      <c r="B231" s="85">
        <v>20240978</v>
      </c>
      <c r="C231" s="53" t="s">
        <v>210</v>
      </c>
      <c r="D231" s="129" t="s">
        <v>170</v>
      </c>
      <c r="E231" s="54" t="s">
        <v>461</v>
      </c>
      <c r="F231" s="129" t="s">
        <v>476</v>
      </c>
      <c r="G231" s="129" t="s">
        <v>156</v>
      </c>
      <c r="H231" s="117">
        <v>80111600</v>
      </c>
      <c r="I231" s="130">
        <v>8</v>
      </c>
      <c r="J231" s="130">
        <v>5</v>
      </c>
      <c r="K231" s="56">
        <v>19</v>
      </c>
      <c r="L231" s="57">
        <v>30983333</v>
      </c>
      <c r="M231" s="129" t="s">
        <v>173</v>
      </c>
      <c r="N231" s="57" t="s">
        <v>114</v>
      </c>
      <c r="O231" s="54" t="s">
        <v>223</v>
      </c>
      <c r="P231" s="131" t="str">
        <f>IFERROR(VLOOKUP(C231,TD!$B$32:$F$36,2,0)," ")</f>
        <v>O230117</v>
      </c>
      <c r="Q231" s="131" t="str">
        <f>IFERROR(VLOOKUP(C231,TD!$B$32:$F$36,3,0)," ")</f>
        <v>4503</v>
      </c>
      <c r="R231" s="131">
        <f>IFERROR(VLOOKUP(C231,TD!$B$32:$F$36,4,0)," ")</f>
        <v>20240255</v>
      </c>
      <c r="S231" s="54" t="s">
        <v>176</v>
      </c>
      <c r="T231" s="131" t="str">
        <f>IFERROR(VLOOKUP(S231,TD!$J$33:$K$43,2,0)," ")</f>
        <v>Servicio de atención a incidentes y emergencias.</v>
      </c>
      <c r="U231" s="54" t="str">
        <f t="shared" si="12"/>
        <v>04-Servicio de atención a incidentes y emergencias.</v>
      </c>
      <c r="V231" s="54" t="s">
        <v>233</v>
      </c>
      <c r="W231" s="131" t="str">
        <f>IFERROR(VLOOKUP(V231,TD!$N$33:$O$45,2,0)," ")</f>
        <v>Servicio de atención a emergencias y desastres</v>
      </c>
      <c r="X231" s="54" t="str">
        <f t="shared" si="13"/>
        <v>004_Servicio de atención a emergencias y desastres</v>
      </c>
      <c r="Y231" s="54" t="str">
        <f t="shared" si="14"/>
        <v>04-Servicio de atención a incidentes y emergencias. 004_Servicio de atención a emergencias y desastres</v>
      </c>
      <c r="Z231" s="131" t="str">
        <f t="shared" si="15"/>
        <v>O23011745032024025504004</v>
      </c>
      <c r="AA231" s="131" t="str">
        <f>IFERROR(VLOOKUP(Y231,TD!$K$46:$L$64,2,0)," ")</f>
        <v>PM/0131/0104/45030040255</v>
      </c>
      <c r="AB231" s="57" t="s">
        <v>139</v>
      </c>
      <c r="AC231" s="132" t="s">
        <v>205</v>
      </c>
    </row>
    <row r="232" spans="2:29" s="28" customFormat="1" ht="57">
      <c r="B232" s="85">
        <v>20240979</v>
      </c>
      <c r="C232" s="53" t="s">
        <v>210</v>
      </c>
      <c r="D232" s="129" t="s">
        <v>170</v>
      </c>
      <c r="E232" s="54" t="s">
        <v>461</v>
      </c>
      <c r="F232" s="129" t="s">
        <v>477</v>
      </c>
      <c r="G232" s="129" t="s">
        <v>156</v>
      </c>
      <c r="H232" s="117">
        <v>80111600</v>
      </c>
      <c r="I232" s="130">
        <v>8</v>
      </c>
      <c r="J232" s="130">
        <v>5</v>
      </c>
      <c r="K232" s="56">
        <v>24</v>
      </c>
      <c r="L232" s="57">
        <v>31900000</v>
      </c>
      <c r="M232" s="129" t="s">
        <v>173</v>
      </c>
      <c r="N232" s="57" t="s">
        <v>114</v>
      </c>
      <c r="O232" s="54" t="s">
        <v>223</v>
      </c>
      <c r="P232" s="131" t="str">
        <f>IFERROR(VLOOKUP(C232,TD!$B$32:$F$36,2,0)," ")</f>
        <v>O230117</v>
      </c>
      <c r="Q232" s="131" t="str">
        <f>IFERROR(VLOOKUP(C232,TD!$B$32:$F$36,3,0)," ")</f>
        <v>4503</v>
      </c>
      <c r="R232" s="131">
        <f>IFERROR(VLOOKUP(C232,TD!$B$32:$F$36,4,0)," ")</f>
        <v>20240255</v>
      </c>
      <c r="S232" s="54" t="s">
        <v>176</v>
      </c>
      <c r="T232" s="131" t="str">
        <f>IFERROR(VLOOKUP(S232,TD!$J$33:$K$43,2,0)," ")</f>
        <v>Servicio de atención a incidentes y emergencias.</v>
      </c>
      <c r="U232" s="54" t="str">
        <f t="shared" si="12"/>
        <v>04-Servicio de atención a incidentes y emergencias.</v>
      </c>
      <c r="V232" s="54" t="s">
        <v>233</v>
      </c>
      <c r="W232" s="131" t="str">
        <f>IFERROR(VLOOKUP(V232,TD!$N$33:$O$45,2,0)," ")</f>
        <v>Servicio de atención a emergencias y desastres</v>
      </c>
      <c r="X232" s="54" t="str">
        <f t="shared" si="13"/>
        <v>004_Servicio de atención a emergencias y desastres</v>
      </c>
      <c r="Y232" s="54" t="str">
        <f t="shared" si="14"/>
        <v>04-Servicio de atención a incidentes y emergencias. 004_Servicio de atención a emergencias y desastres</v>
      </c>
      <c r="Z232" s="131" t="str">
        <f t="shared" si="15"/>
        <v>O23011745032024025504004</v>
      </c>
      <c r="AA232" s="131" t="str">
        <f>IFERROR(VLOOKUP(Y232,TD!$K$46:$L$64,2,0)," ")</f>
        <v>PM/0131/0104/45030040255</v>
      </c>
      <c r="AB232" s="57" t="s">
        <v>139</v>
      </c>
      <c r="AC232" s="132" t="s">
        <v>205</v>
      </c>
    </row>
    <row r="233" spans="2:29" s="28" customFormat="1" ht="71.25">
      <c r="B233" s="85">
        <v>20240980</v>
      </c>
      <c r="C233" s="53" t="s">
        <v>210</v>
      </c>
      <c r="D233" s="129" t="s">
        <v>170</v>
      </c>
      <c r="E233" s="54" t="s">
        <v>461</v>
      </c>
      <c r="F233" s="129" t="s">
        <v>478</v>
      </c>
      <c r="G233" s="129" t="s">
        <v>156</v>
      </c>
      <c r="H233" s="117">
        <v>80111600</v>
      </c>
      <c r="I233" s="130">
        <v>7</v>
      </c>
      <c r="J233" s="130">
        <v>6</v>
      </c>
      <c r="K233" s="56">
        <v>0</v>
      </c>
      <c r="L233" s="57">
        <v>33000000</v>
      </c>
      <c r="M233" s="129" t="s">
        <v>173</v>
      </c>
      <c r="N233" s="57" t="s">
        <v>114</v>
      </c>
      <c r="O233" s="54" t="s">
        <v>223</v>
      </c>
      <c r="P233" s="131" t="str">
        <f>IFERROR(VLOOKUP(C233,TD!$B$32:$F$36,2,0)," ")</f>
        <v>O230117</v>
      </c>
      <c r="Q233" s="131" t="str">
        <f>IFERROR(VLOOKUP(C233,TD!$B$32:$F$36,3,0)," ")</f>
        <v>4503</v>
      </c>
      <c r="R233" s="131">
        <f>IFERROR(VLOOKUP(C233,TD!$B$32:$F$36,4,0)," ")</f>
        <v>20240255</v>
      </c>
      <c r="S233" s="54" t="s">
        <v>176</v>
      </c>
      <c r="T233" s="131" t="str">
        <f>IFERROR(VLOOKUP(S233,TD!$J$33:$K$43,2,0)," ")</f>
        <v>Servicio de atención a incidentes y emergencias.</v>
      </c>
      <c r="U233" s="54" t="str">
        <f t="shared" si="12"/>
        <v>04-Servicio de atención a incidentes y emergencias.</v>
      </c>
      <c r="V233" s="54" t="s">
        <v>233</v>
      </c>
      <c r="W233" s="131" t="str">
        <f>IFERROR(VLOOKUP(V233,TD!$N$33:$O$45,2,0)," ")</f>
        <v>Servicio de atención a emergencias y desastres</v>
      </c>
      <c r="X233" s="54" t="str">
        <f t="shared" si="13"/>
        <v>004_Servicio de atención a emergencias y desastres</v>
      </c>
      <c r="Y233" s="54" t="str">
        <f t="shared" si="14"/>
        <v>04-Servicio de atención a incidentes y emergencias. 004_Servicio de atención a emergencias y desastres</v>
      </c>
      <c r="Z233" s="131" t="str">
        <f t="shared" si="15"/>
        <v>O23011745032024025504004</v>
      </c>
      <c r="AA233" s="131" t="str">
        <f>IFERROR(VLOOKUP(Y233,TD!$K$46:$L$64,2,0)," ")</f>
        <v>PM/0131/0104/45030040255</v>
      </c>
      <c r="AB233" s="57" t="s">
        <v>139</v>
      </c>
      <c r="AC233" s="132" t="s">
        <v>205</v>
      </c>
    </row>
    <row r="234" spans="2:29" s="28" customFormat="1" ht="99.75">
      <c r="B234" s="85">
        <v>20240981</v>
      </c>
      <c r="C234" s="53" t="s">
        <v>210</v>
      </c>
      <c r="D234" s="129" t="s">
        <v>170</v>
      </c>
      <c r="E234" s="54" t="s">
        <v>461</v>
      </c>
      <c r="F234" s="129" t="s">
        <v>479</v>
      </c>
      <c r="G234" s="129" t="s">
        <v>156</v>
      </c>
      <c r="H234" s="117">
        <v>80111600</v>
      </c>
      <c r="I234" s="130">
        <v>8</v>
      </c>
      <c r="J234" s="130">
        <v>5</v>
      </c>
      <c r="K234" s="56">
        <v>15</v>
      </c>
      <c r="L234" s="57">
        <v>39000000</v>
      </c>
      <c r="M234" s="129" t="s">
        <v>173</v>
      </c>
      <c r="N234" s="57" t="s">
        <v>114</v>
      </c>
      <c r="O234" s="54" t="s">
        <v>223</v>
      </c>
      <c r="P234" s="131" t="str">
        <f>IFERROR(VLOOKUP(C234,TD!$B$32:$F$36,2,0)," ")</f>
        <v>O230117</v>
      </c>
      <c r="Q234" s="131" t="str">
        <f>IFERROR(VLOOKUP(C234,TD!$B$32:$F$36,3,0)," ")</f>
        <v>4503</v>
      </c>
      <c r="R234" s="131">
        <f>IFERROR(VLOOKUP(C234,TD!$B$32:$F$36,4,0)," ")</f>
        <v>20240255</v>
      </c>
      <c r="S234" s="54" t="s">
        <v>176</v>
      </c>
      <c r="T234" s="131" t="str">
        <f>IFERROR(VLOOKUP(S234,TD!$J$33:$K$43,2,0)," ")</f>
        <v>Servicio de atención a incidentes y emergencias.</v>
      </c>
      <c r="U234" s="54" t="str">
        <f t="shared" si="12"/>
        <v>04-Servicio de atención a incidentes y emergencias.</v>
      </c>
      <c r="V234" s="54" t="s">
        <v>233</v>
      </c>
      <c r="W234" s="131" t="str">
        <f>IFERROR(VLOOKUP(V234,TD!$N$33:$O$45,2,0)," ")</f>
        <v>Servicio de atención a emergencias y desastres</v>
      </c>
      <c r="X234" s="54" t="str">
        <f t="shared" si="13"/>
        <v>004_Servicio de atención a emergencias y desastres</v>
      </c>
      <c r="Y234" s="54" t="str">
        <f t="shared" si="14"/>
        <v>04-Servicio de atención a incidentes y emergencias. 004_Servicio de atención a emergencias y desastres</v>
      </c>
      <c r="Z234" s="131" t="str">
        <f t="shared" si="15"/>
        <v>O23011745032024025504004</v>
      </c>
      <c r="AA234" s="131" t="str">
        <f>IFERROR(VLOOKUP(Y234,TD!$K$46:$L$64,2,0)," ")</f>
        <v>PM/0131/0104/45030040255</v>
      </c>
      <c r="AB234" s="57" t="s">
        <v>139</v>
      </c>
      <c r="AC234" s="132" t="s">
        <v>205</v>
      </c>
    </row>
    <row r="235" spans="2:29" s="28" customFormat="1" ht="71.25">
      <c r="B235" s="85">
        <v>20240982</v>
      </c>
      <c r="C235" s="53" t="s">
        <v>210</v>
      </c>
      <c r="D235" s="129" t="s">
        <v>170</v>
      </c>
      <c r="E235" s="54" t="s">
        <v>461</v>
      </c>
      <c r="F235" s="129" t="s">
        <v>480</v>
      </c>
      <c r="G235" s="129" t="s">
        <v>156</v>
      </c>
      <c r="H235" s="117">
        <v>80111600</v>
      </c>
      <c r="I235" s="130">
        <v>7</v>
      </c>
      <c r="J235" s="130">
        <v>6</v>
      </c>
      <c r="K235" s="56">
        <v>9</v>
      </c>
      <c r="L235" s="57">
        <v>42210000</v>
      </c>
      <c r="M235" s="129" t="s">
        <v>173</v>
      </c>
      <c r="N235" s="57" t="s">
        <v>114</v>
      </c>
      <c r="O235" s="54" t="s">
        <v>223</v>
      </c>
      <c r="P235" s="131" t="str">
        <f>IFERROR(VLOOKUP(C235,TD!$B$32:$F$36,2,0)," ")</f>
        <v>O230117</v>
      </c>
      <c r="Q235" s="131" t="str">
        <f>IFERROR(VLOOKUP(C235,TD!$B$32:$F$36,3,0)," ")</f>
        <v>4503</v>
      </c>
      <c r="R235" s="131">
        <f>IFERROR(VLOOKUP(C235,TD!$B$32:$F$36,4,0)," ")</f>
        <v>20240255</v>
      </c>
      <c r="S235" s="54" t="s">
        <v>176</v>
      </c>
      <c r="T235" s="131" t="str">
        <f>IFERROR(VLOOKUP(S235,TD!$J$33:$K$43,2,0)," ")</f>
        <v>Servicio de atención a incidentes y emergencias.</v>
      </c>
      <c r="U235" s="54" t="str">
        <f t="shared" si="12"/>
        <v>04-Servicio de atención a incidentes y emergencias.</v>
      </c>
      <c r="V235" s="54" t="s">
        <v>233</v>
      </c>
      <c r="W235" s="131" t="str">
        <f>IFERROR(VLOOKUP(V235,TD!$N$33:$O$45,2,0)," ")</f>
        <v>Servicio de atención a emergencias y desastres</v>
      </c>
      <c r="X235" s="54" t="str">
        <f t="shared" si="13"/>
        <v>004_Servicio de atención a emergencias y desastres</v>
      </c>
      <c r="Y235" s="54" t="str">
        <f t="shared" si="14"/>
        <v>04-Servicio de atención a incidentes y emergencias. 004_Servicio de atención a emergencias y desastres</v>
      </c>
      <c r="Z235" s="131" t="str">
        <f t="shared" si="15"/>
        <v>O23011745032024025504004</v>
      </c>
      <c r="AA235" s="131" t="str">
        <f>IFERROR(VLOOKUP(Y235,TD!$K$46:$L$64,2,0)," ")</f>
        <v>PM/0131/0104/45030040255</v>
      </c>
      <c r="AB235" s="57" t="s">
        <v>139</v>
      </c>
      <c r="AC235" s="132" t="s">
        <v>205</v>
      </c>
    </row>
    <row r="236" spans="2:29" s="28" customFormat="1" ht="71.25">
      <c r="B236" s="85">
        <v>20240983</v>
      </c>
      <c r="C236" s="53" t="s">
        <v>210</v>
      </c>
      <c r="D236" s="129" t="s">
        <v>170</v>
      </c>
      <c r="E236" s="54" t="s">
        <v>461</v>
      </c>
      <c r="F236" s="129" t="s">
        <v>481</v>
      </c>
      <c r="G236" s="129" t="s">
        <v>156</v>
      </c>
      <c r="H236" s="117">
        <v>80111600</v>
      </c>
      <c r="I236" s="130">
        <v>10</v>
      </c>
      <c r="J236" s="130">
        <v>3</v>
      </c>
      <c r="K236" s="56">
        <v>25</v>
      </c>
      <c r="L236" s="57">
        <v>26833333</v>
      </c>
      <c r="M236" s="129" t="s">
        <v>173</v>
      </c>
      <c r="N236" s="57" t="s">
        <v>114</v>
      </c>
      <c r="O236" s="54" t="s">
        <v>223</v>
      </c>
      <c r="P236" s="131" t="str">
        <f>IFERROR(VLOOKUP(C236,TD!$B$32:$F$36,2,0)," ")</f>
        <v>O230117</v>
      </c>
      <c r="Q236" s="131" t="str">
        <f>IFERROR(VLOOKUP(C236,TD!$B$32:$F$36,3,0)," ")</f>
        <v>4503</v>
      </c>
      <c r="R236" s="131">
        <f>IFERROR(VLOOKUP(C236,TD!$B$32:$F$36,4,0)," ")</f>
        <v>20240255</v>
      </c>
      <c r="S236" s="54" t="s">
        <v>176</v>
      </c>
      <c r="T236" s="131" t="str">
        <f>IFERROR(VLOOKUP(S236,TD!$J$33:$K$43,2,0)," ")</f>
        <v>Servicio de atención a incidentes y emergencias.</v>
      </c>
      <c r="U236" s="54" t="str">
        <f t="shared" si="12"/>
        <v>04-Servicio de atención a incidentes y emergencias.</v>
      </c>
      <c r="V236" s="54" t="s">
        <v>233</v>
      </c>
      <c r="W236" s="131" t="str">
        <f>IFERROR(VLOOKUP(V236,TD!$N$33:$O$45,2,0)," ")</f>
        <v>Servicio de atención a emergencias y desastres</v>
      </c>
      <c r="X236" s="54" t="str">
        <f t="shared" si="13"/>
        <v>004_Servicio de atención a emergencias y desastres</v>
      </c>
      <c r="Y236" s="54" t="str">
        <f t="shared" si="14"/>
        <v>04-Servicio de atención a incidentes y emergencias. 004_Servicio de atención a emergencias y desastres</v>
      </c>
      <c r="Z236" s="131" t="str">
        <f t="shared" si="15"/>
        <v>O23011745032024025504004</v>
      </c>
      <c r="AA236" s="131" t="str">
        <f>IFERROR(VLOOKUP(Y236,TD!$K$46:$L$64,2,0)," ")</f>
        <v>PM/0131/0104/45030040255</v>
      </c>
      <c r="AB236" s="57" t="s">
        <v>139</v>
      </c>
      <c r="AC236" s="132" t="s">
        <v>205</v>
      </c>
    </row>
    <row r="237" spans="2:29" s="28" customFormat="1" ht="57">
      <c r="B237" s="85">
        <v>20240984</v>
      </c>
      <c r="C237" s="53" t="s">
        <v>210</v>
      </c>
      <c r="D237" s="129" t="s">
        <v>170</v>
      </c>
      <c r="E237" s="54" t="s">
        <v>461</v>
      </c>
      <c r="F237" s="129" t="s">
        <v>482</v>
      </c>
      <c r="G237" s="129" t="s">
        <v>156</v>
      </c>
      <c r="H237" s="117">
        <v>80111600</v>
      </c>
      <c r="I237" s="130">
        <v>8</v>
      </c>
      <c r="J237" s="130">
        <v>5</v>
      </c>
      <c r="K237" s="56">
        <v>14</v>
      </c>
      <c r="L237" s="57">
        <v>41766666</v>
      </c>
      <c r="M237" s="129" t="s">
        <v>173</v>
      </c>
      <c r="N237" s="57" t="s">
        <v>114</v>
      </c>
      <c r="O237" s="54" t="s">
        <v>223</v>
      </c>
      <c r="P237" s="131" t="str">
        <f>IFERROR(VLOOKUP(C237,TD!$B$32:$F$36,2,0)," ")</f>
        <v>O230117</v>
      </c>
      <c r="Q237" s="131" t="str">
        <f>IFERROR(VLOOKUP(C237,TD!$B$32:$F$36,3,0)," ")</f>
        <v>4503</v>
      </c>
      <c r="R237" s="131">
        <f>IFERROR(VLOOKUP(C237,TD!$B$32:$F$36,4,0)," ")</f>
        <v>20240255</v>
      </c>
      <c r="S237" s="54" t="s">
        <v>176</v>
      </c>
      <c r="T237" s="131" t="str">
        <f>IFERROR(VLOOKUP(S237,TD!$J$33:$K$43,2,0)," ")</f>
        <v>Servicio de atención a incidentes y emergencias.</v>
      </c>
      <c r="U237" s="54" t="str">
        <f t="shared" si="12"/>
        <v>04-Servicio de atención a incidentes y emergencias.</v>
      </c>
      <c r="V237" s="54" t="s">
        <v>233</v>
      </c>
      <c r="W237" s="131" t="str">
        <f>IFERROR(VLOOKUP(V237,TD!$N$33:$O$45,2,0)," ")</f>
        <v>Servicio de atención a emergencias y desastres</v>
      </c>
      <c r="X237" s="54" t="str">
        <f t="shared" si="13"/>
        <v>004_Servicio de atención a emergencias y desastres</v>
      </c>
      <c r="Y237" s="54" t="str">
        <f t="shared" si="14"/>
        <v>04-Servicio de atención a incidentes y emergencias. 004_Servicio de atención a emergencias y desastres</v>
      </c>
      <c r="Z237" s="131" t="str">
        <f t="shared" si="15"/>
        <v>O23011745032024025504004</v>
      </c>
      <c r="AA237" s="131" t="str">
        <f>IFERROR(VLOOKUP(Y237,TD!$K$46:$L$64,2,0)," ")</f>
        <v>PM/0131/0104/45030040255</v>
      </c>
      <c r="AB237" s="57" t="s">
        <v>139</v>
      </c>
      <c r="AC237" s="132" t="s">
        <v>205</v>
      </c>
    </row>
    <row r="238" spans="2:29" s="28" customFormat="1" ht="71.25">
      <c r="B238" s="85">
        <v>20240985</v>
      </c>
      <c r="C238" s="53" t="s">
        <v>210</v>
      </c>
      <c r="D238" s="129" t="s">
        <v>170</v>
      </c>
      <c r="E238" s="54" t="s">
        <v>461</v>
      </c>
      <c r="F238" s="129" t="s">
        <v>483</v>
      </c>
      <c r="G238" s="129" t="s">
        <v>156</v>
      </c>
      <c r="H238" s="117">
        <v>80111600</v>
      </c>
      <c r="I238" s="130">
        <v>10</v>
      </c>
      <c r="J238" s="130">
        <v>4</v>
      </c>
      <c r="K238" s="56">
        <v>8</v>
      </c>
      <c r="L238" s="57">
        <v>29866666</v>
      </c>
      <c r="M238" s="129" t="s">
        <v>173</v>
      </c>
      <c r="N238" s="57" t="s">
        <v>114</v>
      </c>
      <c r="O238" s="54" t="s">
        <v>223</v>
      </c>
      <c r="P238" s="131" t="str">
        <f>IFERROR(VLOOKUP(C238,TD!$B$32:$F$36,2,0)," ")</f>
        <v>O230117</v>
      </c>
      <c r="Q238" s="131" t="str">
        <f>IFERROR(VLOOKUP(C238,TD!$B$32:$F$36,3,0)," ")</f>
        <v>4503</v>
      </c>
      <c r="R238" s="131">
        <f>IFERROR(VLOOKUP(C238,TD!$B$32:$F$36,4,0)," ")</f>
        <v>20240255</v>
      </c>
      <c r="S238" s="54" t="s">
        <v>176</v>
      </c>
      <c r="T238" s="131" t="str">
        <f>IFERROR(VLOOKUP(S238,TD!$J$33:$K$43,2,0)," ")</f>
        <v>Servicio de atención a incidentes y emergencias.</v>
      </c>
      <c r="U238" s="54" t="str">
        <f t="shared" si="12"/>
        <v>04-Servicio de atención a incidentes y emergencias.</v>
      </c>
      <c r="V238" s="54" t="s">
        <v>233</v>
      </c>
      <c r="W238" s="131" t="str">
        <f>IFERROR(VLOOKUP(V238,TD!$N$33:$O$45,2,0)," ")</f>
        <v>Servicio de atención a emergencias y desastres</v>
      </c>
      <c r="X238" s="54" t="str">
        <f t="shared" si="13"/>
        <v>004_Servicio de atención a emergencias y desastres</v>
      </c>
      <c r="Y238" s="54" t="str">
        <f t="shared" si="14"/>
        <v>04-Servicio de atención a incidentes y emergencias. 004_Servicio de atención a emergencias y desastres</v>
      </c>
      <c r="Z238" s="131" t="str">
        <f t="shared" si="15"/>
        <v>O23011745032024025504004</v>
      </c>
      <c r="AA238" s="131" t="str">
        <f>IFERROR(VLOOKUP(Y238,TD!$K$46:$L$64,2,0)," ")</f>
        <v>PM/0131/0104/45030040255</v>
      </c>
      <c r="AB238" s="57" t="s">
        <v>139</v>
      </c>
      <c r="AC238" s="132" t="s">
        <v>205</v>
      </c>
    </row>
    <row r="239" spans="2:29" s="28" customFormat="1" ht="57">
      <c r="B239" s="85">
        <v>20240986</v>
      </c>
      <c r="C239" s="53" t="s">
        <v>210</v>
      </c>
      <c r="D239" s="129" t="s">
        <v>170</v>
      </c>
      <c r="E239" s="54" t="s">
        <v>461</v>
      </c>
      <c r="F239" s="129" t="s">
        <v>484</v>
      </c>
      <c r="G239" s="129" t="s">
        <v>156</v>
      </c>
      <c r="H239" s="117">
        <v>80111600</v>
      </c>
      <c r="I239" s="130">
        <v>12</v>
      </c>
      <c r="J239" s="130">
        <v>1</v>
      </c>
      <c r="K239" s="56">
        <v>2</v>
      </c>
      <c r="L239" s="57">
        <v>7466666</v>
      </c>
      <c r="M239" s="129" t="s">
        <v>173</v>
      </c>
      <c r="N239" s="57" t="s">
        <v>114</v>
      </c>
      <c r="O239" s="54" t="s">
        <v>223</v>
      </c>
      <c r="P239" s="131" t="str">
        <f>IFERROR(VLOOKUP(C239,TD!$B$32:$F$36,2,0)," ")</f>
        <v>O230117</v>
      </c>
      <c r="Q239" s="131" t="str">
        <f>IFERROR(VLOOKUP(C239,TD!$B$32:$F$36,3,0)," ")</f>
        <v>4503</v>
      </c>
      <c r="R239" s="131">
        <f>IFERROR(VLOOKUP(C239,TD!$B$32:$F$36,4,0)," ")</f>
        <v>20240255</v>
      </c>
      <c r="S239" s="54" t="s">
        <v>176</v>
      </c>
      <c r="T239" s="131" t="str">
        <f>IFERROR(VLOOKUP(S239,TD!$J$33:$K$43,2,0)," ")</f>
        <v>Servicio de atención a incidentes y emergencias.</v>
      </c>
      <c r="U239" s="54" t="str">
        <f t="shared" si="12"/>
        <v>04-Servicio de atención a incidentes y emergencias.</v>
      </c>
      <c r="V239" s="54" t="s">
        <v>233</v>
      </c>
      <c r="W239" s="131" t="str">
        <f>IFERROR(VLOOKUP(V239,TD!$N$33:$O$45,2,0)," ")</f>
        <v>Servicio de atención a emergencias y desastres</v>
      </c>
      <c r="X239" s="54" t="str">
        <f t="shared" si="13"/>
        <v>004_Servicio de atención a emergencias y desastres</v>
      </c>
      <c r="Y239" s="54" t="str">
        <f t="shared" si="14"/>
        <v>04-Servicio de atención a incidentes y emergencias. 004_Servicio de atención a emergencias y desastres</v>
      </c>
      <c r="Z239" s="131" t="str">
        <f t="shared" si="15"/>
        <v>O23011745032024025504004</v>
      </c>
      <c r="AA239" s="131" t="str">
        <f>IFERROR(VLOOKUP(Y239,TD!$K$46:$L$64,2,0)," ")</f>
        <v>PM/0131/0104/45030040255</v>
      </c>
      <c r="AB239" s="57" t="s">
        <v>139</v>
      </c>
      <c r="AC239" s="132" t="s">
        <v>205</v>
      </c>
    </row>
    <row r="240" spans="2:29" s="28" customFormat="1" ht="71.25">
      <c r="B240" s="85">
        <v>20240987</v>
      </c>
      <c r="C240" s="53" t="s">
        <v>210</v>
      </c>
      <c r="D240" s="129" t="s">
        <v>170</v>
      </c>
      <c r="E240" s="54" t="s">
        <v>461</v>
      </c>
      <c r="F240" s="129" t="s">
        <v>485</v>
      </c>
      <c r="G240" s="129" t="s">
        <v>156</v>
      </c>
      <c r="H240" s="117">
        <v>80111600</v>
      </c>
      <c r="I240" s="130">
        <v>7</v>
      </c>
      <c r="J240" s="130">
        <v>6</v>
      </c>
      <c r="K240" s="56">
        <v>25</v>
      </c>
      <c r="L240" s="57">
        <v>58083333</v>
      </c>
      <c r="M240" s="129" t="s">
        <v>173</v>
      </c>
      <c r="N240" s="57" t="s">
        <v>114</v>
      </c>
      <c r="O240" s="54" t="s">
        <v>223</v>
      </c>
      <c r="P240" s="131" t="str">
        <f>IFERROR(VLOOKUP(C240,TD!$B$32:$F$36,2,0)," ")</f>
        <v>O230117</v>
      </c>
      <c r="Q240" s="131" t="str">
        <f>IFERROR(VLOOKUP(C240,TD!$B$32:$F$36,3,0)," ")</f>
        <v>4503</v>
      </c>
      <c r="R240" s="131">
        <f>IFERROR(VLOOKUP(C240,TD!$B$32:$F$36,4,0)," ")</f>
        <v>20240255</v>
      </c>
      <c r="S240" s="54" t="s">
        <v>176</v>
      </c>
      <c r="T240" s="131" t="str">
        <f>IFERROR(VLOOKUP(S240,TD!$J$33:$K$43,2,0)," ")</f>
        <v>Servicio de atención a incidentes y emergencias.</v>
      </c>
      <c r="U240" s="54" t="str">
        <f t="shared" si="12"/>
        <v>04-Servicio de atención a incidentes y emergencias.</v>
      </c>
      <c r="V240" s="54" t="s">
        <v>233</v>
      </c>
      <c r="W240" s="131" t="str">
        <f>IFERROR(VLOOKUP(V240,TD!$N$33:$O$45,2,0)," ")</f>
        <v>Servicio de atención a emergencias y desastres</v>
      </c>
      <c r="X240" s="54" t="str">
        <f t="shared" si="13"/>
        <v>004_Servicio de atención a emergencias y desastres</v>
      </c>
      <c r="Y240" s="54" t="str">
        <f t="shared" si="14"/>
        <v>04-Servicio de atención a incidentes y emergencias. 004_Servicio de atención a emergencias y desastres</v>
      </c>
      <c r="Z240" s="131" t="str">
        <f t="shared" si="15"/>
        <v>O23011745032024025504004</v>
      </c>
      <c r="AA240" s="131" t="str">
        <f>IFERROR(VLOOKUP(Y240,TD!$K$46:$L$64,2,0)," ")</f>
        <v>PM/0131/0104/45030040255</v>
      </c>
      <c r="AB240" s="57" t="s">
        <v>139</v>
      </c>
      <c r="AC240" s="132" t="s">
        <v>205</v>
      </c>
    </row>
    <row r="241" spans="2:29" s="28" customFormat="1" ht="85.5">
      <c r="B241" s="85">
        <v>20240988</v>
      </c>
      <c r="C241" s="53" t="s">
        <v>210</v>
      </c>
      <c r="D241" s="129" t="s">
        <v>170</v>
      </c>
      <c r="E241" s="54" t="s">
        <v>461</v>
      </c>
      <c r="F241" s="129" t="s">
        <v>486</v>
      </c>
      <c r="G241" s="129" t="s">
        <v>156</v>
      </c>
      <c r="H241" s="117">
        <v>80111600</v>
      </c>
      <c r="I241" s="130">
        <v>8</v>
      </c>
      <c r="J241" s="130">
        <v>5</v>
      </c>
      <c r="K241" s="56">
        <v>26</v>
      </c>
      <c r="L241" s="57">
        <v>52800000</v>
      </c>
      <c r="M241" s="129" t="s">
        <v>173</v>
      </c>
      <c r="N241" s="57" t="s">
        <v>114</v>
      </c>
      <c r="O241" s="54" t="s">
        <v>223</v>
      </c>
      <c r="P241" s="131" t="str">
        <f>IFERROR(VLOOKUP(C241,TD!$B$32:$F$36,2,0)," ")</f>
        <v>O230117</v>
      </c>
      <c r="Q241" s="131" t="str">
        <f>IFERROR(VLOOKUP(C241,TD!$B$32:$F$36,3,0)," ")</f>
        <v>4503</v>
      </c>
      <c r="R241" s="131">
        <f>IFERROR(VLOOKUP(C241,TD!$B$32:$F$36,4,0)," ")</f>
        <v>20240255</v>
      </c>
      <c r="S241" s="54" t="s">
        <v>176</v>
      </c>
      <c r="T241" s="131" t="str">
        <f>IFERROR(VLOOKUP(S241,TD!$J$33:$K$43,2,0)," ")</f>
        <v>Servicio de atención a incidentes y emergencias.</v>
      </c>
      <c r="U241" s="54" t="str">
        <f t="shared" si="12"/>
        <v>04-Servicio de atención a incidentes y emergencias.</v>
      </c>
      <c r="V241" s="54" t="s">
        <v>233</v>
      </c>
      <c r="W241" s="131" t="str">
        <f>IFERROR(VLOOKUP(V241,TD!$N$33:$O$45,2,0)," ")</f>
        <v>Servicio de atención a emergencias y desastres</v>
      </c>
      <c r="X241" s="54" t="str">
        <f t="shared" si="13"/>
        <v>004_Servicio de atención a emergencias y desastres</v>
      </c>
      <c r="Y241" s="54" t="str">
        <f t="shared" si="14"/>
        <v>04-Servicio de atención a incidentes y emergencias. 004_Servicio de atención a emergencias y desastres</v>
      </c>
      <c r="Z241" s="131" t="str">
        <f t="shared" si="15"/>
        <v>O23011745032024025504004</v>
      </c>
      <c r="AA241" s="131" t="str">
        <f>IFERROR(VLOOKUP(Y241,TD!$K$46:$L$64,2,0)," ")</f>
        <v>PM/0131/0104/45030040255</v>
      </c>
      <c r="AB241" s="57" t="s">
        <v>139</v>
      </c>
      <c r="AC241" s="132" t="s">
        <v>205</v>
      </c>
    </row>
    <row r="242" spans="2:29" s="28" customFormat="1" ht="71.25">
      <c r="B242" s="85">
        <v>20240989</v>
      </c>
      <c r="C242" s="53" t="s">
        <v>210</v>
      </c>
      <c r="D242" s="129" t="s">
        <v>170</v>
      </c>
      <c r="E242" s="54" t="s">
        <v>461</v>
      </c>
      <c r="F242" s="129" t="s">
        <v>487</v>
      </c>
      <c r="G242" s="129" t="s">
        <v>156</v>
      </c>
      <c r="H242" s="117">
        <v>80111600</v>
      </c>
      <c r="I242" s="130">
        <v>12</v>
      </c>
      <c r="J242" s="130">
        <v>0</v>
      </c>
      <c r="K242" s="56">
        <v>20</v>
      </c>
      <c r="L242" s="57">
        <v>5333333</v>
      </c>
      <c r="M242" s="129" t="s">
        <v>173</v>
      </c>
      <c r="N242" s="57" t="s">
        <v>114</v>
      </c>
      <c r="O242" s="54" t="s">
        <v>223</v>
      </c>
      <c r="P242" s="131" t="str">
        <f>IFERROR(VLOOKUP(C242,TD!$B$32:$F$36,2,0)," ")</f>
        <v>O230117</v>
      </c>
      <c r="Q242" s="131" t="str">
        <f>IFERROR(VLOOKUP(C242,TD!$B$32:$F$36,3,0)," ")</f>
        <v>4503</v>
      </c>
      <c r="R242" s="131">
        <f>IFERROR(VLOOKUP(C242,TD!$B$32:$F$36,4,0)," ")</f>
        <v>20240255</v>
      </c>
      <c r="S242" s="54" t="s">
        <v>176</v>
      </c>
      <c r="T242" s="131" t="str">
        <f>IFERROR(VLOOKUP(S242,TD!$J$33:$K$43,2,0)," ")</f>
        <v>Servicio de atención a incidentes y emergencias.</v>
      </c>
      <c r="U242" s="54" t="str">
        <f t="shared" si="12"/>
        <v>04-Servicio de atención a incidentes y emergencias.</v>
      </c>
      <c r="V242" s="54" t="s">
        <v>233</v>
      </c>
      <c r="W242" s="131" t="str">
        <f>IFERROR(VLOOKUP(V242,TD!$N$33:$O$45,2,0)," ")</f>
        <v>Servicio de atención a emergencias y desastres</v>
      </c>
      <c r="X242" s="54" t="str">
        <f t="shared" si="13"/>
        <v>004_Servicio de atención a emergencias y desastres</v>
      </c>
      <c r="Y242" s="54" t="str">
        <f t="shared" si="14"/>
        <v>04-Servicio de atención a incidentes y emergencias. 004_Servicio de atención a emergencias y desastres</v>
      </c>
      <c r="Z242" s="131" t="str">
        <f t="shared" si="15"/>
        <v>O23011745032024025504004</v>
      </c>
      <c r="AA242" s="131" t="str">
        <f>IFERROR(VLOOKUP(Y242,TD!$K$46:$L$64,2,0)," ")</f>
        <v>PM/0131/0104/45030040255</v>
      </c>
      <c r="AB242" s="57" t="s">
        <v>139</v>
      </c>
      <c r="AC242" s="132" t="s">
        <v>206</v>
      </c>
    </row>
    <row r="243" spans="2:29" s="28" customFormat="1" ht="99.75">
      <c r="B243" s="85">
        <v>20240990</v>
      </c>
      <c r="C243" s="53" t="s">
        <v>210</v>
      </c>
      <c r="D243" s="129" t="s">
        <v>170</v>
      </c>
      <c r="E243" s="54" t="s">
        <v>461</v>
      </c>
      <c r="F243" s="129" t="s">
        <v>488</v>
      </c>
      <c r="G243" s="129" t="s">
        <v>156</v>
      </c>
      <c r="H243" s="117">
        <v>80111600</v>
      </c>
      <c r="I243" s="130">
        <v>12</v>
      </c>
      <c r="J243" s="130">
        <v>0</v>
      </c>
      <c r="K243" s="56">
        <v>17</v>
      </c>
      <c r="L243" s="57">
        <v>5253000</v>
      </c>
      <c r="M243" s="129" t="s">
        <v>173</v>
      </c>
      <c r="N243" s="57" t="s">
        <v>114</v>
      </c>
      <c r="O243" s="54" t="s">
        <v>223</v>
      </c>
      <c r="P243" s="131" t="str">
        <f>IFERROR(VLOOKUP(C243,TD!$B$32:$F$36,2,0)," ")</f>
        <v>O230117</v>
      </c>
      <c r="Q243" s="131" t="str">
        <f>IFERROR(VLOOKUP(C243,TD!$B$32:$F$36,3,0)," ")</f>
        <v>4503</v>
      </c>
      <c r="R243" s="131">
        <f>IFERROR(VLOOKUP(C243,TD!$B$32:$F$36,4,0)," ")</f>
        <v>20240255</v>
      </c>
      <c r="S243" s="54" t="s">
        <v>176</v>
      </c>
      <c r="T243" s="131" t="str">
        <f>IFERROR(VLOOKUP(S243,TD!$J$33:$K$43,2,0)," ")</f>
        <v>Servicio de atención a incidentes y emergencias.</v>
      </c>
      <c r="U243" s="54" t="str">
        <f t="shared" si="12"/>
        <v>04-Servicio de atención a incidentes y emergencias.</v>
      </c>
      <c r="V243" s="54" t="s">
        <v>233</v>
      </c>
      <c r="W243" s="131" t="str">
        <f>IFERROR(VLOOKUP(V243,TD!$N$33:$O$45,2,0)," ")</f>
        <v>Servicio de atención a emergencias y desastres</v>
      </c>
      <c r="X243" s="54" t="str">
        <f t="shared" si="13"/>
        <v>004_Servicio de atención a emergencias y desastres</v>
      </c>
      <c r="Y243" s="54" t="str">
        <f t="shared" si="14"/>
        <v>04-Servicio de atención a incidentes y emergencias. 004_Servicio de atención a emergencias y desastres</v>
      </c>
      <c r="Z243" s="131" t="str">
        <f t="shared" si="15"/>
        <v>O23011745032024025504004</v>
      </c>
      <c r="AA243" s="131" t="str">
        <f>IFERROR(VLOOKUP(Y243,TD!$K$46:$L$64,2,0)," ")</f>
        <v>PM/0131/0104/45030040255</v>
      </c>
      <c r="AB243" s="57" t="s">
        <v>139</v>
      </c>
      <c r="AC243" s="132" t="s">
        <v>206</v>
      </c>
    </row>
    <row r="244" spans="2:29" s="28" customFormat="1" ht="71.25">
      <c r="B244" s="85">
        <v>20240991</v>
      </c>
      <c r="C244" s="53" t="s">
        <v>210</v>
      </c>
      <c r="D244" s="129" t="s">
        <v>170</v>
      </c>
      <c r="E244" s="54" t="s">
        <v>461</v>
      </c>
      <c r="F244" s="129" t="s">
        <v>489</v>
      </c>
      <c r="G244" s="129" t="s">
        <v>130</v>
      </c>
      <c r="H244" s="117" t="s">
        <v>497</v>
      </c>
      <c r="I244" s="130">
        <v>12</v>
      </c>
      <c r="J244" s="130">
        <v>0</v>
      </c>
      <c r="K244" s="56">
        <v>0</v>
      </c>
      <c r="L244" s="57">
        <f>411230099-200000000+200000000</f>
        <v>411230099</v>
      </c>
      <c r="M244" s="129" t="s">
        <v>174</v>
      </c>
      <c r="N244" s="57" t="s">
        <v>86</v>
      </c>
      <c r="O244" s="54" t="s">
        <v>223</v>
      </c>
      <c r="P244" s="131" t="str">
        <f>IFERROR(VLOOKUP(C244,TD!$B$32:$F$36,2,0)," ")</f>
        <v>O230117</v>
      </c>
      <c r="Q244" s="131" t="str">
        <f>IFERROR(VLOOKUP(C244,TD!$B$32:$F$36,3,0)," ")</f>
        <v>4503</v>
      </c>
      <c r="R244" s="131">
        <f>IFERROR(VLOOKUP(C244,TD!$B$32:$F$36,4,0)," ")</f>
        <v>20240255</v>
      </c>
      <c r="S244" s="54" t="s">
        <v>190</v>
      </c>
      <c r="T244" s="131" t="str">
        <f>IFERROR(VLOOKUP(S244,TD!$J$33:$K$43,2,0)," ")</f>
        <v>Servicio de dotación y equipamento para el personal operativo</v>
      </c>
      <c r="U244" s="54" t="str">
        <f t="shared" si="12"/>
        <v>10-Servicio de dotación y equipamento para el personal operativo</v>
      </c>
      <c r="V244" s="54" t="s">
        <v>233</v>
      </c>
      <c r="W244" s="131" t="str">
        <f>IFERROR(VLOOKUP(V244,TD!$N$33:$O$45,2,0)," ")</f>
        <v>Servicio de atención a emergencias y desastres</v>
      </c>
      <c r="X244" s="54" t="str">
        <f t="shared" si="13"/>
        <v>004_Servicio de atención a emergencias y desastres</v>
      </c>
      <c r="Y244" s="54" t="str">
        <f t="shared" si="14"/>
        <v>10-Servicio de dotación y equipamento para el personal operativo 004_Servicio de atención a emergencias y desastres</v>
      </c>
      <c r="Z244" s="131" t="str">
        <f t="shared" si="15"/>
        <v>O23011745032024025510004</v>
      </c>
      <c r="AA244" s="131" t="str">
        <f>IFERROR(VLOOKUP(Y244,TD!$K$46:$L$64,2,0)," ")</f>
        <v>PM/0131/0110/45030040255</v>
      </c>
      <c r="AB244" s="57" t="s">
        <v>88</v>
      </c>
      <c r="AC244" s="132" t="s">
        <v>206</v>
      </c>
    </row>
    <row r="245" spans="2:29" s="28" customFormat="1" ht="57">
      <c r="B245" s="85">
        <v>20240992</v>
      </c>
      <c r="C245" s="53" t="s">
        <v>210</v>
      </c>
      <c r="D245" s="129" t="s">
        <v>170</v>
      </c>
      <c r="E245" s="54" t="s">
        <v>461</v>
      </c>
      <c r="F245" s="129" t="s">
        <v>490</v>
      </c>
      <c r="G245" s="129" t="s">
        <v>110</v>
      </c>
      <c r="H245" s="117" t="s">
        <v>498</v>
      </c>
      <c r="I245" s="130">
        <v>11</v>
      </c>
      <c r="J245" s="130">
        <v>6</v>
      </c>
      <c r="K245" s="56">
        <v>0</v>
      </c>
      <c r="L245" s="57">
        <f>155059088-130770000</f>
        <v>24289088</v>
      </c>
      <c r="M245" s="129" t="s">
        <v>173</v>
      </c>
      <c r="N245" s="57" t="s">
        <v>96</v>
      </c>
      <c r="O245" s="54" t="s">
        <v>223</v>
      </c>
      <c r="P245" s="131" t="str">
        <f>IFERROR(VLOOKUP(C245,TD!$B$32:$F$36,2,0)," ")</f>
        <v>O230117</v>
      </c>
      <c r="Q245" s="131" t="str">
        <f>IFERROR(VLOOKUP(C245,TD!$B$32:$F$36,3,0)," ")</f>
        <v>4503</v>
      </c>
      <c r="R245" s="131">
        <f>IFERROR(VLOOKUP(C245,TD!$B$32:$F$36,4,0)," ")</f>
        <v>20240255</v>
      </c>
      <c r="S245" s="54" t="s">
        <v>176</v>
      </c>
      <c r="T245" s="131" t="str">
        <f>IFERROR(VLOOKUP(S245,TD!$J$33:$K$43,2,0)," ")</f>
        <v>Servicio de atención a incidentes y emergencias.</v>
      </c>
      <c r="U245" s="54" t="str">
        <f t="shared" si="12"/>
        <v>04-Servicio de atención a incidentes y emergencias.</v>
      </c>
      <c r="V245" s="54" t="s">
        <v>233</v>
      </c>
      <c r="W245" s="131" t="str">
        <f>IFERROR(VLOOKUP(V245,TD!$N$33:$O$45,2,0)," ")</f>
        <v>Servicio de atención a emergencias y desastres</v>
      </c>
      <c r="X245" s="54" t="str">
        <f t="shared" si="13"/>
        <v>004_Servicio de atención a emergencias y desastres</v>
      </c>
      <c r="Y245" s="54" t="str">
        <f t="shared" si="14"/>
        <v>04-Servicio de atención a incidentes y emergencias. 004_Servicio de atención a emergencias y desastres</v>
      </c>
      <c r="Z245" s="131" t="str">
        <f t="shared" si="15"/>
        <v>O23011745032024025504004</v>
      </c>
      <c r="AA245" s="131" t="str">
        <f>IFERROR(VLOOKUP(Y245,TD!$K$46:$L$64,2,0)," ")</f>
        <v>PM/0131/0104/45030040255</v>
      </c>
      <c r="AB245" s="57" t="s">
        <v>88</v>
      </c>
      <c r="AC245" s="132" t="s">
        <v>205</v>
      </c>
    </row>
    <row r="246" spans="2:29" s="28" customFormat="1" ht="57">
      <c r="B246" s="85">
        <v>20240993</v>
      </c>
      <c r="C246" s="53" t="s">
        <v>210</v>
      </c>
      <c r="D246" s="129" t="s">
        <v>170</v>
      </c>
      <c r="E246" s="54" t="s">
        <v>461</v>
      </c>
      <c r="F246" s="129" t="s">
        <v>708</v>
      </c>
      <c r="G246" s="129" t="s">
        <v>156</v>
      </c>
      <c r="H246" s="117">
        <v>80111600</v>
      </c>
      <c r="I246" s="130">
        <v>8</v>
      </c>
      <c r="J246" s="130">
        <v>5</v>
      </c>
      <c r="K246" s="56">
        <v>0</v>
      </c>
      <c r="L246" s="57">
        <v>32500000</v>
      </c>
      <c r="M246" s="129" t="s">
        <v>173</v>
      </c>
      <c r="N246" s="57" t="s">
        <v>114</v>
      </c>
      <c r="O246" s="54" t="s">
        <v>223</v>
      </c>
      <c r="P246" s="131" t="str">
        <f>IFERROR(VLOOKUP(C246,TD!$B$32:$F$36,2,0)," ")</f>
        <v>O230117</v>
      </c>
      <c r="Q246" s="131" t="str">
        <f>IFERROR(VLOOKUP(C246,TD!$B$32:$F$36,3,0)," ")</f>
        <v>4503</v>
      </c>
      <c r="R246" s="131">
        <f>IFERROR(VLOOKUP(C246,TD!$B$32:$F$36,4,0)," ")</f>
        <v>20240255</v>
      </c>
      <c r="S246" s="54" t="s">
        <v>176</v>
      </c>
      <c r="T246" s="131" t="str">
        <f>IFERROR(VLOOKUP(S246,TD!$J$33:$K$43,2,0)," ")</f>
        <v>Servicio de atención a incidentes y emergencias.</v>
      </c>
      <c r="U246" s="54" t="str">
        <f t="shared" si="12"/>
        <v>04-Servicio de atención a incidentes y emergencias.</v>
      </c>
      <c r="V246" s="54" t="s">
        <v>233</v>
      </c>
      <c r="W246" s="131" t="str">
        <f>IFERROR(VLOOKUP(V246,TD!$N$33:$O$45,2,0)," ")</f>
        <v>Servicio de atención a emergencias y desastres</v>
      </c>
      <c r="X246" s="54" t="str">
        <f t="shared" si="13"/>
        <v>004_Servicio de atención a emergencias y desastres</v>
      </c>
      <c r="Y246" s="54" t="str">
        <f t="shared" si="14"/>
        <v>04-Servicio de atención a incidentes y emergencias. 004_Servicio de atención a emergencias y desastres</v>
      </c>
      <c r="Z246" s="131" t="str">
        <f t="shared" si="15"/>
        <v>O23011745032024025504004</v>
      </c>
      <c r="AA246" s="131" t="str">
        <f>IFERROR(VLOOKUP(Y246,TD!$K$46:$L$64,2,0)," ")</f>
        <v>PM/0131/0104/45030040255</v>
      </c>
      <c r="AB246" s="57" t="s">
        <v>139</v>
      </c>
      <c r="AC246" s="132" t="s">
        <v>205</v>
      </c>
    </row>
    <row r="247" spans="2:29" s="28" customFormat="1" ht="71.25">
      <c r="B247" s="85">
        <v>20240994</v>
      </c>
      <c r="C247" s="53" t="s">
        <v>210</v>
      </c>
      <c r="D247" s="129" t="s">
        <v>169</v>
      </c>
      <c r="E247" s="54" t="s">
        <v>423</v>
      </c>
      <c r="F247" s="129" t="s">
        <v>726</v>
      </c>
      <c r="G247" s="129" t="s">
        <v>158</v>
      </c>
      <c r="H247" s="117">
        <v>78181500</v>
      </c>
      <c r="I247" s="130">
        <v>7</v>
      </c>
      <c r="J247" s="130">
        <v>12</v>
      </c>
      <c r="K247" s="56">
        <v>0</v>
      </c>
      <c r="L247" s="57">
        <v>135000000</v>
      </c>
      <c r="M247" s="129" t="s">
        <v>173</v>
      </c>
      <c r="N247" s="57" t="s">
        <v>91</v>
      </c>
      <c r="O247" s="54" t="s">
        <v>225</v>
      </c>
      <c r="P247" s="131" t="str">
        <f>IFERROR(VLOOKUP(C247,TD!$B$32:$F$36,2,0)," ")</f>
        <v>O230117</v>
      </c>
      <c r="Q247" s="131" t="str">
        <f>IFERROR(VLOOKUP(C247,TD!$B$32:$F$36,3,0)," ")</f>
        <v>4503</v>
      </c>
      <c r="R247" s="131">
        <f>IFERROR(VLOOKUP(C247,TD!$B$32:$F$36,4,0)," ")</f>
        <v>20240255</v>
      </c>
      <c r="S247" s="54" t="s">
        <v>188</v>
      </c>
      <c r="T247" s="131" t="str">
        <f>IFERROR(VLOOKUP(S247,TD!$J$33:$K$43,2,0)," ")</f>
        <v>Servicio de mantenimiento, dotación (HEA´s y equipo menor) y adquisición de vehiculos   especializados para la atención de emergencias.</v>
      </c>
      <c r="U247" s="54" t="str">
        <f t="shared" si="12"/>
        <v>09-Servicio de mantenimiento, dotación (HEA´s y equipo menor) y adquisición de vehiculos   especializados para la atención de emergencias.</v>
      </c>
      <c r="V247" s="54" t="s">
        <v>233</v>
      </c>
      <c r="W247" s="131" t="str">
        <f>IFERROR(VLOOKUP(V247,TD!$N$33:$O$45,2,0)," ")</f>
        <v>Servicio de atención a emergencias y desastres</v>
      </c>
      <c r="X247" s="54" t="str">
        <f t="shared" si="13"/>
        <v>004_Servicio de atención a emergencias y desastres</v>
      </c>
      <c r="Y247" s="54" t="str">
        <f t="shared" si="14"/>
        <v>09-Servicio de mantenimiento, dotación (HEA´s y equipo menor) y adquisición de vehiculos   especializados para la atención de emergencias. 004_Servicio de atención a emergencias y desastres</v>
      </c>
      <c r="Z247" s="131" t="str">
        <f t="shared" si="15"/>
        <v>O23011745032024025509004</v>
      </c>
      <c r="AA247" s="131" t="str">
        <f>IFERROR(VLOOKUP(Y247,TD!$K$46:$L$64,2,0)," ")</f>
        <v>PM/0131/0109/45030040255</v>
      </c>
      <c r="AB247" s="57" t="s">
        <v>146</v>
      </c>
      <c r="AC247" s="132" t="s">
        <v>206</v>
      </c>
    </row>
    <row r="248" spans="2:29" s="28" customFormat="1" ht="42.75">
      <c r="B248" s="85">
        <v>20240995</v>
      </c>
      <c r="C248" s="53" t="s">
        <v>210</v>
      </c>
      <c r="D248" s="129" t="s">
        <v>170</v>
      </c>
      <c r="E248" s="54" t="s">
        <v>461</v>
      </c>
      <c r="F248" s="129" t="s">
        <v>493</v>
      </c>
      <c r="G248" s="129" t="s">
        <v>110</v>
      </c>
      <c r="H248" s="117" t="s">
        <v>501</v>
      </c>
      <c r="I248" s="130">
        <v>8</v>
      </c>
      <c r="J248" s="130">
        <v>3</v>
      </c>
      <c r="K248" s="56">
        <v>0</v>
      </c>
      <c r="L248" s="57">
        <v>58500000</v>
      </c>
      <c r="M248" s="129" t="s">
        <v>173</v>
      </c>
      <c r="N248" s="57" t="s">
        <v>101</v>
      </c>
      <c r="O248" s="54" t="s">
        <v>223</v>
      </c>
      <c r="P248" s="131" t="str">
        <f>IFERROR(VLOOKUP(C248,TD!$B$32:$F$36,2,0)," ")</f>
        <v>O230117</v>
      </c>
      <c r="Q248" s="131" t="str">
        <f>IFERROR(VLOOKUP(C248,TD!$B$32:$F$36,3,0)," ")</f>
        <v>4503</v>
      </c>
      <c r="R248" s="131">
        <f>IFERROR(VLOOKUP(C248,TD!$B$32:$F$36,4,0)," ")</f>
        <v>20240255</v>
      </c>
      <c r="S248" s="54" t="s">
        <v>190</v>
      </c>
      <c r="T248" s="131" t="str">
        <f>IFERROR(VLOOKUP(S248,TD!$J$33:$K$43,2,0)," ")</f>
        <v>Servicio de dotación y equipamento para el personal operativo</v>
      </c>
      <c r="U248" s="54" t="str">
        <f t="shared" si="12"/>
        <v>10-Servicio de dotación y equipamento para el personal operativo</v>
      </c>
      <c r="V248" s="54" t="s">
        <v>233</v>
      </c>
      <c r="W248" s="131" t="str">
        <f>IFERROR(VLOOKUP(V248,TD!$N$33:$O$45,2,0)," ")</f>
        <v>Servicio de atención a emergencias y desastres</v>
      </c>
      <c r="X248" s="54" t="str">
        <f t="shared" si="13"/>
        <v>004_Servicio de atención a emergencias y desastres</v>
      </c>
      <c r="Y248" s="54" t="str">
        <f t="shared" si="14"/>
        <v>10-Servicio de dotación y equipamento para el personal operativo 004_Servicio de atención a emergencias y desastres</v>
      </c>
      <c r="Z248" s="131" t="str">
        <f t="shared" si="15"/>
        <v>O23011745032024025510004</v>
      </c>
      <c r="AA248" s="131" t="str">
        <f>IFERROR(VLOOKUP(Y248,TD!$K$46:$L$64,2,0)," ")</f>
        <v>PM/0131/0110/45030040255</v>
      </c>
      <c r="AB248" s="57" t="s">
        <v>88</v>
      </c>
      <c r="AC248" s="132" t="s">
        <v>205</v>
      </c>
    </row>
    <row r="249" spans="2:29" s="28" customFormat="1" ht="42.75">
      <c r="B249" s="85">
        <v>20240996</v>
      </c>
      <c r="C249" s="53" t="s">
        <v>210</v>
      </c>
      <c r="D249" s="129" t="s">
        <v>170</v>
      </c>
      <c r="E249" s="54" t="s">
        <v>461</v>
      </c>
      <c r="F249" s="129" t="s">
        <v>494</v>
      </c>
      <c r="G249" s="129" t="s">
        <v>110</v>
      </c>
      <c r="H249" s="117" t="s">
        <v>502</v>
      </c>
      <c r="I249" s="130">
        <v>8</v>
      </c>
      <c r="J249" s="130">
        <v>3</v>
      </c>
      <c r="K249" s="56">
        <v>0</v>
      </c>
      <c r="L249" s="57">
        <v>40000000</v>
      </c>
      <c r="M249" s="129" t="s">
        <v>173</v>
      </c>
      <c r="N249" s="57" t="s">
        <v>101</v>
      </c>
      <c r="O249" s="54" t="s">
        <v>223</v>
      </c>
      <c r="P249" s="131" t="str">
        <f>IFERROR(VLOOKUP(C249,TD!$B$32:$F$36,2,0)," ")</f>
        <v>O230117</v>
      </c>
      <c r="Q249" s="131" t="str">
        <f>IFERROR(VLOOKUP(C249,TD!$B$32:$F$36,3,0)," ")</f>
        <v>4503</v>
      </c>
      <c r="R249" s="131">
        <f>IFERROR(VLOOKUP(C249,TD!$B$32:$F$36,4,0)," ")</f>
        <v>20240255</v>
      </c>
      <c r="S249" s="54" t="s">
        <v>190</v>
      </c>
      <c r="T249" s="131" t="str">
        <f>IFERROR(VLOOKUP(S249,TD!$J$33:$K$43,2,0)," ")</f>
        <v>Servicio de dotación y equipamento para el personal operativo</v>
      </c>
      <c r="U249" s="54" t="str">
        <f t="shared" si="12"/>
        <v>10-Servicio de dotación y equipamento para el personal operativo</v>
      </c>
      <c r="V249" s="54" t="s">
        <v>233</v>
      </c>
      <c r="W249" s="131" t="str">
        <f>IFERROR(VLOOKUP(V249,TD!$N$33:$O$45,2,0)," ")</f>
        <v>Servicio de atención a emergencias y desastres</v>
      </c>
      <c r="X249" s="54" t="str">
        <f t="shared" si="13"/>
        <v>004_Servicio de atención a emergencias y desastres</v>
      </c>
      <c r="Y249" s="54" t="str">
        <f t="shared" si="14"/>
        <v>10-Servicio de dotación y equipamento para el personal operativo 004_Servicio de atención a emergencias y desastres</v>
      </c>
      <c r="Z249" s="131" t="str">
        <f t="shared" si="15"/>
        <v>O23011745032024025510004</v>
      </c>
      <c r="AA249" s="131" t="str">
        <f>IFERROR(VLOOKUP(Y249,TD!$K$46:$L$64,2,0)," ")</f>
        <v>PM/0131/0110/45030040255</v>
      </c>
      <c r="AB249" s="57" t="s">
        <v>88</v>
      </c>
      <c r="AC249" s="132" t="s">
        <v>205</v>
      </c>
    </row>
    <row r="250" spans="2:29" s="28" customFormat="1" ht="42.75">
      <c r="B250" s="85">
        <v>20240997</v>
      </c>
      <c r="C250" s="53" t="s">
        <v>210</v>
      </c>
      <c r="D250" s="129" t="s">
        <v>170</v>
      </c>
      <c r="E250" s="54" t="s">
        <v>461</v>
      </c>
      <c r="F250" s="129" t="s">
        <v>495</v>
      </c>
      <c r="G250" s="129" t="s">
        <v>110</v>
      </c>
      <c r="H250" s="117" t="s">
        <v>503</v>
      </c>
      <c r="I250" s="130">
        <v>8</v>
      </c>
      <c r="J250" s="130">
        <v>3</v>
      </c>
      <c r="K250" s="56">
        <v>0</v>
      </c>
      <c r="L250" s="57">
        <v>58000000</v>
      </c>
      <c r="M250" s="129" t="s">
        <v>173</v>
      </c>
      <c r="N250" s="57" t="s">
        <v>101</v>
      </c>
      <c r="O250" s="54" t="s">
        <v>223</v>
      </c>
      <c r="P250" s="131" t="str">
        <f>IFERROR(VLOOKUP(C250,TD!$B$32:$F$36,2,0)," ")</f>
        <v>O230117</v>
      </c>
      <c r="Q250" s="131" t="str">
        <f>IFERROR(VLOOKUP(C250,TD!$B$32:$F$36,3,0)," ")</f>
        <v>4503</v>
      </c>
      <c r="R250" s="131">
        <f>IFERROR(VLOOKUP(C250,TD!$B$32:$F$36,4,0)," ")</f>
        <v>20240255</v>
      </c>
      <c r="S250" s="54" t="s">
        <v>190</v>
      </c>
      <c r="T250" s="131" t="str">
        <f>IFERROR(VLOOKUP(S250,TD!$J$33:$K$43,2,0)," ")</f>
        <v>Servicio de dotación y equipamento para el personal operativo</v>
      </c>
      <c r="U250" s="54" t="str">
        <f t="shared" si="12"/>
        <v>10-Servicio de dotación y equipamento para el personal operativo</v>
      </c>
      <c r="V250" s="54" t="s">
        <v>233</v>
      </c>
      <c r="W250" s="131" t="str">
        <f>IFERROR(VLOOKUP(V250,TD!$N$33:$O$45,2,0)," ")</f>
        <v>Servicio de atención a emergencias y desastres</v>
      </c>
      <c r="X250" s="54" t="str">
        <f t="shared" si="13"/>
        <v>004_Servicio de atención a emergencias y desastres</v>
      </c>
      <c r="Y250" s="54" t="str">
        <f t="shared" si="14"/>
        <v>10-Servicio de dotación y equipamento para el personal operativo 004_Servicio de atención a emergencias y desastres</v>
      </c>
      <c r="Z250" s="131" t="str">
        <f t="shared" si="15"/>
        <v>O23011745032024025510004</v>
      </c>
      <c r="AA250" s="131" t="str">
        <f>IFERROR(VLOOKUP(Y250,TD!$K$46:$L$64,2,0)," ")</f>
        <v>PM/0131/0110/45030040255</v>
      </c>
      <c r="AB250" s="57" t="s">
        <v>88</v>
      </c>
      <c r="AC250" s="132" t="s">
        <v>205</v>
      </c>
    </row>
    <row r="251" spans="2:29" s="28" customFormat="1" ht="42.75">
      <c r="B251" s="85">
        <v>20240998</v>
      </c>
      <c r="C251" s="53" t="s">
        <v>210</v>
      </c>
      <c r="D251" s="129" t="s">
        <v>170</v>
      </c>
      <c r="E251" s="54" t="s">
        <v>461</v>
      </c>
      <c r="F251" s="129" t="s">
        <v>496</v>
      </c>
      <c r="G251" s="129" t="s">
        <v>110</v>
      </c>
      <c r="H251" s="117">
        <v>27112100</v>
      </c>
      <c r="I251" s="130">
        <v>8</v>
      </c>
      <c r="J251" s="130">
        <v>3</v>
      </c>
      <c r="K251" s="56">
        <v>0</v>
      </c>
      <c r="L251" s="57">
        <f>125711555-25000000</f>
        <v>100711555</v>
      </c>
      <c r="M251" s="129" t="s">
        <v>173</v>
      </c>
      <c r="N251" s="57" t="s">
        <v>101</v>
      </c>
      <c r="O251" s="54" t="s">
        <v>223</v>
      </c>
      <c r="P251" s="131" t="str">
        <f>IFERROR(VLOOKUP(C251,TD!$B$32:$F$36,2,0)," ")</f>
        <v>O230117</v>
      </c>
      <c r="Q251" s="131" t="str">
        <f>IFERROR(VLOOKUP(C251,TD!$B$32:$F$36,3,0)," ")</f>
        <v>4503</v>
      </c>
      <c r="R251" s="131">
        <f>IFERROR(VLOOKUP(C251,TD!$B$32:$F$36,4,0)," ")</f>
        <v>20240255</v>
      </c>
      <c r="S251" s="54" t="s">
        <v>190</v>
      </c>
      <c r="T251" s="131" t="str">
        <f>IFERROR(VLOOKUP(S251,TD!$J$33:$K$43,2,0)," ")</f>
        <v>Servicio de dotación y equipamento para el personal operativo</v>
      </c>
      <c r="U251" s="54" t="str">
        <f t="shared" si="12"/>
        <v>10-Servicio de dotación y equipamento para el personal operativo</v>
      </c>
      <c r="V251" s="54" t="s">
        <v>233</v>
      </c>
      <c r="W251" s="131" t="str">
        <f>IFERROR(VLOOKUP(V251,TD!$N$33:$O$45,2,0)," ")</f>
        <v>Servicio de atención a emergencias y desastres</v>
      </c>
      <c r="X251" s="54" t="str">
        <f t="shared" si="13"/>
        <v>004_Servicio de atención a emergencias y desastres</v>
      </c>
      <c r="Y251" s="54" t="str">
        <f t="shared" si="14"/>
        <v>10-Servicio de dotación y equipamento para el personal operativo 004_Servicio de atención a emergencias y desastres</v>
      </c>
      <c r="Z251" s="131" t="str">
        <f t="shared" si="15"/>
        <v>O23011745032024025510004</v>
      </c>
      <c r="AA251" s="131" t="str">
        <f>IFERROR(VLOOKUP(Y251,TD!$K$46:$L$64,2,0)," ")</f>
        <v>PM/0131/0110/45030040255</v>
      </c>
      <c r="AB251" s="57" t="s">
        <v>88</v>
      </c>
      <c r="AC251" s="132" t="s">
        <v>205</v>
      </c>
    </row>
    <row r="252" spans="2:29" s="28" customFormat="1" ht="156.75">
      <c r="B252" s="85">
        <v>20240999</v>
      </c>
      <c r="C252" s="53" t="s">
        <v>210</v>
      </c>
      <c r="D252" s="129" t="s">
        <v>166</v>
      </c>
      <c r="E252" s="54" t="s">
        <v>856</v>
      </c>
      <c r="F252" s="129" t="s">
        <v>526</v>
      </c>
      <c r="G252" s="129" t="s">
        <v>120</v>
      </c>
      <c r="H252" s="117" t="s">
        <v>563</v>
      </c>
      <c r="I252" s="130">
        <v>8</v>
      </c>
      <c r="J252" s="130">
        <v>6</v>
      </c>
      <c r="K252" s="56">
        <v>0</v>
      </c>
      <c r="L252" s="57">
        <v>100000000</v>
      </c>
      <c r="M252" s="129" t="s">
        <v>173</v>
      </c>
      <c r="N252" s="57" t="s">
        <v>91</v>
      </c>
      <c r="O252" s="54" t="s">
        <v>230</v>
      </c>
      <c r="P252" s="131" t="str">
        <f>IFERROR(VLOOKUP(C252,TD!$B$32:$F$36,2,0)," ")</f>
        <v>O230117</v>
      </c>
      <c r="Q252" s="131" t="str">
        <f>IFERROR(VLOOKUP(C252,TD!$B$32:$F$36,3,0)," ")</f>
        <v>4503</v>
      </c>
      <c r="R252" s="131">
        <f>IFERROR(VLOOKUP(C252,TD!$B$32:$F$36,4,0)," ")</f>
        <v>20240255</v>
      </c>
      <c r="S252" s="54" t="s">
        <v>184</v>
      </c>
      <c r="T252" s="131" t="str">
        <f>IFERROR(VLOOKUP(S252,TD!$J$33:$K$43,2,0)," ")</f>
        <v>Servicio de formación en gestión del riesgo de incendios para el personal UAECOB</v>
      </c>
      <c r="U252" s="54" t="str">
        <f t="shared" si="12"/>
        <v>07-Servicio de formación en gestión del riesgo de incendios para el personal UAECOB</v>
      </c>
      <c r="V252" s="54" t="s">
        <v>234</v>
      </c>
      <c r="W252" s="131" t="str">
        <f>IFERROR(VLOOKUP(V252,TD!$N$33:$O$45,2,0)," ")</f>
        <v>Servicio de educación informal</v>
      </c>
      <c r="X252" s="54" t="str">
        <f t="shared" si="13"/>
        <v>002_Servicio de educación informal</v>
      </c>
      <c r="Y252" s="54" t="str">
        <f t="shared" si="14"/>
        <v>07-Servicio de formación en gestión del riesgo de incendios para el personal UAECOB 002_Servicio de educación informal</v>
      </c>
      <c r="Z252" s="131" t="str">
        <f t="shared" si="15"/>
        <v>O23011745032024025507002</v>
      </c>
      <c r="AA252" s="131" t="str">
        <f>IFERROR(VLOOKUP(Y252,TD!$K$46:$L$64,2,0)," ")</f>
        <v>PM/0131/0107/45030020255</v>
      </c>
      <c r="AB252" s="57" t="s">
        <v>103</v>
      </c>
      <c r="AC252" s="132" t="s">
        <v>205</v>
      </c>
    </row>
    <row r="253" spans="2:29" s="28" customFormat="1" ht="57">
      <c r="B253" s="85">
        <v>20241000</v>
      </c>
      <c r="C253" s="53" t="s">
        <v>210</v>
      </c>
      <c r="D253" s="129" t="s">
        <v>166</v>
      </c>
      <c r="E253" s="54" t="s">
        <v>856</v>
      </c>
      <c r="F253" s="129" t="s">
        <v>853</v>
      </c>
      <c r="G253" s="129" t="s">
        <v>120</v>
      </c>
      <c r="H253" s="117" t="s">
        <v>564</v>
      </c>
      <c r="I253" s="130">
        <v>8</v>
      </c>
      <c r="J253" s="130">
        <v>6</v>
      </c>
      <c r="K253" s="56">
        <v>0</v>
      </c>
      <c r="L253" s="57">
        <v>89445522</v>
      </c>
      <c r="M253" s="129" t="s">
        <v>173</v>
      </c>
      <c r="N253" s="57" t="s">
        <v>91</v>
      </c>
      <c r="O253" s="54" t="s">
        <v>230</v>
      </c>
      <c r="P253" s="131" t="str">
        <f>IFERROR(VLOOKUP(C253,TD!$B$32:$F$36,2,0)," ")</f>
        <v>O230117</v>
      </c>
      <c r="Q253" s="131" t="str">
        <f>IFERROR(VLOOKUP(C253,TD!$B$32:$F$36,3,0)," ")</f>
        <v>4503</v>
      </c>
      <c r="R253" s="131">
        <f>IFERROR(VLOOKUP(C253,TD!$B$32:$F$36,4,0)," ")</f>
        <v>20240255</v>
      </c>
      <c r="S253" s="54" t="s">
        <v>184</v>
      </c>
      <c r="T253" s="131" t="str">
        <f>IFERROR(VLOOKUP(S253,TD!$J$33:$K$43,2,0)," ")</f>
        <v>Servicio de formación en gestión del riesgo de incendios para el personal UAECOB</v>
      </c>
      <c r="U253" s="54" t="str">
        <f t="shared" si="12"/>
        <v>07-Servicio de formación en gestión del riesgo de incendios para el personal UAECOB</v>
      </c>
      <c r="V253" s="54" t="s">
        <v>234</v>
      </c>
      <c r="W253" s="131" t="str">
        <f>IFERROR(VLOOKUP(V253,TD!$N$33:$O$45,2,0)," ")</f>
        <v>Servicio de educación informal</v>
      </c>
      <c r="X253" s="54" t="str">
        <f t="shared" si="13"/>
        <v>002_Servicio de educación informal</v>
      </c>
      <c r="Y253" s="54" t="str">
        <f t="shared" si="14"/>
        <v>07-Servicio de formación en gestión del riesgo de incendios para el personal UAECOB 002_Servicio de educación informal</v>
      </c>
      <c r="Z253" s="131" t="str">
        <f t="shared" si="15"/>
        <v>O23011745032024025507002</v>
      </c>
      <c r="AA253" s="131" t="str">
        <f>IFERROR(VLOOKUP(Y253,TD!$K$46:$L$64,2,0)," ")</f>
        <v>PM/0131/0107/45030020255</v>
      </c>
      <c r="AB253" s="57" t="s">
        <v>139</v>
      </c>
      <c r="AC253" s="132" t="s">
        <v>205</v>
      </c>
    </row>
    <row r="254" spans="2:29" s="28" customFormat="1" ht="57">
      <c r="B254" s="85">
        <v>20241001</v>
      </c>
      <c r="C254" s="53" t="s">
        <v>210</v>
      </c>
      <c r="D254" s="129" t="s">
        <v>166</v>
      </c>
      <c r="E254" s="54" t="s">
        <v>856</v>
      </c>
      <c r="F254" s="129" t="s">
        <v>527</v>
      </c>
      <c r="G254" s="129" t="s">
        <v>120</v>
      </c>
      <c r="H254" s="117">
        <v>80111600</v>
      </c>
      <c r="I254" s="130">
        <v>8</v>
      </c>
      <c r="J254" s="130">
        <v>6</v>
      </c>
      <c r="K254" s="56">
        <v>0</v>
      </c>
      <c r="L254" s="57">
        <v>18000000</v>
      </c>
      <c r="M254" s="129" t="s">
        <v>173</v>
      </c>
      <c r="N254" s="57" t="s">
        <v>101</v>
      </c>
      <c r="O254" s="54" t="s">
        <v>230</v>
      </c>
      <c r="P254" s="131" t="str">
        <f>IFERROR(VLOOKUP(C254,TD!$B$32:$F$36,2,0)," ")</f>
        <v>O230117</v>
      </c>
      <c r="Q254" s="131" t="str">
        <f>IFERROR(VLOOKUP(C254,TD!$B$32:$F$36,3,0)," ")</f>
        <v>4503</v>
      </c>
      <c r="R254" s="131">
        <f>IFERROR(VLOOKUP(C254,TD!$B$32:$F$36,4,0)," ")</f>
        <v>20240255</v>
      </c>
      <c r="S254" s="54" t="s">
        <v>184</v>
      </c>
      <c r="T254" s="131" t="str">
        <f>IFERROR(VLOOKUP(S254,TD!$J$33:$K$43,2,0)," ")</f>
        <v>Servicio de formación en gestión del riesgo de incendios para el personal UAECOB</v>
      </c>
      <c r="U254" s="54" t="str">
        <f t="shared" si="12"/>
        <v>07-Servicio de formación en gestión del riesgo de incendios para el personal UAECOB</v>
      </c>
      <c r="V254" s="54" t="s">
        <v>234</v>
      </c>
      <c r="W254" s="131" t="str">
        <f>IFERROR(VLOOKUP(V254,TD!$N$33:$O$45,2,0)," ")</f>
        <v>Servicio de educación informal</v>
      </c>
      <c r="X254" s="54" t="str">
        <f t="shared" si="13"/>
        <v>002_Servicio de educación informal</v>
      </c>
      <c r="Y254" s="54" t="str">
        <f t="shared" si="14"/>
        <v>07-Servicio de formación en gestión del riesgo de incendios para el personal UAECOB 002_Servicio de educación informal</v>
      </c>
      <c r="Z254" s="131" t="str">
        <f t="shared" si="15"/>
        <v>O23011745032024025507002</v>
      </c>
      <c r="AA254" s="131" t="str">
        <f>IFERROR(VLOOKUP(Y254,TD!$K$46:$L$64,2,0)," ")</f>
        <v>PM/0131/0107/45030020255</v>
      </c>
      <c r="AB254" s="57" t="s">
        <v>139</v>
      </c>
      <c r="AC254" s="132" t="s">
        <v>205</v>
      </c>
    </row>
    <row r="255" spans="2:29" s="28" customFormat="1" ht="57">
      <c r="B255" s="85">
        <v>20241002</v>
      </c>
      <c r="C255" s="53" t="s">
        <v>210</v>
      </c>
      <c r="D255" s="129" t="s">
        <v>166</v>
      </c>
      <c r="E255" s="54" t="s">
        <v>856</v>
      </c>
      <c r="F255" s="129" t="s">
        <v>528</v>
      </c>
      <c r="G255" s="129" t="s">
        <v>120</v>
      </c>
      <c r="H255" s="117" t="s">
        <v>565</v>
      </c>
      <c r="I255" s="130">
        <v>8</v>
      </c>
      <c r="J255" s="130">
        <v>8</v>
      </c>
      <c r="K255" s="56">
        <v>0</v>
      </c>
      <c r="L255" s="57">
        <f>50954571-1710179-20000000</f>
        <v>29244392</v>
      </c>
      <c r="M255" s="129" t="s">
        <v>173</v>
      </c>
      <c r="N255" s="57" t="s">
        <v>101</v>
      </c>
      <c r="O255" s="54" t="s">
        <v>230</v>
      </c>
      <c r="P255" s="131" t="str">
        <f>IFERROR(VLOOKUP(C255,TD!$B$32:$F$36,2,0)," ")</f>
        <v>O230117</v>
      </c>
      <c r="Q255" s="131" t="str">
        <f>IFERROR(VLOOKUP(C255,TD!$B$32:$F$36,3,0)," ")</f>
        <v>4503</v>
      </c>
      <c r="R255" s="131">
        <f>IFERROR(VLOOKUP(C255,TD!$B$32:$F$36,4,0)," ")</f>
        <v>20240255</v>
      </c>
      <c r="S255" s="54" t="s">
        <v>184</v>
      </c>
      <c r="T255" s="131" t="str">
        <f>IFERROR(VLOOKUP(S255,TD!$J$33:$K$43,2,0)," ")</f>
        <v>Servicio de formación en gestión del riesgo de incendios para el personal UAECOB</v>
      </c>
      <c r="U255" s="54" t="str">
        <f t="shared" si="12"/>
        <v>07-Servicio de formación en gestión del riesgo de incendios para el personal UAECOB</v>
      </c>
      <c r="V255" s="54" t="s">
        <v>234</v>
      </c>
      <c r="W255" s="131" t="str">
        <f>IFERROR(VLOOKUP(V255,TD!$N$33:$O$45,2,0)," ")</f>
        <v>Servicio de educación informal</v>
      </c>
      <c r="X255" s="54" t="str">
        <f t="shared" si="13"/>
        <v>002_Servicio de educación informal</v>
      </c>
      <c r="Y255" s="54" t="str">
        <f t="shared" si="14"/>
        <v>07-Servicio de formación en gestión del riesgo de incendios para el personal UAECOB 002_Servicio de educación informal</v>
      </c>
      <c r="Z255" s="131" t="str">
        <f t="shared" si="15"/>
        <v>O23011745032024025507002</v>
      </c>
      <c r="AA255" s="131" t="str">
        <f>IFERROR(VLOOKUP(Y255,TD!$K$46:$L$64,2,0)," ")</f>
        <v>PM/0131/0107/45030020255</v>
      </c>
      <c r="AB255" s="57" t="s">
        <v>139</v>
      </c>
      <c r="AC255" s="132" t="s">
        <v>205</v>
      </c>
    </row>
    <row r="256" spans="2:29" s="28" customFormat="1" ht="57">
      <c r="B256" s="85">
        <v>20241003</v>
      </c>
      <c r="C256" s="53" t="s">
        <v>210</v>
      </c>
      <c r="D256" s="129" t="s">
        <v>166</v>
      </c>
      <c r="E256" s="54" t="s">
        <v>856</v>
      </c>
      <c r="F256" s="129" t="s">
        <v>529</v>
      </c>
      <c r="G256" s="129" t="s">
        <v>120</v>
      </c>
      <c r="H256" s="117" t="s">
        <v>854</v>
      </c>
      <c r="I256" s="130">
        <v>8</v>
      </c>
      <c r="J256" s="130">
        <v>6</v>
      </c>
      <c r="K256" s="56">
        <v>0</v>
      </c>
      <c r="L256" s="57">
        <f>298736478+1710179</f>
        <v>300446657</v>
      </c>
      <c r="M256" s="129" t="s">
        <v>173</v>
      </c>
      <c r="N256" s="57" t="s">
        <v>91</v>
      </c>
      <c r="O256" s="54" t="s">
        <v>230</v>
      </c>
      <c r="P256" s="131" t="str">
        <f>IFERROR(VLOOKUP(C256,TD!$B$32:$F$36,2,0)," ")</f>
        <v>O230117</v>
      </c>
      <c r="Q256" s="131" t="str">
        <f>IFERROR(VLOOKUP(C256,TD!$B$32:$F$36,3,0)," ")</f>
        <v>4503</v>
      </c>
      <c r="R256" s="131">
        <f>IFERROR(VLOOKUP(C256,TD!$B$32:$F$36,4,0)," ")</f>
        <v>20240255</v>
      </c>
      <c r="S256" s="54" t="s">
        <v>184</v>
      </c>
      <c r="T256" s="131" t="str">
        <f>IFERROR(VLOOKUP(S256,TD!$J$33:$K$43,2,0)," ")</f>
        <v>Servicio de formación en gestión del riesgo de incendios para el personal UAECOB</v>
      </c>
      <c r="U256" s="54" t="str">
        <f t="shared" si="12"/>
        <v>07-Servicio de formación en gestión del riesgo de incendios para el personal UAECOB</v>
      </c>
      <c r="V256" s="54" t="s">
        <v>234</v>
      </c>
      <c r="W256" s="131" t="str">
        <f>IFERROR(VLOOKUP(V256,TD!$N$33:$O$45,2,0)," ")</f>
        <v>Servicio de educación informal</v>
      </c>
      <c r="X256" s="54" t="str">
        <f t="shared" si="13"/>
        <v>002_Servicio de educación informal</v>
      </c>
      <c r="Y256" s="54" t="str">
        <f t="shared" si="14"/>
        <v>07-Servicio de formación en gestión del riesgo de incendios para el personal UAECOB 002_Servicio de educación informal</v>
      </c>
      <c r="Z256" s="131" t="str">
        <f t="shared" si="15"/>
        <v>O23011745032024025507002</v>
      </c>
      <c r="AA256" s="131" t="str">
        <f>IFERROR(VLOOKUP(Y256,TD!$K$46:$L$64,2,0)," ")</f>
        <v>PM/0131/0107/45030020255</v>
      </c>
      <c r="AB256" s="57" t="s">
        <v>139</v>
      </c>
      <c r="AC256" s="132" t="s">
        <v>205</v>
      </c>
    </row>
    <row r="257" spans="2:29" s="28" customFormat="1" ht="57">
      <c r="B257" s="85">
        <v>20241004</v>
      </c>
      <c r="C257" s="53" t="s">
        <v>210</v>
      </c>
      <c r="D257" s="129" t="s">
        <v>166</v>
      </c>
      <c r="E257" s="54" t="s">
        <v>856</v>
      </c>
      <c r="F257" s="129" t="s">
        <v>530</v>
      </c>
      <c r="G257" s="129" t="s">
        <v>120</v>
      </c>
      <c r="H257" s="117">
        <v>15111501</v>
      </c>
      <c r="I257" s="130">
        <v>8</v>
      </c>
      <c r="J257" s="130">
        <v>6</v>
      </c>
      <c r="K257" s="56">
        <v>0</v>
      </c>
      <c r="L257" s="57">
        <v>10000000</v>
      </c>
      <c r="M257" s="129" t="s">
        <v>173</v>
      </c>
      <c r="N257" s="57" t="s">
        <v>101</v>
      </c>
      <c r="O257" s="54" t="s">
        <v>230</v>
      </c>
      <c r="P257" s="131" t="str">
        <f>IFERROR(VLOOKUP(C257,TD!$B$32:$F$36,2,0)," ")</f>
        <v>O230117</v>
      </c>
      <c r="Q257" s="131" t="str">
        <f>IFERROR(VLOOKUP(C257,TD!$B$32:$F$36,3,0)," ")</f>
        <v>4503</v>
      </c>
      <c r="R257" s="131">
        <f>IFERROR(VLOOKUP(C257,TD!$B$32:$F$36,4,0)," ")</f>
        <v>20240255</v>
      </c>
      <c r="S257" s="54" t="s">
        <v>184</v>
      </c>
      <c r="T257" s="131" t="str">
        <f>IFERROR(VLOOKUP(S257,TD!$J$33:$K$43,2,0)," ")</f>
        <v>Servicio de formación en gestión del riesgo de incendios para el personal UAECOB</v>
      </c>
      <c r="U257" s="54" t="str">
        <f t="shared" si="12"/>
        <v>07-Servicio de formación en gestión del riesgo de incendios para el personal UAECOB</v>
      </c>
      <c r="V257" s="54" t="s">
        <v>234</v>
      </c>
      <c r="W257" s="131" t="str">
        <f>IFERROR(VLOOKUP(V257,TD!$N$33:$O$45,2,0)," ")</f>
        <v>Servicio de educación informal</v>
      </c>
      <c r="X257" s="54" t="str">
        <f t="shared" si="13"/>
        <v>002_Servicio de educación informal</v>
      </c>
      <c r="Y257" s="54" t="str">
        <f t="shared" si="14"/>
        <v>07-Servicio de formación en gestión del riesgo de incendios para el personal UAECOB 002_Servicio de educación informal</v>
      </c>
      <c r="Z257" s="131" t="str">
        <f t="shared" si="15"/>
        <v>O23011745032024025507002</v>
      </c>
      <c r="AA257" s="131" t="str">
        <f>IFERROR(VLOOKUP(Y257,TD!$K$46:$L$64,2,0)," ")</f>
        <v>PM/0131/0107/45030020255</v>
      </c>
      <c r="AB257" s="57" t="s">
        <v>93</v>
      </c>
      <c r="AC257" s="132" t="s">
        <v>205</v>
      </c>
    </row>
    <row r="258" spans="2:29" s="28" customFormat="1" ht="71.25">
      <c r="B258" s="85">
        <v>20241005</v>
      </c>
      <c r="C258" s="53" t="s">
        <v>210</v>
      </c>
      <c r="D258" s="129" t="s">
        <v>166</v>
      </c>
      <c r="E258" s="54" t="s">
        <v>856</v>
      </c>
      <c r="F258" s="129" t="s">
        <v>531</v>
      </c>
      <c r="G258" s="129" t="s">
        <v>102</v>
      </c>
      <c r="H258" s="117" t="s">
        <v>566</v>
      </c>
      <c r="I258" s="130">
        <v>8</v>
      </c>
      <c r="J258" s="130">
        <v>4</v>
      </c>
      <c r="K258" s="56">
        <v>0</v>
      </c>
      <c r="L258" s="57">
        <v>90000000</v>
      </c>
      <c r="M258" s="129" t="s">
        <v>173</v>
      </c>
      <c r="N258" s="57" t="s">
        <v>91</v>
      </c>
      <c r="O258" s="54" t="s">
        <v>230</v>
      </c>
      <c r="P258" s="131" t="str">
        <f>IFERROR(VLOOKUP(C258,TD!$B$32:$F$36,2,0)," ")</f>
        <v>O230117</v>
      </c>
      <c r="Q258" s="131" t="str">
        <f>IFERROR(VLOOKUP(C258,TD!$B$32:$F$36,3,0)," ")</f>
        <v>4503</v>
      </c>
      <c r="R258" s="131">
        <f>IFERROR(VLOOKUP(C258,TD!$B$32:$F$36,4,0)," ")</f>
        <v>20240255</v>
      </c>
      <c r="S258" s="54" t="s">
        <v>184</v>
      </c>
      <c r="T258" s="131" t="str">
        <f>IFERROR(VLOOKUP(S258,TD!$J$33:$K$43,2,0)," ")</f>
        <v>Servicio de formación en gestión del riesgo de incendios para el personal UAECOB</v>
      </c>
      <c r="U258" s="54" t="str">
        <f t="shared" si="12"/>
        <v>07-Servicio de formación en gestión del riesgo de incendios para el personal UAECOB</v>
      </c>
      <c r="V258" s="54" t="s">
        <v>234</v>
      </c>
      <c r="W258" s="131" t="str">
        <f>IFERROR(VLOOKUP(V258,TD!$N$33:$O$45,2,0)," ")</f>
        <v>Servicio de educación informal</v>
      </c>
      <c r="X258" s="54" t="str">
        <f t="shared" si="13"/>
        <v>002_Servicio de educación informal</v>
      </c>
      <c r="Y258" s="54" t="str">
        <f t="shared" si="14"/>
        <v>07-Servicio de formación en gestión del riesgo de incendios para el personal UAECOB 002_Servicio de educación informal</v>
      </c>
      <c r="Z258" s="131" t="str">
        <f t="shared" si="15"/>
        <v>O23011745032024025507002</v>
      </c>
      <c r="AA258" s="131" t="str">
        <f>IFERROR(VLOOKUP(Y258,TD!$K$46:$L$64,2,0)," ")</f>
        <v>PM/0131/0107/45030020255</v>
      </c>
      <c r="AB258" s="57" t="s">
        <v>139</v>
      </c>
      <c r="AC258" s="132" t="s">
        <v>205</v>
      </c>
    </row>
    <row r="259" spans="2:29" s="28" customFormat="1" ht="57">
      <c r="B259" s="85">
        <v>20241008</v>
      </c>
      <c r="C259" s="53" t="s">
        <v>210</v>
      </c>
      <c r="D259" s="129" t="s">
        <v>166</v>
      </c>
      <c r="E259" s="54" t="s">
        <v>856</v>
      </c>
      <c r="F259" s="129" t="s">
        <v>534</v>
      </c>
      <c r="G259" s="129" t="s">
        <v>156</v>
      </c>
      <c r="H259" s="117">
        <v>80111600</v>
      </c>
      <c r="I259" s="130">
        <v>8</v>
      </c>
      <c r="J259" s="130">
        <v>4</v>
      </c>
      <c r="K259" s="56">
        <v>15</v>
      </c>
      <c r="L259" s="57">
        <v>33750000</v>
      </c>
      <c r="M259" s="129" t="s">
        <v>173</v>
      </c>
      <c r="N259" s="57" t="s">
        <v>114</v>
      </c>
      <c r="O259" s="54" t="s">
        <v>230</v>
      </c>
      <c r="P259" s="131" t="str">
        <f>IFERROR(VLOOKUP(C259,TD!$B$32:$F$36,2,0)," ")</f>
        <v>O230117</v>
      </c>
      <c r="Q259" s="131" t="str">
        <f>IFERROR(VLOOKUP(C259,TD!$B$32:$F$36,3,0)," ")</f>
        <v>4503</v>
      </c>
      <c r="R259" s="131">
        <f>IFERROR(VLOOKUP(C259,TD!$B$32:$F$36,4,0)," ")</f>
        <v>20240255</v>
      </c>
      <c r="S259" s="54" t="s">
        <v>184</v>
      </c>
      <c r="T259" s="131" t="str">
        <f>IFERROR(VLOOKUP(S259,TD!$J$33:$K$43,2,0)," ")</f>
        <v>Servicio de formación en gestión del riesgo de incendios para el personal UAECOB</v>
      </c>
      <c r="U259" s="54" t="str">
        <f t="shared" si="12"/>
        <v>07-Servicio de formación en gestión del riesgo de incendios para el personal UAECOB</v>
      </c>
      <c r="V259" s="54" t="s">
        <v>234</v>
      </c>
      <c r="W259" s="131" t="str">
        <f>IFERROR(VLOOKUP(V259,TD!$N$33:$O$45,2,0)," ")</f>
        <v>Servicio de educación informal</v>
      </c>
      <c r="X259" s="54" t="str">
        <f t="shared" si="13"/>
        <v>002_Servicio de educación informal</v>
      </c>
      <c r="Y259" s="54" t="str">
        <f t="shared" si="14"/>
        <v>07-Servicio de formación en gestión del riesgo de incendios para el personal UAECOB 002_Servicio de educación informal</v>
      </c>
      <c r="Z259" s="131" t="str">
        <f t="shared" si="15"/>
        <v>O23011745032024025507002</v>
      </c>
      <c r="AA259" s="131" t="str">
        <f>IFERROR(VLOOKUP(Y259,TD!$K$46:$L$64,2,0)," ")</f>
        <v>PM/0131/0107/45030020255</v>
      </c>
      <c r="AB259" s="57" t="s">
        <v>139</v>
      </c>
      <c r="AC259" s="132" t="s">
        <v>205</v>
      </c>
    </row>
    <row r="260" spans="2:29" s="28" customFormat="1" ht="57">
      <c r="B260" s="85">
        <v>20241009</v>
      </c>
      <c r="C260" s="53" t="s">
        <v>210</v>
      </c>
      <c r="D260" s="129" t="s">
        <v>166</v>
      </c>
      <c r="E260" s="54" t="s">
        <v>856</v>
      </c>
      <c r="F260" s="129" t="s">
        <v>535</v>
      </c>
      <c r="G260" s="129" t="s">
        <v>156</v>
      </c>
      <c r="H260" s="117">
        <v>80111600</v>
      </c>
      <c r="I260" s="130">
        <v>9</v>
      </c>
      <c r="J260" s="130">
        <v>3</v>
      </c>
      <c r="K260" s="56">
        <v>15</v>
      </c>
      <c r="L260" s="57">
        <v>26250000</v>
      </c>
      <c r="M260" s="129" t="s">
        <v>173</v>
      </c>
      <c r="N260" s="57" t="s">
        <v>114</v>
      </c>
      <c r="O260" s="54" t="s">
        <v>230</v>
      </c>
      <c r="P260" s="131" t="str">
        <f>IFERROR(VLOOKUP(C260,TD!$B$32:$F$36,2,0)," ")</f>
        <v>O230117</v>
      </c>
      <c r="Q260" s="131" t="str">
        <f>IFERROR(VLOOKUP(C260,TD!$B$32:$F$36,3,0)," ")</f>
        <v>4503</v>
      </c>
      <c r="R260" s="131">
        <f>IFERROR(VLOOKUP(C260,TD!$B$32:$F$36,4,0)," ")</f>
        <v>20240255</v>
      </c>
      <c r="S260" s="54" t="s">
        <v>184</v>
      </c>
      <c r="T260" s="131" t="str">
        <f>IFERROR(VLOOKUP(S260,TD!$J$33:$K$43,2,0)," ")</f>
        <v>Servicio de formación en gestión del riesgo de incendios para el personal UAECOB</v>
      </c>
      <c r="U260" s="54" t="str">
        <f t="shared" si="12"/>
        <v>07-Servicio de formación en gestión del riesgo de incendios para el personal UAECOB</v>
      </c>
      <c r="V260" s="54" t="s">
        <v>234</v>
      </c>
      <c r="W260" s="131" t="str">
        <f>IFERROR(VLOOKUP(V260,TD!$N$33:$O$45,2,0)," ")</f>
        <v>Servicio de educación informal</v>
      </c>
      <c r="X260" s="54" t="str">
        <f t="shared" si="13"/>
        <v>002_Servicio de educación informal</v>
      </c>
      <c r="Y260" s="54" t="str">
        <f t="shared" si="14"/>
        <v>07-Servicio de formación en gestión del riesgo de incendios para el personal UAECOB 002_Servicio de educación informal</v>
      </c>
      <c r="Z260" s="131" t="str">
        <f t="shared" si="15"/>
        <v>O23011745032024025507002</v>
      </c>
      <c r="AA260" s="131" t="str">
        <f>IFERROR(VLOOKUP(Y260,TD!$K$46:$L$64,2,0)," ")</f>
        <v>PM/0131/0107/45030020255</v>
      </c>
      <c r="AB260" s="57" t="s">
        <v>139</v>
      </c>
      <c r="AC260" s="132" t="s">
        <v>205</v>
      </c>
    </row>
    <row r="261" spans="2:29" s="28" customFormat="1" ht="57">
      <c r="B261" s="85">
        <v>20241010</v>
      </c>
      <c r="C261" s="53" t="s">
        <v>210</v>
      </c>
      <c r="D261" s="129" t="s">
        <v>166</v>
      </c>
      <c r="E261" s="54" t="s">
        <v>856</v>
      </c>
      <c r="F261" s="129" t="s">
        <v>536</v>
      </c>
      <c r="G261" s="129" t="s">
        <v>156</v>
      </c>
      <c r="H261" s="117">
        <v>80111600</v>
      </c>
      <c r="I261" s="130">
        <v>10</v>
      </c>
      <c r="J261" s="130">
        <v>2</v>
      </c>
      <c r="K261" s="56">
        <v>0</v>
      </c>
      <c r="L261" s="57">
        <v>12028000</v>
      </c>
      <c r="M261" s="129" t="s">
        <v>173</v>
      </c>
      <c r="N261" s="57" t="s">
        <v>114</v>
      </c>
      <c r="O261" s="54" t="s">
        <v>230</v>
      </c>
      <c r="P261" s="131" t="str">
        <f>IFERROR(VLOOKUP(C261,TD!$B$32:$F$36,2,0)," ")</f>
        <v>O230117</v>
      </c>
      <c r="Q261" s="131" t="str">
        <f>IFERROR(VLOOKUP(C261,TD!$B$32:$F$36,3,0)," ")</f>
        <v>4503</v>
      </c>
      <c r="R261" s="131">
        <f>IFERROR(VLOOKUP(C261,TD!$B$32:$F$36,4,0)," ")</f>
        <v>20240255</v>
      </c>
      <c r="S261" s="54" t="s">
        <v>184</v>
      </c>
      <c r="T261" s="131" t="str">
        <f>IFERROR(VLOOKUP(S261,TD!$J$33:$K$43,2,0)," ")</f>
        <v>Servicio de formación en gestión del riesgo de incendios para el personal UAECOB</v>
      </c>
      <c r="U261" s="54" t="str">
        <f t="shared" si="12"/>
        <v>07-Servicio de formación en gestión del riesgo de incendios para el personal UAECOB</v>
      </c>
      <c r="V261" s="54" t="s">
        <v>234</v>
      </c>
      <c r="W261" s="131" t="str">
        <f>IFERROR(VLOOKUP(V261,TD!$N$33:$O$45,2,0)," ")</f>
        <v>Servicio de educación informal</v>
      </c>
      <c r="X261" s="54" t="str">
        <f t="shared" si="13"/>
        <v>002_Servicio de educación informal</v>
      </c>
      <c r="Y261" s="54" t="str">
        <f t="shared" si="14"/>
        <v>07-Servicio de formación en gestión del riesgo de incendios para el personal UAECOB 002_Servicio de educación informal</v>
      </c>
      <c r="Z261" s="131" t="str">
        <f t="shared" si="15"/>
        <v>O23011745032024025507002</v>
      </c>
      <c r="AA261" s="131" t="str">
        <f>IFERROR(VLOOKUP(Y261,TD!$K$46:$L$64,2,0)," ")</f>
        <v>PM/0131/0107/45030020255</v>
      </c>
      <c r="AB261" s="57" t="s">
        <v>139</v>
      </c>
      <c r="AC261" s="132" t="s">
        <v>205</v>
      </c>
    </row>
    <row r="262" spans="2:29" s="28" customFormat="1" ht="57">
      <c r="B262" s="85">
        <v>20241011</v>
      </c>
      <c r="C262" s="53" t="s">
        <v>210</v>
      </c>
      <c r="D262" s="129" t="s">
        <v>166</v>
      </c>
      <c r="E262" s="54" t="s">
        <v>856</v>
      </c>
      <c r="F262" s="129" t="s">
        <v>537</v>
      </c>
      <c r="G262" s="129" t="s">
        <v>156</v>
      </c>
      <c r="H262" s="117">
        <v>80111600</v>
      </c>
      <c r="I262" s="130">
        <v>11</v>
      </c>
      <c r="J262" s="130">
        <v>1</v>
      </c>
      <c r="K262" s="56">
        <v>15</v>
      </c>
      <c r="L262" s="57">
        <v>9021000</v>
      </c>
      <c r="M262" s="129" t="s">
        <v>173</v>
      </c>
      <c r="N262" s="57" t="s">
        <v>114</v>
      </c>
      <c r="O262" s="54" t="s">
        <v>230</v>
      </c>
      <c r="P262" s="131" t="str">
        <f>IFERROR(VLOOKUP(C262,TD!$B$32:$F$36,2,0)," ")</f>
        <v>O230117</v>
      </c>
      <c r="Q262" s="131" t="str">
        <f>IFERROR(VLOOKUP(C262,TD!$B$32:$F$36,3,0)," ")</f>
        <v>4503</v>
      </c>
      <c r="R262" s="131">
        <f>IFERROR(VLOOKUP(C262,TD!$B$32:$F$36,4,0)," ")</f>
        <v>20240255</v>
      </c>
      <c r="S262" s="54" t="s">
        <v>184</v>
      </c>
      <c r="T262" s="131" t="str">
        <f>IFERROR(VLOOKUP(S262,TD!$J$33:$K$43,2,0)," ")</f>
        <v>Servicio de formación en gestión del riesgo de incendios para el personal UAECOB</v>
      </c>
      <c r="U262" s="54" t="str">
        <f t="shared" si="12"/>
        <v>07-Servicio de formación en gestión del riesgo de incendios para el personal UAECOB</v>
      </c>
      <c r="V262" s="54" t="s">
        <v>234</v>
      </c>
      <c r="W262" s="131" t="str">
        <f>IFERROR(VLOOKUP(V262,TD!$N$33:$O$45,2,0)," ")</f>
        <v>Servicio de educación informal</v>
      </c>
      <c r="X262" s="54" t="str">
        <f t="shared" si="13"/>
        <v>002_Servicio de educación informal</v>
      </c>
      <c r="Y262" s="54" t="str">
        <f t="shared" si="14"/>
        <v>07-Servicio de formación en gestión del riesgo de incendios para el personal UAECOB 002_Servicio de educación informal</v>
      </c>
      <c r="Z262" s="131" t="str">
        <f t="shared" si="15"/>
        <v>O23011745032024025507002</v>
      </c>
      <c r="AA262" s="131" t="str">
        <f>IFERROR(VLOOKUP(Y262,TD!$K$46:$L$64,2,0)," ")</f>
        <v>PM/0131/0107/45030020255</v>
      </c>
      <c r="AB262" s="57" t="s">
        <v>139</v>
      </c>
      <c r="AC262" s="132" t="s">
        <v>205</v>
      </c>
    </row>
    <row r="263" spans="2:29" s="28" customFormat="1" ht="57">
      <c r="B263" s="85">
        <v>20241012</v>
      </c>
      <c r="C263" s="53" t="s">
        <v>210</v>
      </c>
      <c r="D263" s="129" t="s">
        <v>166</v>
      </c>
      <c r="E263" s="54" t="s">
        <v>856</v>
      </c>
      <c r="F263" s="129" t="s">
        <v>538</v>
      </c>
      <c r="G263" s="129" t="s">
        <v>156</v>
      </c>
      <c r="H263" s="117">
        <v>80111600</v>
      </c>
      <c r="I263" s="130">
        <v>8</v>
      </c>
      <c r="J263" s="130">
        <v>5</v>
      </c>
      <c r="K263" s="56">
        <v>0</v>
      </c>
      <c r="L263" s="57">
        <f>27355000+2645000</f>
        <v>30000000</v>
      </c>
      <c r="M263" s="129" t="s">
        <v>173</v>
      </c>
      <c r="N263" s="57" t="s">
        <v>114</v>
      </c>
      <c r="O263" s="54" t="s">
        <v>230</v>
      </c>
      <c r="P263" s="131" t="str">
        <f>IFERROR(VLOOKUP(C263,TD!$B$32:$F$36,2,0)," ")</f>
        <v>O230117</v>
      </c>
      <c r="Q263" s="131" t="str">
        <f>IFERROR(VLOOKUP(C263,TD!$B$32:$F$36,3,0)," ")</f>
        <v>4503</v>
      </c>
      <c r="R263" s="131">
        <f>IFERROR(VLOOKUP(C263,TD!$B$32:$F$36,4,0)," ")</f>
        <v>20240255</v>
      </c>
      <c r="S263" s="54" t="s">
        <v>184</v>
      </c>
      <c r="T263" s="131" t="str">
        <f>IFERROR(VLOOKUP(S263,TD!$J$33:$K$43,2,0)," ")</f>
        <v>Servicio de formación en gestión del riesgo de incendios para el personal UAECOB</v>
      </c>
      <c r="U263" s="54" t="str">
        <f t="shared" si="12"/>
        <v>07-Servicio de formación en gestión del riesgo de incendios para el personal UAECOB</v>
      </c>
      <c r="V263" s="54" t="s">
        <v>234</v>
      </c>
      <c r="W263" s="131" t="str">
        <f>IFERROR(VLOOKUP(V263,TD!$N$33:$O$45,2,0)," ")</f>
        <v>Servicio de educación informal</v>
      </c>
      <c r="X263" s="54" t="str">
        <f t="shared" si="13"/>
        <v>002_Servicio de educación informal</v>
      </c>
      <c r="Y263" s="54" t="str">
        <f t="shared" si="14"/>
        <v>07-Servicio de formación en gestión del riesgo de incendios para el personal UAECOB 002_Servicio de educación informal</v>
      </c>
      <c r="Z263" s="131" t="str">
        <f t="shared" si="15"/>
        <v>O23011745032024025507002</v>
      </c>
      <c r="AA263" s="131" t="str">
        <f>IFERROR(VLOOKUP(Y263,TD!$K$46:$L$64,2,0)," ")</f>
        <v>PM/0131/0107/45030020255</v>
      </c>
      <c r="AB263" s="57" t="s">
        <v>139</v>
      </c>
      <c r="AC263" s="132" t="s">
        <v>205</v>
      </c>
    </row>
    <row r="264" spans="2:29" s="28" customFormat="1" ht="57">
      <c r="B264" s="85">
        <v>20241013</v>
      </c>
      <c r="C264" s="53" t="s">
        <v>210</v>
      </c>
      <c r="D264" s="129" t="s">
        <v>166</v>
      </c>
      <c r="E264" s="54" t="s">
        <v>856</v>
      </c>
      <c r="F264" s="129" t="s">
        <v>539</v>
      </c>
      <c r="G264" s="129" t="s">
        <v>156</v>
      </c>
      <c r="H264" s="117">
        <v>80111600</v>
      </c>
      <c r="I264" s="130">
        <v>8</v>
      </c>
      <c r="J264" s="130">
        <v>5</v>
      </c>
      <c r="K264" s="56">
        <v>0</v>
      </c>
      <c r="L264" s="57">
        <f>13677500+13677500</f>
        <v>27355000</v>
      </c>
      <c r="M264" s="129" t="s">
        <v>173</v>
      </c>
      <c r="N264" s="57" t="s">
        <v>114</v>
      </c>
      <c r="O264" s="54" t="s">
        <v>230</v>
      </c>
      <c r="P264" s="131" t="str">
        <f>IFERROR(VLOOKUP(C264,TD!$B$32:$F$36,2,0)," ")</f>
        <v>O230117</v>
      </c>
      <c r="Q264" s="131" t="str">
        <f>IFERROR(VLOOKUP(C264,TD!$B$32:$F$36,3,0)," ")</f>
        <v>4503</v>
      </c>
      <c r="R264" s="131">
        <f>IFERROR(VLOOKUP(C264,TD!$B$32:$F$36,4,0)," ")</f>
        <v>20240255</v>
      </c>
      <c r="S264" s="54" t="s">
        <v>184</v>
      </c>
      <c r="T264" s="131" t="str">
        <f>IFERROR(VLOOKUP(S264,TD!$J$33:$K$43,2,0)," ")</f>
        <v>Servicio de formación en gestión del riesgo de incendios para el personal UAECOB</v>
      </c>
      <c r="U264" s="54" t="str">
        <f t="shared" si="12"/>
        <v>07-Servicio de formación en gestión del riesgo de incendios para el personal UAECOB</v>
      </c>
      <c r="V264" s="54" t="s">
        <v>234</v>
      </c>
      <c r="W264" s="131" t="str">
        <f>IFERROR(VLOOKUP(V264,TD!$N$33:$O$45,2,0)," ")</f>
        <v>Servicio de educación informal</v>
      </c>
      <c r="X264" s="54" t="str">
        <f t="shared" si="13"/>
        <v>002_Servicio de educación informal</v>
      </c>
      <c r="Y264" s="54" t="str">
        <f t="shared" si="14"/>
        <v>07-Servicio de formación en gestión del riesgo de incendios para el personal UAECOB 002_Servicio de educación informal</v>
      </c>
      <c r="Z264" s="131" t="str">
        <f t="shared" si="15"/>
        <v>O23011745032024025507002</v>
      </c>
      <c r="AA264" s="131" t="str">
        <f>IFERROR(VLOOKUP(Y264,TD!$K$46:$L$64,2,0)," ")</f>
        <v>PM/0131/0107/45030020255</v>
      </c>
      <c r="AB264" s="57" t="s">
        <v>139</v>
      </c>
      <c r="AC264" s="132" t="s">
        <v>205</v>
      </c>
    </row>
    <row r="265" spans="2:29" s="28" customFormat="1" ht="57">
      <c r="B265" s="85">
        <v>20241014</v>
      </c>
      <c r="C265" s="53" t="s">
        <v>210</v>
      </c>
      <c r="D265" s="129" t="s">
        <v>166</v>
      </c>
      <c r="E265" s="54" t="s">
        <v>856</v>
      </c>
      <c r="F265" s="129" t="s">
        <v>540</v>
      </c>
      <c r="G265" s="129" t="s">
        <v>156</v>
      </c>
      <c r="H265" s="117">
        <v>80111600</v>
      </c>
      <c r="I265" s="130">
        <v>10</v>
      </c>
      <c r="J265" s="130">
        <v>2</v>
      </c>
      <c r="K265" s="56">
        <v>2</v>
      </c>
      <c r="L265" s="57">
        <v>10942000</v>
      </c>
      <c r="M265" s="129" t="s">
        <v>173</v>
      </c>
      <c r="N265" s="57" t="s">
        <v>114</v>
      </c>
      <c r="O265" s="54" t="s">
        <v>230</v>
      </c>
      <c r="P265" s="131" t="str">
        <f>IFERROR(VLOOKUP(C265,TD!$B$32:$F$36,2,0)," ")</f>
        <v>O230117</v>
      </c>
      <c r="Q265" s="131" t="str">
        <f>IFERROR(VLOOKUP(C265,TD!$B$32:$F$36,3,0)," ")</f>
        <v>4503</v>
      </c>
      <c r="R265" s="131">
        <f>IFERROR(VLOOKUP(C265,TD!$B$32:$F$36,4,0)," ")</f>
        <v>20240255</v>
      </c>
      <c r="S265" s="54" t="s">
        <v>184</v>
      </c>
      <c r="T265" s="131" t="str">
        <f>IFERROR(VLOOKUP(S265,TD!$J$33:$K$43,2,0)," ")</f>
        <v>Servicio de formación en gestión del riesgo de incendios para el personal UAECOB</v>
      </c>
      <c r="U265" s="54" t="str">
        <f t="shared" si="12"/>
        <v>07-Servicio de formación en gestión del riesgo de incendios para el personal UAECOB</v>
      </c>
      <c r="V265" s="54" t="s">
        <v>234</v>
      </c>
      <c r="W265" s="131" t="str">
        <f>IFERROR(VLOOKUP(V265,TD!$N$33:$O$45,2,0)," ")</f>
        <v>Servicio de educación informal</v>
      </c>
      <c r="X265" s="54" t="str">
        <f t="shared" si="13"/>
        <v>002_Servicio de educación informal</v>
      </c>
      <c r="Y265" s="54" t="str">
        <f t="shared" si="14"/>
        <v>07-Servicio de formación en gestión del riesgo de incendios para el personal UAECOB 002_Servicio de educación informal</v>
      </c>
      <c r="Z265" s="131" t="str">
        <f t="shared" si="15"/>
        <v>O23011745032024025507002</v>
      </c>
      <c r="AA265" s="131" t="str">
        <f>IFERROR(VLOOKUP(Y265,TD!$K$46:$L$64,2,0)," ")</f>
        <v>PM/0131/0107/45030020255</v>
      </c>
      <c r="AB265" s="57" t="s">
        <v>139</v>
      </c>
      <c r="AC265" s="132" t="s">
        <v>205</v>
      </c>
    </row>
    <row r="266" spans="2:29" s="28" customFormat="1" ht="57">
      <c r="B266" s="85">
        <v>20241015</v>
      </c>
      <c r="C266" s="53" t="s">
        <v>210</v>
      </c>
      <c r="D266" s="129" t="s">
        <v>166</v>
      </c>
      <c r="E266" s="54" t="s">
        <v>856</v>
      </c>
      <c r="F266" s="129" t="s">
        <v>541</v>
      </c>
      <c r="G266" s="129" t="s">
        <v>156</v>
      </c>
      <c r="H266" s="117">
        <v>80111600</v>
      </c>
      <c r="I266" s="130">
        <v>10</v>
      </c>
      <c r="J266" s="130">
        <v>2</v>
      </c>
      <c r="K266" s="56">
        <v>15</v>
      </c>
      <c r="L266" s="57">
        <v>12157500</v>
      </c>
      <c r="M266" s="129" t="s">
        <v>173</v>
      </c>
      <c r="N266" s="57" t="s">
        <v>114</v>
      </c>
      <c r="O266" s="54" t="s">
        <v>230</v>
      </c>
      <c r="P266" s="131" t="str">
        <f>IFERROR(VLOOKUP(C266,TD!$B$32:$F$36,2,0)," ")</f>
        <v>O230117</v>
      </c>
      <c r="Q266" s="131" t="str">
        <f>IFERROR(VLOOKUP(C266,TD!$B$32:$F$36,3,0)," ")</f>
        <v>4503</v>
      </c>
      <c r="R266" s="131">
        <f>IFERROR(VLOOKUP(C266,TD!$B$32:$F$36,4,0)," ")</f>
        <v>20240255</v>
      </c>
      <c r="S266" s="54" t="s">
        <v>184</v>
      </c>
      <c r="T266" s="131" t="str">
        <f>IFERROR(VLOOKUP(S266,TD!$J$33:$K$43,2,0)," ")</f>
        <v>Servicio de formación en gestión del riesgo de incendios para el personal UAECOB</v>
      </c>
      <c r="U266" s="54" t="str">
        <f t="shared" si="12"/>
        <v>07-Servicio de formación en gestión del riesgo de incendios para el personal UAECOB</v>
      </c>
      <c r="V266" s="54" t="s">
        <v>234</v>
      </c>
      <c r="W266" s="131" t="str">
        <f>IFERROR(VLOOKUP(V266,TD!$N$33:$O$45,2,0)," ")</f>
        <v>Servicio de educación informal</v>
      </c>
      <c r="X266" s="54" t="str">
        <f t="shared" si="13"/>
        <v>002_Servicio de educación informal</v>
      </c>
      <c r="Y266" s="54" t="str">
        <f t="shared" si="14"/>
        <v>07-Servicio de formación en gestión del riesgo de incendios para el personal UAECOB 002_Servicio de educación informal</v>
      </c>
      <c r="Z266" s="131" t="str">
        <f t="shared" si="15"/>
        <v>O23011745032024025507002</v>
      </c>
      <c r="AA266" s="131" t="str">
        <f>IFERROR(VLOOKUP(Y266,TD!$K$46:$L$64,2,0)," ")</f>
        <v>PM/0131/0107/45030020255</v>
      </c>
      <c r="AB266" s="57" t="s">
        <v>139</v>
      </c>
      <c r="AC266" s="132" t="s">
        <v>205</v>
      </c>
    </row>
    <row r="267" spans="2:29" s="28" customFormat="1" ht="57">
      <c r="B267" s="85">
        <v>20241016</v>
      </c>
      <c r="C267" s="53" t="s">
        <v>210</v>
      </c>
      <c r="D267" s="129" t="s">
        <v>166</v>
      </c>
      <c r="E267" s="54" t="s">
        <v>856</v>
      </c>
      <c r="F267" s="129" t="s">
        <v>542</v>
      </c>
      <c r="G267" s="129" t="s">
        <v>156</v>
      </c>
      <c r="H267" s="117">
        <v>80111600</v>
      </c>
      <c r="I267" s="130">
        <v>7</v>
      </c>
      <c r="J267" s="130">
        <v>4</v>
      </c>
      <c r="K267" s="56">
        <v>15</v>
      </c>
      <c r="L267" s="57">
        <v>20682000</v>
      </c>
      <c r="M267" s="129" t="s">
        <v>173</v>
      </c>
      <c r="N267" s="57" t="s">
        <v>114</v>
      </c>
      <c r="O267" s="54" t="s">
        <v>230</v>
      </c>
      <c r="P267" s="131" t="str">
        <f>IFERROR(VLOOKUP(C267,TD!$B$32:$F$36,2,0)," ")</f>
        <v>O230117</v>
      </c>
      <c r="Q267" s="131" t="str">
        <f>IFERROR(VLOOKUP(C267,TD!$B$32:$F$36,3,0)," ")</f>
        <v>4503</v>
      </c>
      <c r="R267" s="131">
        <f>IFERROR(VLOOKUP(C267,TD!$B$32:$F$36,4,0)," ")</f>
        <v>20240255</v>
      </c>
      <c r="S267" s="54" t="s">
        <v>184</v>
      </c>
      <c r="T267" s="131" t="str">
        <f>IFERROR(VLOOKUP(S267,TD!$J$33:$K$43,2,0)," ")</f>
        <v>Servicio de formación en gestión del riesgo de incendios para el personal UAECOB</v>
      </c>
      <c r="U267" s="54" t="str">
        <f t="shared" ref="U267:U330" si="16">CONCATENATE(S267,"-",T267)</f>
        <v>07-Servicio de formación en gestión del riesgo de incendios para el personal UAECOB</v>
      </c>
      <c r="V267" s="54" t="s">
        <v>234</v>
      </c>
      <c r="W267" s="131" t="str">
        <f>IFERROR(VLOOKUP(V267,TD!$N$33:$O$45,2,0)," ")</f>
        <v>Servicio de educación informal</v>
      </c>
      <c r="X267" s="54" t="str">
        <f t="shared" ref="X267:X330" si="17">CONCATENATE(V267,"_",W267)</f>
        <v>002_Servicio de educación informal</v>
      </c>
      <c r="Y267" s="54" t="str">
        <f t="shared" ref="Y267:Y330" si="18">CONCATENATE(U267," ",X267)</f>
        <v>07-Servicio de formación en gestión del riesgo de incendios para el personal UAECOB 002_Servicio de educación informal</v>
      </c>
      <c r="Z267" s="131" t="str">
        <f t="shared" ref="Z267:Z330" si="19">CONCATENATE(P267,Q267,R267,S267,V267)</f>
        <v>O23011745032024025507002</v>
      </c>
      <c r="AA267" s="131" t="str">
        <f>IFERROR(VLOOKUP(Y267,TD!$K$46:$L$64,2,0)," ")</f>
        <v>PM/0131/0107/45030020255</v>
      </c>
      <c r="AB267" s="57" t="s">
        <v>139</v>
      </c>
      <c r="AC267" s="132" t="s">
        <v>205</v>
      </c>
    </row>
    <row r="268" spans="2:29" s="28" customFormat="1" ht="57">
      <c r="B268" s="85">
        <v>20241017</v>
      </c>
      <c r="C268" s="53" t="s">
        <v>210</v>
      </c>
      <c r="D268" s="129" t="s">
        <v>166</v>
      </c>
      <c r="E268" s="54" t="s">
        <v>856</v>
      </c>
      <c r="F268" s="129" t="s">
        <v>543</v>
      </c>
      <c r="G268" s="129" t="s">
        <v>156</v>
      </c>
      <c r="H268" s="117">
        <v>80111600</v>
      </c>
      <c r="I268" s="130">
        <v>8</v>
      </c>
      <c r="J268" s="130">
        <v>5</v>
      </c>
      <c r="K268" s="56">
        <v>0</v>
      </c>
      <c r="L268" s="57">
        <v>27355000</v>
      </c>
      <c r="M268" s="129" t="s">
        <v>173</v>
      </c>
      <c r="N268" s="57" t="s">
        <v>114</v>
      </c>
      <c r="O268" s="54" t="s">
        <v>230</v>
      </c>
      <c r="P268" s="131" t="str">
        <f>IFERROR(VLOOKUP(C268,TD!$B$32:$F$36,2,0)," ")</f>
        <v>O230117</v>
      </c>
      <c r="Q268" s="131" t="str">
        <f>IFERROR(VLOOKUP(C268,TD!$B$32:$F$36,3,0)," ")</f>
        <v>4503</v>
      </c>
      <c r="R268" s="131">
        <f>IFERROR(VLOOKUP(C268,TD!$B$32:$F$36,4,0)," ")</f>
        <v>20240255</v>
      </c>
      <c r="S268" s="54" t="s">
        <v>184</v>
      </c>
      <c r="T268" s="131" t="str">
        <f>IFERROR(VLOOKUP(S268,TD!$J$33:$K$43,2,0)," ")</f>
        <v>Servicio de formación en gestión del riesgo de incendios para el personal UAECOB</v>
      </c>
      <c r="U268" s="54" t="str">
        <f t="shared" si="16"/>
        <v>07-Servicio de formación en gestión del riesgo de incendios para el personal UAECOB</v>
      </c>
      <c r="V268" s="54" t="s">
        <v>234</v>
      </c>
      <c r="W268" s="131" t="str">
        <f>IFERROR(VLOOKUP(V268,TD!$N$33:$O$45,2,0)," ")</f>
        <v>Servicio de educación informal</v>
      </c>
      <c r="X268" s="54" t="str">
        <f t="shared" si="17"/>
        <v>002_Servicio de educación informal</v>
      </c>
      <c r="Y268" s="54" t="str">
        <f t="shared" si="18"/>
        <v>07-Servicio de formación en gestión del riesgo de incendios para el personal UAECOB 002_Servicio de educación informal</v>
      </c>
      <c r="Z268" s="131" t="str">
        <f t="shared" si="19"/>
        <v>O23011745032024025507002</v>
      </c>
      <c r="AA268" s="131" t="str">
        <f>IFERROR(VLOOKUP(Y268,TD!$K$46:$L$64,2,0)," ")</f>
        <v>PM/0131/0107/45030020255</v>
      </c>
      <c r="AB268" s="57" t="s">
        <v>139</v>
      </c>
      <c r="AC268" s="132" t="s">
        <v>205</v>
      </c>
    </row>
    <row r="269" spans="2:29" s="28" customFormat="1" ht="57">
      <c r="B269" s="85">
        <v>20241018</v>
      </c>
      <c r="C269" s="53" t="s">
        <v>210</v>
      </c>
      <c r="D269" s="129" t="s">
        <v>166</v>
      </c>
      <c r="E269" s="54" t="s">
        <v>856</v>
      </c>
      <c r="F269" s="129" t="s">
        <v>544</v>
      </c>
      <c r="G269" s="129" t="s">
        <v>156</v>
      </c>
      <c r="H269" s="117">
        <v>80111600</v>
      </c>
      <c r="I269" s="130">
        <v>10</v>
      </c>
      <c r="J269" s="130">
        <v>2</v>
      </c>
      <c r="K269" s="56">
        <v>15</v>
      </c>
      <c r="L269" s="57">
        <v>10500000</v>
      </c>
      <c r="M269" s="129" t="s">
        <v>173</v>
      </c>
      <c r="N269" s="57" t="s">
        <v>114</v>
      </c>
      <c r="O269" s="54" t="s">
        <v>230</v>
      </c>
      <c r="P269" s="131" t="str">
        <f>IFERROR(VLOOKUP(C269,TD!$B$32:$F$36,2,0)," ")</f>
        <v>O230117</v>
      </c>
      <c r="Q269" s="131" t="str">
        <f>IFERROR(VLOOKUP(C269,TD!$B$32:$F$36,3,0)," ")</f>
        <v>4503</v>
      </c>
      <c r="R269" s="131">
        <f>IFERROR(VLOOKUP(C269,TD!$B$32:$F$36,4,0)," ")</f>
        <v>20240255</v>
      </c>
      <c r="S269" s="54" t="s">
        <v>184</v>
      </c>
      <c r="T269" s="131" t="str">
        <f>IFERROR(VLOOKUP(S269,TD!$J$33:$K$43,2,0)," ")</f>
        <v>Servicio de formación en gestión del riesgo de incendios para el personal UAECOB</v>
      </c>
      <c r="U269" s="54" t="str">
        <f t="shared" si="16"/>
        <v>07-Servicio de formación en gestión del riesgo de incendios para el personal UAECOB</v>
      </c>
      <c r="V269" s="54" t="s">
        <v>234</v>
      </c>
      <c r="W269" s="131" t="str">
        <f>IFERROR(VLOOKUP(V269,TD!$N$33:$O$45,2,0)," ")</f>
        <v>Servicio de educación informal</v>
      </c>
      <c r="X269" s="54" t="str">
        <f t="shared" si="17"/>
        <v>002_Servicio de educación informal</v>
      </c>
      <c r="Y269" s="54" t="str">
        <f t="shared" si="18"/>
        <v>07-Servicio de formación en gestión del riesgo de incendios para el personal UAECOB 002_Servicio de educación informal</v>
      </c>
      <c r="Z269" s="131" t="str">
        <f t="shared" si="19"/>
        <v>O23011745032024025507002</v>
      </c>
      <c r="AA269" s="131" t="str">
        <f>IFERROR(VLOOKUP(Y269,TD!$K$46:$L$64,2,0)," ")</f>
        <v>PM/0131/0107/45030020255</v>
      </c>
      <c r="AB269" s="57" t="s">
        <v>139</v>
      </c>
      <c r="AC269" s="132" t="s">
        <v>205</v>
      </c>
    </row>
    <row r="270" spans="2:29" s="28" customFormat="1" ht="57">
      <c r="B270" s="85">
        <v>20241019</v>
      </c>
      <c r="C270" s="53" t="s">
        <v>210</v>
      </c>
      <c r="D270" s="129" t="s">
        <v>166</v>
      </c>
      <c r="E270" s="54" t="s">
        <v>856</v>
      </c>
      <c r="F270" s="129" t="s">
        <v>545</v>
      </c>
      <c r="G270" s="129" t="s">
        <v>156</v>
      </c>
      <c r="H270" s="117">
        <v>80111600</v>
      </c>
      <c r="I270" s="130">
        <v>7</v>
      </c>
      <c r="J270" s="130">
        <v>5</v>
      </c>
      <c r="K270" s="56">
        <v>0</v>
      </c>
      <c r="L270" s="57">
        <v>20350000</v>
      </c>
      <c r="M270" s="129" t="s">
        <v>173</v>
      </c>
      <c r="N270" s="57" t="s">
        <v>114</v>
      </c>
      <c r="O270" s="54" t="s">
        <v>230</v>
      </c>
      <c r="P270" s="131" t="str">
        <f>IFERROR(VLOOKUP(C270,TD!$B$32:$F$36,2,0)," ")</f>
        <v>O230117</v>
      </c>
      <c r="Q270" s="131" t="str">
        <f>IFERROR(VLOOKUP(C270,TD!$B$32:$F$36,3,0)," ")</f>
        <v>4503</v>
      </c>
      <c r="R270" s="131">
        <f>IFERROR(VLOOKUP(C270,TD!$B$32:$F$36,4,0)," ")</f>
        <v>20240255</v>
      </c>
      <c r="S270" s="54" t="s">
        <v>184</v>
      </c>
      <c r="T270" s="131" t="str">
        <f>IFERROR(VLOOKUP(S270,TD!$J$33:$K$43,2,0)," ")</f>
        <v>Servicio de formación en gestión del riesgo de incendios para el personal UAECOB</v>
      </c>
      <c r="U270" s="54" t="str">
        <f t="shared" si="16"/>
        <v>07-Servicio de formación en gestión del riesgo de incendios para el personal UAECOB</v>
      </c>
      <c r="V270" s="54" t="s">
        <v>234</v>
      </c>
      <c r="W270" s="131" t="str">
        <f>IFERROR(VLOOKUP(V270,TD!$N$33:$O$45,2,0)," ")</f>
        <v>Servicio de educación informal</v>
      </c>
      <c r="X270" s="54" t="str">
        <f t="shared" si="17"/>
        <v>002_Servicio de educación informal</v>
      </c>
      <c r="Y270" s="54" t="str">
        <f t="shared" si="18"/>
        <v>07-Servicio de formación en gestión del riesgo de incendios para el personal UAECOB 002_Servicio de educación informal</v>
      </c>
      <c r="Z270" s="131" t="str">
        <f t="shared" si="19"/>
        <v>O23011745032024025507002</v>
      </c>
      <c r="AA270" s="131" t="str">
        <f>IFERROR(VLOOKUP(Y270,TD!$K$46:$L$64,2,0)," ")</f>
        <v>PM/0131/0107/45030020255</v>
      </c>
      <c r="AB270" s="57" t="s">
        <v>139</v>
      </c>
      <c r="AC270" s="132" t="s">
        <v>205</v>
      </c>
    </row>
    <row r="271" spans="2:29" s="28" customFormat="1" ht="71.25">
      <c r="B271" s="85">
        <v>20241020</v>
      </c>
      <c r="C271" s="53" t="s">
        <v>210</v>
      </c>
      <c r="D271" s="129" t="s">
        <v>166</v>
      </c>
      <c r="E271" s="54" t="s">
        <v>856</v>
      </c>
      <c r="F271" s="129" t="s">
        <v>546</v>
      </c>
      <c r="G271" s="129" t="s">
        <v>157</v>
      </c>
      <c r="H271" s="117">
        <v>80111600</v>
      </c>
      <c r="I271" s="130">
        <v>8</v>
      </c>
      <c r="J271" s="130">
        <v>5</v>
      </c>
      <c r="K271" s="56">
        <v>0</v>
      </c>
      <c r="L271" s="57">
        <v>17505000</v>
      </c>
      <c r="M271" s="129" t="s">
        <v>173</v>
      </c>
      <c r="N271" s="57" t="s">
        <v>114</v>
      </c>
      <c r="O271" s="54" t="s">
        <v>230</v>
      </c>
      <c r="P271" s="131" t="str">
        <f>IFERROR(VLOOKUP(C271,TD!$B$32:$F$36,2,0)," ")</f>
        <v>O230117</v>
      </c>
      <c r="Q271" s="131" t="str">
        <f>IFERROR(VLOOKUP(C271,TD!$B$32:$F$36,3,0)," ")</f>
        <v>4503</v>
      </c>
      <c r="R271" s="131">
        <f>IFERROR(VLOOKUP(C271,TD!$B$32:$F$36,4,0)," ")</f>
        <v>20240255</v>
      </c>
      <c r="S271" s="54" t="s">
        <v>184</v>
      </c>
      <c r="T271" s="131" t="str">
        <f>IFERROR(VLOOKUP(S271,TD!$J$33:$K$43,2,0)," ")</f>
        <v>Servicio de formación en gestión del riesgo de incendios para el personal UAECOB</v>
      </c>
      <c r="U271" s="54" t="str">
        <f t="shared" si="16"/>
        <v>07-Servicio de formación en gestión del riesgo de incendios para el personal UAECOB</v>
      </c>
      <c r="V271" s="54" t="s">
        <v>234</v>
      </c>
      <c r="W271" s="131" t="str">
        <f>IFERROR(VLOOKUP(V271,TD!$N$33:$O$45,2,0)," ")</f>
        <v>Servicio de educación informal</v>
      </c>
      <c r="X271" s="54" t="str">
        <f t="shared" si="17"/>
        <v>002_Servicio de educación informal</v>
      </c>
      <c r="Y271" s="54" t="str">
        <f t="shared" si="18"/>
        <v>07-Servicio de formación en gestión del riesgo de incendios para el personal UAECOB 002_Servicio de educación informal</v>
      </c>
      <c r="Z271" s="131" t="str">
        <f t="shared" si="19"/>
        <v>O23011745032024025507002</v>
      </c>
      <c r="AA271" s="131" t="str">
        <f>IFERROR(VLOOKUP(Y271,TD!$K$46:$L$64,2,0)," ")</f>
        <v>PM/0131/0107/45030020255</v>
      </c>
      <c r="AB271" s="57" t="s">
        <v>139</v>
      </c>
      <c r="AC271" s="132" t="s">
        <v>205</v>
      </c>
    </row>
    <row r="272" spans="2:29" s="28" customFormat="1" ht="71.25">
      <c r="B272" s="85">
        <v>20241021</v>
      </c>
      <c r="C272" s="53" t="s">
        <v>210</v>
      </c>
      <c r="D272" s="129" t="s">
        <v>166</v>
      </c>
      <c r="E272" s="54" t="s">
        <v>856</v>
      </c>
      <c r="F272" s="129" t="s">
        <v>547</v>
      </c>
      <c r="G272" s="129" t="s">
        <v>157</v>
      </c>
      <c r="H272" s="117">
        <v>80111600</v>
      </c>
      <c r="I272" s="130">
        <v>11</v>
      </c>
      <c r="J272" s="130">
        <v>1</v>
      </c>
      <c r="K272" s="56">
        <v>15</v>
      </c>
      <c r="L272" s="57">
        <v>3885000</v>
      </c>
      <c r="M272" s="129" t="s">
        <v>173</v>
      </c>
      <c r="N272" s="57" t="s">
        <v>114</v>
      </c>
      <c r="O272" s="54" t="s">
        <v>230</v>
      </c>
      <c r="P272" s="131" t="str">
        <f>IFERROR(VLOOKUP(C272,TD!$B$32:$F$36,2,0)," ")</f>
        <v>O230117</v>
      </c>
      <c r="Q272" s="131" t="str">
        <f>IFERROR(VLOOKUP(C272,TD!$B$32:$F$36,3,0)," ")</f>
        <v>4503</v>
      </c>
      <c r="R272" s="131">
        <f>IFERROR(VLOOKUP(C272,TD!$B$32:$F$36,4,0)," ")</f>
        <v>20240255</v>
      </c>
      <c r="S272" s="54" t="s">
        <v>184</v>
      </c>
      <c r="T272" s="131" t="str">
        <f>IFERROR(VLOOKUP(S272,TD!$J$33:$K$43,2,0)," ")</f>
        <v>Servicio de formación en gestión del riesgo de incendios para el personal UAECOB</v>
      </c>
      <c r="U272" s="54" t="str">
        <f t="shared" si="16"/>
        <v>07-Servicio de formación en gestión del riesgo de incendios para el personal UAECOB</v>
      </c>
      <c r="V272" s="54" t="s">
        <v>234</v>
      </c>
      <c r="W272" s="131" t="str">
        <f>IFERROR(VLOOKUP(V272,TD!$N$33:$O$45,2,0)," ")</f>
        <v>Servicio de educación informal</v>
      </c>
      <c r="X272" s="54" t="str">
        <f t="shared" si="17"/>
        <v>002_Servicio de educación informal</v>
      </c>
      <c r="Y272" s="54" t="str">
        <f t="shared" si="18"/>
        <v>07-Servicio de formación en gestión del riesgo de incendios para el personal UAECOB 002_Servicio de educación informal</v>
      </c>
      <c r="Z272" s="131" t="str">
        <f t="shared" si="19"/>
        <v>O23011745032024025507002</v>
      </c>
      <c r="AA272" s="131" t="str">
        <f>IFERROR(VLOOKUP(Y272,TD!$K$46:$L$64,2,0)," ")</f>
        <v>PM/0131/0107/45030020255</v>
      </c>
      <c r="AB272" s="57" t="s">
        <v>139</v>
      </c>
      <c r="AC272" s="132" t="s">
        <v>205</v>
      </c>
    </row>
    <row r="273" spans="2:29" s="28" customFormat="1" ht="57">
      <c r="B273" s="85">
        <v>20241022</v>
      </c>
      <c r="C273" s="53" t="s">
        <v>210</v>
      </c>
      <c r="D273" s="129" t="s">
        <v>166</v>
      </c>
      <c r="E273" s="54" t="s">
        <v>856</v>
      </c>
      <c r="F273" s="129" t="s">
        <v>548</v>
      </c>
      <c r="G273" s="129" t="s">
        <v>156</v>
      </c>
      <c r="H273" s="117">
        <v>80111600</v>
      </c>
      <c r="I273" s="130">
        <v>9</v>
      </c>
      <c r="J273" s="130">
        <v>2</v>
      </c>
      <c r="K273" s="56">
        <v>2</v>
      </c>
      <c r="L273" s="57">
        <v>13000000</v>
      </c>
      <c r="M273" s="129" t="s">
        <v>173</v>
      </c>
      <c r="N273" s="57" t="s">
        <v>114</v>
      </c>
      <c r="O273" s="54" t="s">
        <v>230</v>
      </c>
      <c r="P273" s="131" t="str">
        <f>IFERROR(VLOOKUP(C273,TD!$B$32:$F$36,2,0)," ")</f>
        <v>O230117</v>
      </c>
      <c r="Q273" s="131" t="str">
        <f>IFERROR(VLOOKUP(C273,TD!$B$32:$F$36,3,0)," ")</f>
        <v>4503</v>
      </c>
      <c r="R273" s="131">
        <f>IFERROR(VLOOKUP(C273,TD!$B$32:$F$36,4,0)," ")</f>
        <v>20240255</v>
      </c>
      <c r="S273" s="54" t="s">
        <v>184</v>
      </c>
      <c r="T273" s="131" t="str">
        <f>IFERROR(VLOOKUP(S273,TD!$J$33:$K$43,2,0)," ")</f>
        <v>Servicio de formación en gestión del riesgo de incendios para el personal UAECOB</v>
      </c>
      <c r="U273" s="54" t="str">
        <f t="shared" si="16"/>
        <v>07-Servicio de formación en gestión del riesgo de incendios para el personal UAECOB</v>
      </c>
      <c r="V273" s="54" t="s">
        <v>234</v>
      </c>
      <c r="W273" s="131" t="str">
        <f>IFERROR(VLOOKUP(V273,TD!$N$33:$O$45,2,0)," ")</f>
        <v>Servicio de educación informal</v>
      </c>
      <c r="X273" s="54" t="str">
        <f t="shared" si="17"/>
        <v>002_Servicio de educación informal</v>
      </c>
      <c r="Y273" s="54" t="str">
        <f t="shared" si="18"/>
        <v>07-Servicio de formación en gestión del riesgo de incendios para el personal UAECOB 002_Servicio de educación informal</v>
      </c>
      <c r="Z273" s="131" t="str">
        <f t="shared" si="19"/>
        <v>O23011745032024025507002</v>
      </c>
      <c r="AA273" s="131" t="str">
        <f>IFERROR(VLOOKUP(Y273,TD!$K$46:$L$64,2,0)," ")</f>
        <v>PM/0131/0107/45030020255</v>
      </c>
      <c r="AB273" s="57" t="s">
        <v>139</v>
      </c>
      <c r="AC273" s="132" t="s">
        <v>205</v>
      </c>
    </row>
    <row r="274" spans="2:29" s="28" customFormat="1" ht="57">
      <c r="B274" s="85">
        <v>20241023</v>
      </c>
      <c r="C274" s="53" t="s">
        <v>210</v>
      </c>
      <c r="D274" s="129" t="s">
        <v>166</v>
      </c>
      <c r="E274" s="54" t="s">
        <v>856</v>
      </c>
      <c r="F274" s="129" t="s">
        <v>549</v>
      </c>
      <c r="G274" s="129" t="s">
        <v>156</v>
      </c>
      <c r="H274" s="117">
        <v>80111600</v>
      </c>
      <c r="I274" s="130">
        <v>7</v>
      </c>
      <c r="J274" s="130">
        <v>5</v>
      </c>
      <c r="K274" s="56">
        <v>5</v>
      </c>
      <c r="L274" s="57">
        <v>21775000</v>
      </c>
      <c r="M274" s="129" t="s">
        <v>173</v>
      </c>
      <c r="N274" s="57" t="s">
        <v>114</v>
      </c>
      <c r="O274" s="54" t="s">
        <v>230</v>
      </c>
      <c r="P274" s="131" t="str">
        <f>IFERROR(VLOOKUP(C274,TD!$B$32:$F$36,2,0)," ")</f>
        <v>O230117</v>
      </c>
      <c r="Q274" s="131" t="str">
        <f>IFERROR(VLOOKUP(C274,TD!$B$32:$F$36,3,0)," ")</f>
        <v>4503</v>
      </c>
      <c r="R274" s="131">
        <f>IFERROR(VLOOKUP(C274,TD!$B$32:$F$36,4,0)," ")</f>
        <v>20240255</v>
      </c>
      <c r="S274" s="54" t="s">
        <v>184</v>
      </c>
      <c r="T274" s="131" t="str">
        <f>IFERROR(VLOOKUP(S274,TD!$J$33:$K$43,2,0)," ")</f>
        <v>Servicio de formación en gestión del riesgo de incendios para el personal UAECOB</v>
      </c>
      <c r="U274" s="54" t="str">
        <f t="shared" si="16"/>
        <v>07-Servicio de formación en gestión del riesgo de incendios para el personal UAECOB</v>
      </c>
      <c r="V274" s="54" t="s">
        <v>234</v>
      </c>
      <c r="W274" s="131" t="str">
        <f>IFERROR(VLOOKUP(V274,TD!$N$33:$O$45,2,0)," ")</f>
        <v>Servicio de educación informal</v>
      </c>
      <c r="X274" s="54" t="str">
        <f t="shared" si="17"/>
        <v>002_Servicio de educación informal</v>
      </c>
      <c r="Y274" s="54" t="str">
        <f t="shared" si="18"/>
        <v>07-Servicio de formación en gestión del riesgo de incendios para el personal UAECOB 002_Servicio de educación informal</v>
      </c>
      <c r="Z274" s="131" t="str">
        <f t="shared" si="19"/>
        <v>O23011745032024025507002</v>
      </c>
      <c r="AA274" s="131" t="str">
        <f>IFERROR(VLOOKUP(Y274,TD!$K$46:$L$64,2,0)," ")</f>
        <v>PM/0131/0107/45030020255</v>
      </c>
      <c r="AB274" s="57" t="s">
        <v>139</v>
      </c>
      <c r="AC274" s="132" t="s">
        <v>205</v>
      </c>
    </row>
    <row r="275" spans="2:29" s="28" customFormat="1" ht="57">
      <c r="B275" s="85">
        <v>20241024</v>
      </c>
      <c r="C275" s="53" t="s">
        <v>210</v>
      </c>
      <c r="D275" s="129" t="s">
        <v>166</v>
      </c>
      <c r="E275" s="54" t="s">
        <v>856</v>
      </c>
      <c r="F275" s="129" t="s">
        <v>550</v>
      </c>
      <c r="G275" s="129" t="s">
        <v>156</v>
      </c>
      <c r="H275" s="117">
        <v>80111600</v>
      </c>
      <c r="I275" s="130">
        <v>9</v>
      </c>
      <c r="J275" s="130">
        <v>3</v>
      </c>
      <c r="K275" s="56">
        <v>15</v>
      </c>
      <c r="L275" s="57">
        <v>21000000</v>
      </c>
      <c r="M275" s="129" t="s">
        <v>173</v>
      </c>
      <c r="N275" s="57" t="s">
        <v>114</v>
      </c>
      <c r="O275" s="54" t="s">
        <v>230</v>
      </c>
      <c r="P275" s="131" t="str">
        <f>IFERROR(VLOOKUP(C275,TD!$B$32:$F$36,2,0)," ")</f>
        <v>O230117</v>
      </c>
      <c r="Q275" s="131" t="str">
        <f>IFERROR(VLOOKUP(C275,TD!$B$32:$F$36,3,0)," ")</f>
        <v>4503</v>
      </c>
      <c r="R275" s="131">
        <f>IFERROR(VLOOKUP(C275,TD!$B$32:$F$36,4,0)," ")</f>
        <v>20240255</v>
      </c>
      <c r="S275" s="54" t="s">
        <v>184</v>
      </c>
      <c r="T275" s="131" t="str">
        <f>IFERROR(VLOOKUP(S275,TD!$J$33:$K$43,2,0)," ")</f>
        <v>Servicio de formación en gestión del riesgo de incendios para el personal UAECOB</v>
      </c>
      <c r="U275" s="54" t="str">
        <f t="shared" si="16"/>
        <v>07-Servicio de formación en gestión del riesgo de incendios para el personal UAECOB</v>
      </c>
      <c r="V275" s="54" t="s">
        <v>234</v>
      </c>
      <c r="W275" s="131" t="str">
        <f>IFERROR(VLOOKUP(V275,TD!$N$33:$O$45,2,0)," ")</f>
        <v>Servicio de educación informal</v>
      </c>
      <c r="X275" s="54" t="str">
        <f t="shared" si="17"/>
        <v>002_Servicio de educación informal</v>
      </c>
      <c r="Y275" s="54" t="str">
        <f t="shared" si="18"/>
        <v>07-Servicio de formación en gestión del riesgo de incendios para el personal UAECOB 002_Servicio de educación informal</v>
      </c>
      <c r="Z275" s="131" t="str">
        <f t="shared" si="19"/>
        <v>O23011745032024025507002</v>
      </c>
      <c r="AA275" s="131" t="str">
        <f>IFERROR(VLOOKUP(Y275,TD!$K$46:$L$64,2,0)," ")</f>
        <v>PM/0131/0107/45030020255</v>
      </c>
      <c r="AB275" s="57" t="s">
        <v>139</v>
      </c>
      <c r="AC275" s="132" t="s">
        <v>205</v>
      </c>
    </row>
    <row r="276" spans="2:29" s="28" customFormat="1" ht="57">
      <c r="B276" s="85">
        <v>20241025</v>
      </c>
      <c r="C276" s="53" t="s">
        <v>210</v>
      </c>
      <c r="D276" s="129" t="s">
        <v>166</v>
      </c>
      <c r="E276" s="54" t="s">
        <v>856</v>
      </c>
      <c r="F276" s="129" t="s">
        <v>551</v>
      </c>
      <c r="G276" s="129" t="s">
        <v>156</v>
      </c>
      <c r="H276" s="117">
        <v>80111600</v>
      </c>
      <c r="I276" s="130">
        <v>9</v>
      </c>
      <c r="J276" s="130">
        <v>3</v>
      </c>
      <c r="K276" s="56">
        <v>0</v>
      </c>
      <c r="L276" s="57">
        <v>12639000</v>
      </c>
      <c r="M276" s="129" t="s">
        <v>173</v>
      </c>
      <c r="N276" s="57" t="s">
        <v>114</v>
      </c>
      <c r="O276" s="54" t="s">
        <v>230</v>
      </c>
      <c r="P276" s="131" t="str">
        <f>IFERROR(VLOOKUP(C276,TD!$B$32:$F$36,2,0)," ")</f>
        <v>O230117</v>
      </c>
      <c r="Q276" s="131" t="str">
        <f>IFERROR(VLOOKUP(C276,TD!$B$32:$F$36,3,0)," ")</f>
        <v>4503</v>
      </c>
      <c r="R276" s="131">
        <f>IFERROR(VLOOKUP(C276,TD!$B$32:$F$36,4,0)," ")</f>
        <v>20240255</v>
      </c>
      <c r="S276" s="54" t="s">
        <v>184</v>
      </c>
      <c r="T276" s="131" t="str">
        <f>IFERROR(VLOOKUP(S276,TD!$J$33:$K$43,2,0)," ")</f>
        <v>Servicio de formación en gestión del riesgo de incendios para el personal UAECOB</v>
      </c>
      <c r="U276" s="54" t="str">
        <f t="shared" si="16"/>
        <v>07-Servicio de formación en gestión del riesgo de incendios para el personal UAECOB</v>
      </c>
      <c r="V276" s="54" t="s">
        <v>234</v>
      </c>
      <c r="W276" s="131" t="str">
        <f>IFERROR(VLOOKUP(V276,TD!$N$33:$O$45,2,0)," ")</f>
        <v>Servicio de educación informal</v>
      </c>
      <c r="X276" s="54" t="str">
        <f t="shared" si="17"/>
        <v>002_Servicio de educación informal</v>
      </c>
      <c r="Y276" s="54" t="str">
        <f t="shared" si="18"/>
        <v>07-Servicio de formación en gestión del riesgo de incendios para el personal UAECOB 002_Servicio de educación informal</v>
      </c>
      <c r="Z276" s="131" t="str">
        <f t="shared" si="19"/>
        <v>O23011745032024025507002</v>
      </c>
      <c r="AA276" s="131" t="str">
        <f>IFERROR(VLOOKUP(Y276,TD!$K$46:$L$64,2,0)," ")</f>
        <v>PM/0131/0107/45030020255</v>
      </c>
      <c r="AB276" s="57" t="s">
        <v>139</v>
      </c>
      <c r="AC276" s="132" t="s">
        <v>205</v>
      </c>
    </row>
    <row r="277" spans="2:29" s="28" customFormat="1" ht="57">
      <c r="B277" s="85">
        <v>20241026</v>
      </c>
      <c r="C277" s="53" t="s">
        <v>210</v>
      </c>
      <c r="D277" s="129" t="s">
        <v>166</v>
      </c>
      <c r="E277" s="54" t="s">
        <v>856</v>
      </c>
      <c r="F277" s="129" t="s">
        <v>540</v>
      </c>
      <c r="G277" s="129" t="s">
        <v>156</v>
      </c>
      <c r="H277" s="117">
        <v>80111600</v>
      </c>
      <c r="I277" s="130">
        <v>10</v>
      </c>
      <c r="J277" s="130">
        <v>2</v>
      </c>
      <c r="K277" s="56">
        <v>15</v>
      </c>
      <c r="L277" s="57">
        <v>13677500</v>
      </c>
      <c r="M277" s="129" t="s">
        <v>173</v>
      </c>
      <c r="N277" s="57" t="s">
        <v>114</v>
      </c>
      <c r="O277" s="54" t="s">
        <v>230</v>
      </c>
      <c r="P277" s="131" t="str">
        <f>IFERROR(VLOOKUP(C277,TD!$B$32:$F$36,2,0)," ")</f>
        <v>O230117</v>
      </c>
      <c r="Q277" s="131" t="str">
        <f>IFERROR(VLOOKUP(C277,TD!$B$32:$F$36,3,0)," ")</f>
        <v>4503</v>
      </c>
      <c r="R277" s="131">
        <f>IFERROR(VLOOKUP(C277,TD!$B$32:$F$36,4,0)," ")</f>
        <v>20240255</v>
      </c>
      <c r="S277" s="54" t="s">
        <v>184</v>
      </c>
      <c r="T277" s="131" t="str">
        <f>IFERROR(VLOOKUP(S277,TD!$J$33:$K$43,2,0)," ")</f>
        <v>Servicio de formación en gestión del riesgo de incendios para el personal UAECOB</v>
      </c>
      <c r="U277" s="54" t="str">
        <f t="shared" si="16"/>
        <v>07-Servicio de formación en gestión del riesgo de incendios para el personal UAECOB</v>
      </c>
      <c r="V277" s="54" t="s">
        <v>234</v>
      </c>
      <c r="W277" s="131" t="str">
        <f>IFERROR(VLOOKUP(V277,TD!$N$33:$O$45,2,0)," ")</f>
        <v>Servicio de educación informal</v>
      </c>
      <c r="X277" s="54" t="str">
        <f t="shared" si="17"/>
        <v>002_Servicio de educación informal</v>
      </c>
      <c r="Y277" s="54" t="str">
        <f t="shared" si="18"/>
        <v>07-Servicio de formación en gestión del riesgo de incendios para el personal UAECOB 002_Servicio de educación informal</v>
      </c>
      <c r="Z277" s="131" t="str">
        <f t="shared" si="19"/>
        <v>O23011745032024025507002</v>
      </c>
      <c r="AA277" s="131" t="str">
        <f>IFERROR(VLOOKUP(Y277,TD!$K$46:$L$64,2,0)," ")</f>
        <v>PM/0131/0107/45030020255</v>
      </c>
      <c r="AB277" s="57" t="s">
        <v>139</v>
      </c>
      <c r="AC277" s="132" t="s">
        <v>205</v>
      </c>
    </row>
    <row r="278" spans="2:29" s="28" customFormat="1" ht="57">
      <c r="B278" s="85">
        <v>20241027</v>
      </c>
      <c r="C278" s="53" t="s">
        <v>210</v>
      </c>
      <c r="D278" s="129" t="s">
        <v>166</v>
      </c>
      <c r="E278" s="54" t="s">
        <v>856</v>
      </c>
      <c r="F278" s="129" t="s">
        <v>552</v>
      </c>
      <c r="G278" s="129" t="s">
        <v>156</v>
      </c>
      <c r="H278" s="117">
        <v>80111600</v>
      </c>
      <c r="I278" s="130">
        <v>8</v>
      </c>
      <c r="J278" s="130">
        <v>4</v>
      </c>
      <c r="K278" s="56">
        <v>15</v>
      </c>
      <c r="L278" s="57">
        <v>20250000</v>
      </c>
      <c r="M278" s="129" t="s">
        <v>173</v>
      </c>
      <c r="N278" s="57" t="s">
        <v>114</v>
      </c>
      <c r="O278" s="54" t="s">
        <v>230</v>
      </c>
      <c r="P278" s="131" t="str">
        <f>IFERROR(VLOOKUP(C278,TD!$B$32:$F$36,2,0)," ")</f>
        <v>O230117</v>
      </c>
      <c r="Q278" s="131" t="str">
        <f>IFERROR(VLOOKUP(C278,TD!$B$32:$F$36,3,0)," ")</f>
        <v>4503</v>
      </c>
      <c r="R278" s="131">
        <f>IFERROR(VLOOKUP(C278,TD!$B$32:$F$36,4,0)," ")</f>
        <v>20240255</v>
      </c>
      <c r="S278" s="54" t="s">
        <v>184</v>
      </c>
      <c r="T278" s="131" t="str">
        <f>IFERROR(VLOOKUP(S278,TD!$J$33:$K$43,2,0)," ")</f>
        <v>Servicio de formación en gestión del riesgo de incendios para el personal UAECOB</v>
      </c>
      <c r="U278" s="54" t="str">
        <f t="shared" si="16"/>
        <v>07-Servicio de formación en gestión del riesgo de incendios para el personal UAECOB</v>
      </c>
      <c r="V278" s="54" t="s">
        <v>234</v>
      </c>
      <c r="W278" s="131" t="str">
        <f>IFERROR(VLOOKUP(V278,TD!$N$33:$O$45,2,0)," ")</f>
        <v>Servicio de educación informal</v>
      </c>
      <c r="X278" s="54" t="str">
        <f t="shared" si="17"/>
        <v>002_Servicio de educación informal</v>
      </c>
      <c r="Y278" s="54" t="str">
        <f t="shared" si="18"/>
        <v>07-Servicio de formación en gestión del riesgo de incendios para el personal UAECOB 002_Servicio de educación informal</v>
      </c>
      <c r="Z278" s="131" t="str">
        <f t="shared" si="19"/>
        <v>O23011745032024025507002</v>
      </c>
      <c r="AA278" s="131" t="str">
        <f>IFERROR(VLOOKUP(Y278,TD!$K$46:$L$64,2,0)," ")</f>
        <v>PM/0131/0107/45030020255</v>
      </c>
      <c r="AB278" s="57" t="s">
        <v>139</v>
      </c>
      <c r="AC278" s="132" t="s">
        <v>205</v>
      </c>
    </row>
    <row r="279" spans="2:29" s="28" customFormat="1" ht="71.25">
      <c r="B279" s="85">
        <v>20241028</v>
      </c>
      <c r="C279" s="53" t="s">
        <v>210</v>
      </c>
      <c r="D279" s="129" t="s">
        <v>166</v>
      </c>
      <c r="E279" s="54" t="s">
        <v>856</v>
      </c>
      <c r="F279" s="129" t="s">
        <v>553</v>
      </c>
      <c r="G279" s="129" t="s">
        <v>157</v>
      </c>
      <c r="H279" s="117">
        <v>80111600</v>
      </c>
      <c r="I279" s="130">
        <v>8</v>
      </c>
      <c r="J279" s="130">
        <v>4</v>
      </c>
      <c r="K279" s="56">
        <v>15</v>
      </c>
      <c r="L279" s="57">
        <v>14769000</v>
      </c>
      <c r="M279" s="129" t="s">
        <v>173</v>
      </c>
      <c r="N279" s="57" t="s">
        <v>114</v>
      </c>
      <c r="O279" s="54" t="s">
        <v>230</v>
      </c>
      <c r="P279" s="131" t="str">
        <f>IFERROR(VLOOKUP(C279,TD!$B$32:$F$36,2,0)," ")</f>
        <v>O230117</v>
      </c>
      <c r="Q279" s="131" t="str">
        <f>IFERROR(VLOOKUP(C279,TD!$B$32:$F$36,3,0)," ")</f>
        <v>4503</v>
      </c>
      <c r="R279" s="131">
        <f>IFERROR(VLOOKUP(C279,TD!$B$32:$F$36,4,0)," ")</f>
        <v>20240255</v>
      </c>
      <c r="S279" s="54" t="s">
        <v>184</v>
      </c>
      <c r="T279" s="131" t="str">
        <f>IFERROR(VLOOKUP(S279,TD!$J$33:$K$43,2,0)," ")</f>
        <v>Servicio de formación en gestión del riesgo de incendios para el personal UAECOB</v>
      </c>
      <c r="U279" s="54" t="str">
        <f t="shared" si="16"/>
        <v>07-Servicio de formación en gestión del riesgo de incendios para el personal UAECOB</v>
      </c>
      <c r="V279" s="54" t="s">
        <v>234</v>
      </c>
      <c r="W279" s="131" t="str">
        <f>IFERROR(VLOOKUP(V279,TD!$N$33:$O$45,2,0)," ")</f>
        <v>Servicio de educación informal</v>
      </c>
      <c r="X279" s="54" t="str">
        <f t="shared" si="17"/>
        <v>002_Servicio de educación informal</v>
      </c>
      <c r="Y279" s="54" t="str">
        <f t="shared" si="18"/>
        <v>07-Servicio de formación en gestión del riesgo de incendios para el personal UAECOB 002_Servicio de educación informal</v>
      </c>
      <c r="Z279" s="131" t="str">
        <f t="shared" si="19"/>
        <v>O23011745032024025507002</v>
      </c>
      <c r="AA279" s="131" t="str">
        <f>IFERROR(VLOOKUP(Y279,TD!$K$46:$L$64,2,0)," ")</f>
        <v>PM/0131/0107/45030020255</v>
      </c>
      <c r="AB279" s="57" t="s">
        <v>139</v>
      </c>
      <c r="AC279" s="132" t="s">
        <v>205</v>
      </c>
    </row>
    <row r="280" spans="2:29" s="28" customFormat="1" ht="71.25">
      <c r="B280" s="85">
        <v>20241029</v>
      </c>
      <c r="C280" s="53" t="s">
        <v>210</v>
      </c>
      <c r="D280" s="129" t="s">
        <v>166</v>
      </c>
      <c r="E280" s="54" t="s">
        <v>856</v>
      </c>
      <c r="F280" s="129" t="s">
        <v>554</v>
      </c>
      <c r="G280" s="129" t="s">
        <v>157</v>
      </c>
      <c r="H280" s="117">
        <v>80111600</v>
      </c>
      <c r="I280" s="130">
        <v>10</v>
      </c>
      <c r="J280" s="130">
        <v>2</v>
      </c>
      <c r="K280" s="56">
        <v>15</v>
      </c>
      <c r="L280" s="57">
        <v>7500000</v>
      </c>
      <c r="M280" s="129" t="s">
        <v>173</v>
      </c>
      <c r="N280" s="57" t="s">
        <v>114</v>
      </c>
      <c r="O280" s="54" t="s">
        <v>230</v>
      </c>
      <c r="P280" s="131" t="str">
        <f>IFERROR(VLOOKUP(C280,TD!$B$32:$F$36,2,0)," ")</f>
        <v>O230117</v>
      </c>
      <c r="Q280" s="131" t="str">
        <f>IFERROR(VLOOKUP(C280,TD!$B$32:$F$36,3,0)," ")</f>
        <v>4503</v>
      </c>
      <c r="R280" s="131">
        <f>IFERROR(VLOOKUP(C280,TD!$B$32:$F$36,4,0)," ")</f>
        <v>20240255</v>
      </c>
      <c r="S280" s="54" t="s">
        <v>184</v>
      </c>
      <c r="T280" s="131" t="str">
        <f>IFERROR(VLOOKUP(S280,TD!$J$33:$K$43,2,0)," ")</f>
        <v>Servicio de formación en gestión del riesgo de incendios para el personal UAECOB</v>
      </c>
      <c r="U280" s="54" t="str">
        <f t="shared" si="16"/>
        <v>07-Servicio de formación en gestión del riesgo de incendios para el personal UAECOB</v>
      </c>
      <c r="V280" s="54" t="s">
        <v>234</v>
      </c>
      <c r="W280" s="131" t="str">
        <f>IFERROR(VLOOKUP(V280,TD!$N$33:$O$45,2,0)," ")</f>
        <v>Servicio de educación informal</v>
      </c>
      <c r="X280" s="54" t="str">
        <f t="shared" si="17"/>
        <v>002_Servicio de educación informal</v>
      </c>
      <c r="Y280" s="54" t="str">
        <f t="shared" si="18"/>
        <v>07-Servicio de formación en gestión del riesgo de incendios para el personal UAECOB 002_Servicio de educación informal</v>
      </c>
      <c r="Z280" s="131" t="str">
        <f t="shared" si="19"/>
        <v>O23011745032024025507002</v>
      </c>
      <c r="AA280" s="131" t="str">
        <f>IFERROR(VLOOKUP(Y280,TD!$K$46:$L$64,2,0)," ")</f>
        <v>PM/0131/0107/45030020255</v>
      </c>
      <c r="AB280" s="57" t="s">
        <v>139</v>
      </c>
      <c r="AC280" s="132" t="s">
        <v>205</v>
      </c>
    </row>
    <row r="281" spans="2:29" s="28" customFormat="1" ht="57">
      <c r="B281" s="85">
        <v>20241030</v>
      </c>
      <c r="C281" s="53" t="s">
        <v>210</v>
      </c>
      <c r="D281" s="129" t="s">
        <v>166</v>
      </c>
      <c r="E281" s="54" t="s">
        <v>856</v>
      </c>
      <c r="F281" s="129" t="s">
        <v>555</v>
      </c>
      <c r="G281" s="129" t="s">
        <v>156</v>
      </c>
      <c r="H281" s="117">
        <v>80111600</v>
      </c>
      <c r="I281" s="130">
        <v>7</v>
      </c>
      <c r="J281" s="130">
        <v>5</v>
      </c>
      <c r="K281" s="56">
        <v>0</v>
      </c>
      <c r="L281" s="57">
        <v>26960000</v>
      </c>
      <c r="M281" s="129" t="s">
        <v>173</v>
      </c>
      <c r="N281" s="57" t="s">
        <v>114</v>
      </c>
      <c r="O281" s="54" t="s">
        <v>230</v>
      </c>
      <c r="P281" s="131" t="str">
        <f>IFERROR(VLOOKUP(C281,TD!$B$32:$F$36,2,0)," ")</f>
        <v>O230117</v>
      </c>
      <c r="Q281" s="131" t="str">
        <f>IFERROR(VLOOKUP(C281,TD!$B$32:$F$36,3,0)," ")</f>
        <v>4503</v>
      </c>
      <c r="R281" s="131">
        <f>IFERROR(VLOOKUP(C281,TD!$B$32:$F$36,4,0)," ")</f>
        <v>20240255</v>
      </c>
      <c r="S281" s="54" t="s">
        <v>184</v>
      </c>
      <c r="T281" s="131" t="str">
        <f>IFERROR(VLOOKUP(S281,TD!$J$33:$K$43,2,0)," ")</f>
        <v>Servicio de formación en gestión del riesgo de incendios para el personal UAECOB</v>
      </c>
      <c r="U281" s="54" t="str">
        <f t="shared" si="16"/>
        <v>07-Servicio de formación en gestión del riesgo de incendios para el personal UAECOB</v>
      </c>
      <c r="V281" s="54" t="s">
        <v>234</v>
      </c>
      <c r="W281" s="131" t="str">
        <f>IFERROR(VLOOKUP(V281,TD!$N$33:$O$45,2,0)," ")</f>
        <v>Servicio de educación informal</v>
      </c>
      <c r="X281" s="54" t="str">
        <f t="shared" si="17"/>
        <v>002_Servicio de educación informal</v>
      </c>
      <c r="Y281" s="54" t="str">
        <f t="shared" si="18"/>
        <v>07-Servicio de formación en gestión del riesgo de incendios para el personal UAECOB 002_Servicio de educación informal</v>
      </c>
      <c r="Z281" s="131" t="str">
        <f t="shared" si="19"/>
        <v>O23011745032024025507002</v>
      </c>
      <c r="AA281" s="131" t="str">
        <f>IFERROR(VLOOKUP(Y281,TD!$K$46:$L$64,2,0)," ")</f>
        <v>PM/0131/0107/45030020255</v>
      </c>
      <c r="AB281" s="57" t="s">
        <v>139</v>
      </c>
      <c r="AC281" s="132" t="s">
        <v>205</v>
      </c>
    </row>
    <row r="282" spans="2:29" s="28" customFormat="1" ht="71.25">
      <c r="B282" s="85">
        <v>20241031</v>
      </c>
      <c r="C282" s="53" t="s">
        <v>210</v>
      </c>
      <c r="D282" s="129" t="s">
        <v>166</v>
      </c>
      <c r="E282" s="54" t="s">
        <v>856</v>
      </c>
      <c r="F282" s="129" t="s">
        <v>556</v>
      </c>
      <c r="G282" s="129" t="s">
        <v>156</v>
      </c>
      <c r="H282" s="117">
        <v>80111600</v>
      </c>
      <c r="I282" s="130">
        <v>8</v>
      </c>
      <c r="J282" s="130">
        <v>3</v>
      </c>
      <c r="K282" s="56">
        <v>15</v>
      </c>
      <c r="L282" s="57">
        <v>16086000</v>
      </c>
      <c r="M282" s="129" t="s">
        <v>173</v>
      </c>
      <c r="N282" s="57" t="s">
        <v>114</v>
      </c>
      <c r="O282" s="54" t="s">
        <v>230</v>
      </c>
      <c r="P282" s="131" t="str">
        <f>IFERROR(VLOOKUP(C282,TD!$B$32:$F$36,2,0)," ")</f>
        <v>O230117</v>
      </c>
      <c r="Q282" s="131" t="str">
        <f>IFERROR(VLOOKUP(C282,TD!$B$32:$F$36,3,0)," ")</f>
        <v>4503</v>
      </c>
      <c r="R282" s="131">
        <f>IFERROR(VLOOKUP(C282,TD!$B$32:$F$36,4,0)," ")</f>
        <v>20240255</v>
      </c>
      <c r="S282" s="54" t="s">
        <v>184</v>
      </c>
      <c r="T282" s="131" t="str">
        <f>IFERROR(VLOOKUP(S282,TD!$J$33:$K$43,2,0)," ")</f>
        <v>Servicio de formación en gestión del riesgo de incendios para el personal UAECOB</v>
      </c>
      <c r="U282" s="54" t="str">
        <f t="shared" si="16"/>
        <v>07-Servicio de formación en gestión del riesgo de incendios para el personal UAECOB</v>
      </c>
      <c r="V282" s="54" t="s">
        <v>234</v>
      </c>
      <c r="W282" s="131" t="str">
        <f>IFERROR(VLOOKUP(V282,TD!$N$33:$O$45,2,0)," ")</f>
        <v>Servicio de educación informal</v>
      </c>
      <c r="X282" s="54" t="str">
        <f t="shared" si="17"/>
        <v>002_Servicio de educación informal</v>
      </c>
      <c r="Y282" s="54" t="str">
        <f t="shared" si="18"/>
        <v>07-Servicio de formación en gestión del riesgo de incendios para el personal UAECOB 002_Servicio de educación informal</v>
      </c>
      <c r="Z282" s="131" t="str">
        <f t="shared" si="19"/>
        <v>O23011745032024025507002</v>
      </c>
      <c r="AA282" s="131" t="str">
        <f>IFERROR(VLOOKUP(Y282,TD!$K$46:$L$64,2,0)," ")</f>
        <v>PM/0131/0107/45030020255</v>
      </c>
      <c r="AB282" s="57" t="s">
        <v>139</v>
      </c>
      <c r="AC282" s="132" t="s">
        <v>205</v>
      </c>
    </row>
    <row r="283" spans="2:29" s="28" customFormat="1" ht="57">
      <c r="B283" s="85">
        <v>20241032</v>
      </c>
      <c r="C283" s="53" t="s">
        <v>210</v>
      </c>
      <c r="D283" s="129" t="s">
        <v>166</v>
      </c>
      <c r="E283" s="54" t="s">
        <v>856</v>
      </c>
      <c r="F283" s="129" t="s">
        <v>551</v>
      </c>
      <c r="G283" s="129" t="s">
        <v>156</v>
      </c>
      <c r="H283" s="117">
        <v>80111600</v>
      </c>
      <c r="I283" s="130">
        <v>8</v>
      </c>
      <c r="J283" s="130">
        <v>4</v>
      </c>
      <c r="K283" s="56">
        <v>0</v>
      </c>
      <c r="L283" s="57">
        <v>16068000</v>
      </c>
      <c r="M283" s="129" t="s">
        <v>173</v>
      </c>
      <c r="N283" s="57" t="s">
        <v>114</v>
      </c>
      <c r="O283" s="54" t="s">
        <v>230</v>
      </c>
      <c r="P283" s="131" t="str">
        <f>IFERROR(VLOOKUP(C283,TD!$B$32:$F$36,2,0)," ")</f>
        <v>O230117</v>
      </c>
      <c r="Q283" s="131" t="str">
        <f>IFERROR(VLOOKUP(C283,TD!$B$32:$F$36,3,0)," ")</f>
        <v>4503</v>
      </c>
      <c r="R283" s="131">
        <f>IFERROR(VLOOKUP(C283,TD!$B$32:$F$36,4,0)," ")</f>
        <v>20240255</v>
      </c>
      <c r="S283" s="54" t="s">
        <v>184</v>
      </c>
      <c r="T283" s="131" t="str">
        <f>IFERROR(VLOOKUP(S283,TD!$J$33:$K$43,2,0)," ")</f>
        <v>Servicio de formación en gestión del riesgo de incendios para el personal UAECOB</v>
      </c>
      <c r="U283" s="54" t="str">
        <f t="shared" si="16"/>
        <v>07-Servicio de formación en gestión del riesgo de incendios para el personal UAECOB</v>
      </c>
      <c r="V283" s="54" t="s">
        <v>234</v>
      </c>
      <c r="W283" s="131" t="str">
        <f>IFERROR(VLOOKUP(V283,TD!$N$33:$O$45,2,0)," ")</f>
        <v>Servicio de educación informal</v>
      </c>
      <c r="X283" s="54" t="str">
        <f t="shared" si="17"/>
        <v>002_Servicio de educación informal</v>
      </c>
      <c r="Y283" s="54" t="str">
        <f t="shared" si="18"/>
        <v>07-Servicio de formación en gestión del riesgo de incendios para el personal UAECOB 002_Servicio de educación informal</v>
      </c>
      <c r="Z283" s="131" t="str">
        <f t="shared" si="19"/>
        <v>O23011745032024025507002</v>
      </c>
      <c r="AA283" s="131" t="str">
        <f>IFERROR(VLOOKUP(Y283,TD!$K$46:$L$64,2,0)," ")</f>
        <v>PM/0131/0107/45030020255</v>
      </c>
      <c r="AB283" s="57" t="s">
        <v>139</v>
      </c>
      <c r="AC283" s="132" t="s">
        <v>205</v>
      </c>
    </row>
    <row r="284" spans="2:29" s="28" customFormat="1" ht="57">
      <c r="B284" s="85">
        <v>20241033</v>
      </c>
      <c r="C284" s="53" t="s">
        <v>210</v>
      </c>
      <c r="D284" s="129" t="s">
        <v>166</v>
      </c>
      <c r="E284" s="54" t="s">
        <v>856</v>
      </c>
      <c r="F284" s="129" t="s">
        <v>551</v>
      </c>
      <c r="G284" s="129" t="s">
        <v>156</v>
      </c>
      <c r="H284" s="117">
        <v>80111600</v>
      </c>
      <c r="I284" s="130">
        <v>8</v>
      </c>
      <c r="J284" s="130">
        <v>2</v>
      </c>
      <c r="K284" s="56">
        <v>0</v>
      </c>
      <c r="L284" s="57">
        <v>10762000</v>
      </c>
      <c r="M284" s="129" t="s">
        <v>173</v>
      </c>
      <c r="N284" s="57" t="s">
        <v>114</v>
      </c>
      <c r="O284" s="54" t="s">
        <v>230</v>
      </c>
      <c r="P284" s="131" t="str">
        <f>IFERROR(VLOOKUP(C284,TD!$B$32:$F$36,2,0)," ")</f>
        <v>O230117</v>
      </c>
      <c r="Q284" s="131" t="str">
        <f>IFERROR(VLOOKUP(C284,TD!$B$32:$F$36,3,0)," ")</f>
        <v>4503</v>
      </c>
      <c r="R284" s="131">
        <f>IFERROR(VLOOKUP(C284,TD!$B$32:$F$36,4,0)," ")</f>
        <v>20240255</v>
      </c>
      <c r="S284" s="54" t="s">
        <v>184</v>
      </c>
      <c r="T284" s="131" t="str">
        <f>IFERROR(VLOOKUP(S284,TD!$J$33:$K$43,2,0)," ")</f>
        <v>Servicio de formación en gestión del riesgo de incendios para el personal UAECOB</v>
      </c>
      <c r="U284" s="54" t="str">
        <f t="shared" si="16"/>
        <v>07-Servicio de formación en gestión del riesgo de incendios para el personal UAECOB</v>
      </c>
      <c r="V284" s="54" t="s">
        <v>234</v>
      </c>
      <c r="W284" s="131" t="str">
        <f>IFERROR(VLOOKUP(V284,TD!$N$33:$O$45,2,0)," ")</f>
        <v>Servicio de educación informal</v>
      </c>
      <c r="X284" s="54" t="str">
        <f t="shared" si="17"/>
        <v>002_Servicio de educación informal</v>
      </c>
      <c r="Y284" s="54" t="str">
        <f t="shared" si="18"/>
        <v>07-Servicio de formación en gestión del riesgo de incendios para el personal UAECOB 002_Servicio de educación informal</v>
      </c>
      <c r="Z284" s="131" t="str">
        <f t="shared" si="19"/>
        <v>O23011745032024025507002</v>
      </c>
      <c r="AA284" s="131" t="str">
        <f>IFERROR(VLOOKUP(Y284,TD!$K$46:$L$64,2,0)," ")</f>
        <v>PM/0131/0107/45030020255</v>
      </c>
      <c r="AB284" s="57" t="s">
        <v>139</v>
      </c>
      <c r="AC284" s="132" t="s">
        <v>205</v>
      </c>
    </row>
    <row r="285" spans="2:29" s="28" customFormat="1" ht="57">
      <c r="B285" s="85">
        <v>20241034</v>
      </c>
      <c r="C285" s="53" t="s">
        <v>210</v>
      </c>
      <c r="D285" s="129" t="s">
        <v>166</v>
      </c>
      <c r="E285" s="54" t="s">
        <v>856</v>
      </c>
      <c r="F285" s="129" t="s">
        <v>557</v>
      </c>
      <c r="G285" s="129" t="s">
        <v>156</v>
      </c>
      <c r="H285" s="117">
        <v>80111600</v>
      </c>
      <c r="I285" s="130">
        <v>11</v>
      </c>
      <c r="J285" s="130">
        <v>4</v>
      </c>
      <c r="K285" s="56">
        <v>0</v>
      </c>
      <c r="L285" s="57">
        <v>26000000</v>
      </c>
      <c r="M285" s="129" t="s">
        <v>173</v>
      </c>
      <c r="N285" s="57" t="s">
        <v>114</v>
      </c>
      <c r="O285" s="54" t="s">
        <v>230</v>
      </c>
      <c r="P285" s="131" t="str">
        <f>IFERROR(VLOOKUP(C285,TD!$B$32:$F$36,2,0)," ")</f>
        <v>O230117</v>
      </c>
      <c r="Q285" s="131" t="str">
        <f>IFERROR(VLOOKUP(C285,TD!$B$32:$F$36,3,0)," ")</f>
        <v>4503</v>
      </c>
      <c r="R285" s="131">
        <f>IFERROR(VLOOKUP(C285,TD!$B$32:$F$36,4,0)," ")</f>
        <v>20240255</v>
      </c>
      <c r="S285" s="54" t="s">
        <v>184</v>
      </c>
      <c r="T285" s="131" t="str">
        <f>IFERROR(VLOOKUP(S285,TD!$J$33:$K$43,2,0)," ")</f>
        <v>Servicio de formación en gestión del riesgo de incendios para el personal UAECOB</v>
      </c>
      <c r="U285" s="54" t="str">
        <f t="shared" si="16"/>
        <v>07-Servicio de formación en gestión del riesgo de incendios para el personal UAECOB</v>
      </c>
      <c r="V285" s="54" t="s">
        <v>234</v>
      </c>
      <c r="W285" s="131" t="str">
        <f>IFERROR(VLOOKUP(V285,TD!$N$33:$O$45,2,0)," ")</f>
        <v>Servicio de educación informal</v>
      </c>
      <c r="X285" s="54" t="str">
        <f t="shared" si="17"/>
        <v>002_Servicio de educación informal</v>
      </c>
      <c r="Y285" s="54" t="str">
        <f t="shared" si="18"/>
        <v>07-Servicio de formación en gestión del riesgo de incendios para el personal UAECOB 002_Servicio de educación informal</v>
      </c>
      <c r="Z285" s="131" t="str">
        <f t="shared" si="19"/>
        <v>O23011745032024025507002</v>
      </c>
      <c r="AA285" s="131" t="str">
        <f>IFERROR(VLOOKUP(Y285,TD!$K$46:$L$64,2,0)," ")</f>
        <v>PM/0131/0107/45030020255</v>
      </c>
      <c r="AB285" s="57" t="s">
        <v>139</v>
      </c>
      <c r="AC285" s="132" t="s">
        <v>205</v>
      </c>
    </row>
    <row r="286" spans="2:29" s="28" customFormat="1" ht="71.25">
      <c r="B286" s="85">
        <v>20241035</v>
      </c>
      <c r="C286" s="53" t="s">
        <v>210</v>
      </c>
      <c r="D286" s="129" t="s">
        <v>166</v>
      </c>
      <c r="E286" s="54" t="s">
        <v>856</v>
      </c>
      <c r="F286" s="129" t="s">
        <v>558</v>
      </c>
      <c r="G286" s="129" t="s">
        <v>157</v>
      </c>
      <c r="H286" s="117">
        <v>80111600</v>
      </c>
      <c r="I286" s="130">
        <v>8</v>
      </c>
      <c r="J286" s="130">
        <v>5</v>
      </c>
      <c r="K286" s="56">
        <v>0</v>
      </c>
      <c r="L286" s="57">
        <v>12950000</v>
      </c>
      <c r="M286" s="129" t="s">
        <v>173</v>
      </c>
      <c r="N286" s="57" t="s">
        <v>114</v>
      </c>
      <c r="O286" s="54" t="s">
        <v>230</v>
      </c>
      <c r="P286" s="131" t="str">
        <f>IFERROR(VLOOKUP(C286,TD!$B$32:$F$36,2,0)," ")</f>
        <v>O230117</v>
      </c>
      <c r="Q286" s="131" t="str">
        <f>IFERROR(VLOOKUP(C286,TD!$B$32:$F$36,3,0)," ")</f>
        <v>4503</v>
      </c>
      <c r="R286" s="131">
        <f>IFERROR(VLOOKUP(C286,TD!$B$32:$F$36,4,0)," ")</f>
        <v>20240255</v>
      </c>
      <c r="S286" s="54" t="s">
        <v>184</v>
      </c>
      <c r="T286" s="131" t="str">
        <f>IFERROR(VLOOKUP(S286,TD!$J$33:$K$43,2,0)," ")</f>
        <v>Servicio de formación en gestión del riesgo de incendios para el personal UAECOB</v>
      </c>
      <c r="U286" s="54" t="str">
        <f t="shared" si="16"/>
        <v>07-Servicio de formación en gestión del riesgo de incendios para el personal UAECOB</v>
      </c>
      <c r="V286" s="54" t="s">
        <v>234</v>
      </c>
      <c r="W286" s="131" t="str">
        <f>IFERROR(VLOOKUP(V286,TD!$N$33:$O$45,2,0)," ")</f>
        <v>Servicio de educación informal</v>
      </c>
      <c r="X286" s="54" t="str">
        <f t="shared" si="17"/>
        <v>002_Servicio de educación informal</v>
      </c>
      <c r="Y286" s="54" t="str">
        <f t="shared" si="18"/>
        <v>07-Servicio de formación en gestión del riesgo de incendios para el personal UAECOB 002_Servicio de educación informal</v>
      </c>
      <c r="Z286" s="131" t="str">
        <f t="shared" si="19"/>
        <v>O23011745032024025507002</v>
      </c>
      <c r="AA286" s="131" t="str">
        <f>IFERROR(VLOOKUP(Y286,TD!$K$46:$L$64,2,0)," ")</f>
        <v>PM/0131/0107/45030020255</v>
      </c>
      <c r="AB286" s="57" t="s">
        <v>139</v>
      </c>
      <c r="AC286" s="132" t="s">
        <v>205</v>
      </c>
    </row>
    <row r="287" spans="2:29" s="28" customFormat="1" ht="57">
      <c r="B287" s="85">
        <v>20241036</v>
      </c>
      <c r="C287" s="53" t="s">
        <v>210</v>
      </c>
      <c r="D287" s="129" t="s">
        <v>166</v>
      </c>
      <c r="E287" s="54" t="s">
        <v>856</v>
      </c>
      <c r="F287" s="129" t="s">
        <v>559</v>
      </c>
      <c r="G287" s="129" t="s">
        <v>156</v>
      </c>
      <c r="H287" s="117">
        <v>80111600</v>
      </c>
      <c r="I287" s="130">
        <v>7</v>
      </c>
      <c r="J287" s="130">
        <v>5</v>
      </c>
      <c r="K287" s="56">
        <v>0</v>
      </c>
      <c r="L287" s="57">
        <v>20085000</v>
      </c>
      <c r="M287" s="129" t="s">
        <v>173</v>
      </c>
      <c r="N287" s="57" t="s">
        <v>114</v>
      </c>
      <c r="O287" s="54" t="s">
        <v>230</v>
      </c>
      <c r="P287" s="131" t="str">
        <f>IFERROR(VLOOKUP(C287,TD!$B$32:$F$36,2,0)," ")</f>
        <v>O230117</v>
      </c>
      <c r="Q287" s="131" t="str">
        <f>IFERROR(VLOOKUP(C287,TD!$B$32:$F$36,3,0)," ")</f>
        <v>4503</v>
      </c>
      <c r="R287" s="131">
        <f>IFERROR(VLOOKUP(C287,TD!$B$32:$F$36,4,0)," ")</f>
        <v>20240255</v>
      </c>
      <c r="S287" s="54" t="s">
        <v>184</v>
      </c>
      <c r="T287" s="131" t="str">
        <f>IFERROR(VLOOKUP(S287,TD!$J$33:$K$43,2,0)," ")</f>
        <v>Servicio de formación en gestión del riesgo de incendios para el personal UAECOB</v>
      </c>
      <c r="U287" s="54" t="str">
        <f t="shared" si="16"/>
        <v>07-Servicio de formación en gestión del riesgo de incendios para el personal UAECOB</v>
      </c>
      <c r="V287" s="54" t="s">
        <v>234</v>
      </c>
      <c r="W287" s="131" t="str">
        <f>IFERROR(VLOOKUP(V287,TD!$N$33:$O$45,2,0)," ")</f>
        <v>Servicio de educación informal</v>
      </c>
      <c r="X287" s="54" t="str">
        <f t="shared" si="17"/>
        <v>002_Servicio de educación informal</v>
      </c>
      <c r="Y287" s="54" t="str">
        <f t="shared" si="18"/>
        <v>07-Servicio de formación en gestión del riesgo de incendios para el personal UAECOB 002_Servicio de educación informal</v>
      </c>
      <c r="Z287" s="131" t="str">
        <f t="shared" si="19"/>
        <v>O23011745032024025507002</v>
      </c>
      <c r="AA287" s="131" t="str">
        <f>IFERROR(VLOOKUP(Y287,TD!$K$46:$L$64,2,0)," ")</f>
        <v>PM/0131/0107/45030020255</v>
      </c>
      <c r="AB287" s="57" t="s">
        <v>139</v>
      </c>
      <c r="AC287" s="132" t="s">
        <v>205</v>
      </c>
    </row>
    <row r="288" spans="2:29" s="28" customFormat="1" ht="57">
      <c r="B288" s="85">
        <v>20241037</v>
      </c>
      <c r="C288" s="53" t="s">
        <v>210</v>
      </c>
      <c r="D288" s="129" t="s">
        <v>166</v>
      </c>
      <c r="E288" s="54" t="s">
        <v>856</v>
      </c>
      <c r="F288" s="129" t="s">
        <v>755</v>
      </c>
      <c r="G288" s="129" t="s">
        <v>156</v>
      </c>
      <c r="H288" s="117">
        <v>80111600</v>
      </c>
      <c r="I288" s="130">
        <v>9</v>
      </c>
      <c r="J288" s="130">
        <v>5</v>
      </c>
      <c r="K288" s="56">
        <v>0</v>
      </c>
      <c r="L288" s="57">
        <v>25450000</v>
      </c>
      <c r="M288" s="129" t="s">
        <v>173</v>
      </c>
      <c r="N288" s="57" t="s">
        <v>114</v>
      </c>
      <c r="O288" s="54" t="s">
        <v>230</v>
      </c>
      <c r="P288" s="131" t="str">
        <f>IFERROR(VLOOKUP(C288,TD!$B$32:$F$36,2,0)," ")</f>
        <v>O230117</v>
      </c>
      <c r="Q288" s="131" t="str">
        <f>IFERROR(VLOOKUP(C288,TD!$B$32:$F$36,3,0)," ")</f>
        <v>4503</v>
      </c>
      <c r="R288" s="131">
        <f>IFERROR(VLOOKUP(C288,TD!$B$32:$F$36,4,0)," ")</f>
        <v>20240255</v>
      </c>
      <c r="S288" s="54" t="s">
        <v>184</v>
      </c>
      <c r="T288" s="131" t="str">
        <f>IFERROR(VLOOKUP(S288,TD!$J$33:$K$43,2,0)," ")</f>
        <v>Servicio de formación en gestión del riesgo de incendios para el personal UAECOB</v>
      </c>
      <c r="U288" s="54" t="str">
        <f t="shared" si="16"/>
        <v>07-Servicio de formación en gestión del riesgo de incendios para el personal UAECOB</v>
      </c>
      <c r="V288" s="54" t="s">
        <v>234</v>
      </c>
      <c r="W288" s="131" t="str">
        <f>IFERROR(VLOOKUP(V288,TD!$N$33:$O$45,2,0)," ")</f>
        <v>Servicio de educación informal</v>
      </c>
      <c r="X288" s="54" t="str">
        <f t="shared" si="17"/>
        <v>002_Servicio de educación informal</v>
      </c>
      <c r="Y288" s="54" t="str">
        <f t="shared" si="18"/>
        <v>07-Servicio de formación en gestión del riesgo de incendios para el personal UAECOB 002_Servicio de educación informal</v>
      </c>
      <c r="Z288" s="131" t="str">
        <f t="shared" si="19"/>
        <v>O23011745032024025507002</v>
      </c>
      <c r="AA288" s="131" t="str">
        <f>IFERROR(VLOOKUP(Y288,TD!$K$46:$L$64,2,0)," ")</f>
        <v>PM/0131/0107/45030020255</v>
      </c>
      <c r="AB288" s="57" t="s">
        <v>139</v>
      </c>
      <c r="AC288" s="132" t="s">
        <v>205</v>
      </c>
    </row>
    <row r="289" spans="2:29" s="28" customFormat="1" ht="71.25">
      <c r="B289" s="85">
        <v>20241038</v>
      </c>
      <c r="C289" s="53" t="s">
        <v>210</v>
      </c>
      <c r="D289" s="129" t="s">
        <v>166</v>
      </c>
      <c r="E289" s="54" t="s">
        <v>856</v>
      </c>
      <c r="F289" s="129" t="s">
        <v>560</v>
      </c>
      <c r="G289" s="129" t="s">
        <v>157</v>
      </c>
      <c r="H289" s="117">
        <v>80111600</v>
      </c>
      <c r="I289" s="130">
        <v>9</v>
      </c>
      <c r="J289" s="130">
        <v>3</v>
      </c>
      <c r="K289" s="56">
        <v>15</v>
      </c>
      <c r="L289" s="57">
        <v>13125000</v>
      </c>
      <c r="M289" s="129" t="s">
        <v>173</v>
      </c>
      <c r="N289" s="57" t="s">
        <v>114</v>
      </c>
      <c r="O289" s="54" t="s">
        <v>230</v>
      </c>
      <c r="P289" s="131" t="str">
        <f>IFERROR(VLOOKUP(C289,TD!$B$32:$F$36,2,0)," ")</f>
        <v>O230117</v>
      </c>
      <c r="Q289" s="131" t="str">
        <f>IFERROR(VLOOKUP(C289,TD!$B$32:$F$36,3,0)," ")</f>
        <v>4503</v>
      </c>
      <c r="R289" s="131">
        <f>IFERROR(VLOOKUP(C289,TD!$B$32:$F$36,4,0)," ")</f>
        <v>20240255</v>
      </c>
      <c r="S289" s="54" t="s">
        <v>184</v>
      </c>
      <c r="T289" s="131" t="str">
        <f>IFERROR(VLOOKUP(S289,TD!$J$33:$K$43,2,0)," ")</f>
        <v>Servicio de formación en gestión del riesgo de incendios para el personal UAECOB</v>
      </c>
      <c r="U289" s="54" t="str">
        <f t="shared" si="16"/>
        <v>07-Servicio de formación en gestión del riesgo de incendios para el personal UAECOB</v>
      </c>
      <c r="V289" s="54" t="s">
        <v>234</v>
      </c>
      <c r="W289" s="131" t="str">
        <f>IFERROR(VLOOKUP(V289,TD!$N$33:$O$45,2,0)," ")</f>
        <v>Servicio de educación informal</v>
      </c>
      <c r="X289" s="54" t="str">
        <f t="shared" si="17"/>
        <v>002_Servicio de educación informal</v>
      </c>
      <c r="Y289" s="54" t="str">
        <f t="shared" si="18"/>
        <v>07-Servicio de formación en gestión del riesgo de incendios para el personal UAECOB 002_Servicio de educación informal</v>
      </c>
      <c r="Z289" s="131" t="str">
        <f t="shared" si="19"/>
        <v>O23011745032024025507002</v>
      </c>
      <c r="AA289" s="131" t="str">
        <f>IFERROR(VLOOKUP(Y289,TD!$K$46:$L$64,2,0)," ")</f>
        <v>PM/0131/0107/45030020255</v>
      </c>
      <c r="AB289" s="57" t="s">
        <v>139</v>
      </c>
      <c r="AC289" s="132" t="s">
        <v>205</v>
      </c>
    </row>
    <row r="290" spans="2:29" s="28" customFormat="1" ht="71.25">
      <c r="B290" s="85">
        <v>20241039</v>
      </c>
      <c r="C290" s="53" t="s">
        <v>210</v>
      </c>
      <c r="D290" s="129" t="s">
        <v>166</v>
      </c>
      <c r="E290" s="54" t="s">
        <v>856</v>
      </c>
      <c r="F290" s="129" t="s">
        <v>561</v>
      </c>
      <c r="G290" s="129" t="s">
        <v>157</v>
      </c>
      <c r="H290" s="117">
        <v>80111600</v>
      </c>
      <c r="I290" s="130">
        <v>9</v>
      </c>
      <c r="J290" s="130">
        <v>5</v>
      </c>
      <c r="K290" s="56">
        <v>0</v>
      </c>
      <c r="L290" s="57">
        <f>26904555+70000000-2645000-13677500-12950000+206040000</f>
        <v>273672055</v>
      </c>
      <c r="M290" s="129" t="s">
        <v>173</v>
      </c>
      <c r="N290" s="57" t="s">
        <v>114</v>
      </c>
      <c r="O290" s="54" t="s">
        <v>230</v>
      </c>
      <c r="P290" s="131" t="str">
        <f>IFERROR(VLOOKUP(C290,TD!$B$32:$F$36,2,0)," ")</f>
        <v>O230117</v>
      </c>
      <c r="Q290" s="131" t="str">
        <f>IFERROR(VLOOKUP(C290,TD!$B$32:$F$36,3,0)," ")</f>
        <v>4503</v>
      </c>
      <c r="R290" s="131">
        <f>IFERROR(VLOOKUP(C290,TD!$B$32:$F$36,4,0)," ")</f>
        <v>20240255</v>
      </c>
      <c r="S290" s="54" t="s">
        <v>184</v>
      </c>
      <c r="T290" s="131" t="str">
        <f>IFERROR(VLOOKUP(S290,TD!$J$33:$K$43,2,0)," ")</f>
        <v>Servicio de formación en gestión del riesgo de incendios para el personal UAECOB</v>
      </c>
      <c r="U290" s="54" t="str">
        <f t="shared" si="16"/>
        <v>07-Servicio de formación en gestión del riesgo de incendios para el personal UAECOB</v>
      </c>
      <c r="V290" s="54" t="s">
        <v>234</v>
      </c>
      <c r="W290" s="131" t="str">
        <f>IFERROR(VLOOKUP(V290,TD!$N$33:$O$45,2,0)," ")</f>
        <v>Servicio de educación informal</v>
      </c>
      <c r="X290" s="54" t="str">
        <f t="shared" si="17"/>
        <v>002_Servicio de educación informal</v>
      </c>
      <c r="Y290" s="54" t="str">
        <f t="shared" si="18"/>
        <v>07-Servicio de formación en gestión del riesgo de incendios para el personal UAECOB 002_Servicio de educación informal</v>
      </c>
      <c r="Z290" s="131" t="str">
        <f t="shared" si="19"/>
        <v>O23011745032024025507002</v>
      </c>
      <c r="AA290" s="131" t="str">
        <f>IFERROR(VLOOKUP(Y290,TD!$K$46:$L$64,2,0)," ")</f>
        <v>PM/0131/0107/45030020255</v>
      </c>
      <c r="AB290" s="57" t="s">
        <v>139</v>
      </c>
      <c r="AC290" s="132" t="s">
        <v>205</v>
      </c>
    </row>
    <row r="291" spans="2:29" s="28" customFormat="1" ht="57">
      <c r="B291" s="85">
        <v>20241040</v>
      </c>
      <c r="C291" s="53" t="s">
        <v>210</v>
      </c>
      <c r="D291" s="129" t="s">
        <v>790</v>
      </c>
      <c r="E291" s="54" t="s">
        <v>856</v>
      </c>
      <c r="F291" s="129" t="s">
        <v>702</v>
      </c>
      <c r="G291" s="129" t="s">
        <v>156</v>
      </c>
      <c r="H291" s="117">
        <v>80111600</v>
      </c>
      <c r="I291" s="130">
        <v>7</v>
      </c>
      <c r="J291" s="130">
        <v>6</v>
      </c>
      <c r="K291" s="56">
        <v>0</v>
      </c>
      <c r="L291" s="57">
        <v>1545072622</v>
      </c>
      <c r="M291" s="129" t="s">
        <v>173</v>
      </c>
      <c r="N291" s="57" t="s">
        <v>349</v>
      </c>
      <c r="O291" s="54" t="s">
        <v>230</v>
      </c>
      <c r="P291" s="131" t="str">
        <f>IFERROR(VLOOKUP(C291,TD!$B$32:$F$36,2,0)," ")</f>
        <v>O230117</v>
      </c>
      <c r="Q291" s="131" t="str">
        <f>IFERROR(VLOOKUP(C291,TD!$B$32:$F$36,3,0)," ")</f>
        <v>4503</v>
      </c>
      <c r="R291" s="131">
        <f>IFERROR(VLOOKUP(C291,TD!$B$32:$F$36,4,0)," ")</f>
        <v>20240255</v>
      </c>
      <c r="S291" s="54" t="s">
        <v>184</v>
      </c>
      <c r="T291" s="131" t="str">
        <f>IFERROR(VLOOKUP(S291,TD!$J$33:$K$43,2,0)," ")</f>
        <v>Servicio de formación en gestión del riesgo de incendios para el personal UAECOB</v>
      </c>
      <c r="U291" s="54" t="str">
        <f t="shared" si="16"/>
        <v>07-Servicio de formación en gestión del riesgo de incendios para el personal UAECOB</v>
      </c>
      <c r="V291" s="54" t="s">
        <v>234</v>
      </c>
      <c r="W291" s="131" t="str">
        <f>IFERROR(VLOOKUP(V291,TD!$N$33:$O$45,2,0)," ")</f>
        <v>Servicio de educación informal</v>
      </c>
      <c r="X291" s="54" t="str">
        <f t="shared" si="17"/>
        <v>002_Servicio de educación informal</v>
      </c>
      <c r="Y291" s="54" t="str">
        <f t="shared" si="18"/>
        <v>07-Servicio de formación en gestión del riesgo de incendios para el personal UAECOB 002_Servicio de educación informal</v>
      </c>
      <c r="Z291" s="131" t="str">
        <f t="shared" si="19"/>
        <v>O23011745032024025507002</v>
      </c>
      <c r="AA291" s="131" t="str">
        <f>IFERROR(VLOOKUP(Y291,TD!$K$46:$L$64,2,0)," ")</f>
        <v>PM/0131/0107/45030020255</v>
      </c>
      <c r="AB291" s="57" t="s">
        <v>139</v>
      </c>
      <c r="AC291" s="132" t="s">
        <v>206</v>
      </c>
    </row>
    <row r="292" spans="2:29" s="28" customFormat="1" ht="71.25">
      <c r="B292" s="85">
        <v>20241041</v>
      </c>
      <c r="C292" s="53" t="s">
        <v>210</v>
      </c>
      <c r="D292" s="129" t="s">
        <v>167</v>
      </c>
      <c r="E292" s="54" t="s">
        <v>568</v>
      </c>
      <c r="F292" s="129" t="s">
        <v>569</v>
      </c>
      <c r="G292" s="129" t="s">
        <v>138</v>
      </c>
      <c r="H292" s="118" t="s">
        <v>567</v>
      </c>
      <c r="I292" s="130">
        <v>0</v>
      </c>
      <c r="J292" s="130">
        <v>0</v>
      </c>
      <c r="K292" s="56">
        <v>0</v>
      </c>
      <c r="L292" s="57">
        <f>41869949+51912253+6416666</f>
        <v>100198868</v>
      </c>
      <c r="M292" s="129" t="s">
        <v>174</v>
      </c>
      <c r="N292" s="57" t="s">
        <v>129</v>
      </c>
      <c r="O292" s="54" t="s">
        <v>228</v>
      </c>
      <c r="P292" s="131" t="str">
        <f>IFERROR(VLOOKUP(C292,TD!$B$32:$F$36,2,0)," ")</f>
        <v>O230117</v>
      </c>
      <c r="Q292" s="131" t="str">
        <f>IFERROR(VLOOKUP(C292,TD!$B$32:$F$36,3,0)," ")</f>
        <v>4503</v>
      </c>
      <c r="R292" s="131">
        <f>IFERROR(VLOOKUP(C292,TD!$B$32:$F$36,4,0)," ")</f>
        <v>20240255</v>
      </c>
      <c r="S292" s="54" t="s">
        <v>186</v>
      </c>
      <c r="T292" s="131" t="str">
        <f>IFERROR(VLOOKUP(S292,TD!$J$33:$K$43,2,0)," ")</f>
        <v>Infraestructura física, mantenimiento y dotación (Sedes construidas, mantenidas reforzadas)</v>
      </c>
      <c r="U292" s="54" t="str">
        <f t="shared" si="16"/>
        <v>08-Infraestructura física, mantenimiento y dotación (Sedes construidas, mantenidas reforzadas)</v>
      </c>
      <c r="V292" s="54" t="s">
        <v>237</v>
      </c>
      <c r="W292" s="131" t="str">
        <f>IFERROR(VLOOKUP(V292,TD!$N$33:$O$45,2,0)," ")</f>
        <v>Estaciones de bomberos adecuadas</v>
      </c>
      <c r="X292" s="54" t="str">
        <f t="shared" si="17"/>
        <v>014_Estaciones de bomberos adecuadas</v>
      </c>
      <c r="Y292" s="54" t="str">
        <f t="shared" si="18"/>
        <v>08-Infraestructura física, mantenimiento y dotación (Sedes construidas, mantenidas reforzadas) 014_Estaciones de bomberos adecuadas</v>
      </c>
      <c r="Z292" s="131" t="str">
        <f t="shared" si="19"/>
        <v>O23011745032024025508014</v>
      </c>
      <c r="AA292" s="131" t="str">
        <f>IFERROR(VLOOKUP(Y292,TD!$K$46:$L$64,2,0)," ")</f>
        <v>PM/0131/0108/45030140255</v>
      </c>
      <c r="AB292" s="57" t="s">
        <v>103</v>
      </c>
      <c r="AC292" s="132" t="s">
        <v>206</v>
      </c>
    </row>
    <row r="293" spans="2:29" s="28" customFormat="1" ht="57">
      <c r="B293" s="85">
        <v>20241042</v>
      </c>
      <c r="C293" s="53" t="s">
        <v>209</v>
      </c>
      <c r="D293" s="129" t="s">
        <v>167</v>
      </c>
      <c r="E293" s="54" t="s">
        <v>568</v>
      </c>
      <c r="F293" s="129" t="s">
        <v>570</v>
      </c>
      <c r="G293" s="129" t="s">
        <v>87</v>
      </c>
      <c r="H293" s="118" t="s">
        <v>611</v>
      </c>
      <c r="I293" s="130">
        <v>8</v>
      </c>
      <c r="J293" s="130">
        <v>4</v>
      </c>
      <c r="K293" s="56">
        <v>0</v>
      </c>
      <c r="L293" s="57">
        <v>220000000</v>
      </c>
      <c r="M293" s="129" t="s">
        <v>173</v>
      </c>
      <c r="N293" s="57" t="s">
        <v>124</v>
      </c>
      <c r="O293" s="54" t="s">
        <v>219</v>
      </c>
      <c r="P293" s="131" t="str">
        <f>IFERROR(VLOOKUP(C293,TD!$B$32:$F$36,2,0)," ")</f>
        <v>O230117</v>
      </c>
      <c r="Q293" s="131" t="str">
        <f>IFERROR(VLOOKUP(C293,TD!$B$32:$F$36,3,0)," ")</f>
        <v>4599</v>
      </c>
      <c r="R293" s="131">
        <f>IFERROR(VLOOKUP(C293,TD!$B$32:$F$36,4,0)," ")</f>
        <v>20240207</v>
      </c>
      <c r="S293" s="54" t="s">
        <v>186</v>
      </c>
      <c r="T293" s="131" t="str">
        <f>IFERROR(VLOOKUP(S293,TD!$J$33:$K$43,2,0)," ")</f>
        <v>Infraestructura física, mantenimiento y dotación (Sedes construidas, mantenidas reforzadas)</v>
      </c>
      <c r="U293" s="54" t="str">
        <f t="shared" si="16"/>
        <v>08-Infraestructura física, mantenimiento y dotación (Sedes construidas, mantenidas reforzadas)</v>
      </c>
      <c r="V293" s="54" t="s">
        <v>239</v>
      </c>
      <c r="W293" s="131" t="str">
        <f>IFERROR(VLOOKUP(V293,TD!$N$33:$O$45,2,0)," ")</f>
        <v>Sedes mantenidas</v>
      </c>
      <c r="X293" s="54" t="str">
        <f t="shared" si="17"/>
        <v>016_Sedes mantenidas</v>
      </c>
      <c r="Y293" s="54" t="str">
        <f t="shared" si="18"/>
        <v>08-Infraestructura física, mantenimiento y dotación (Sedes construidas, mantenidas reforzadas) 016_Sedes mantenidas</v>
      </c>
      <c r="Z293" s="131" t="str">
        <f t="shared" si="19"/>
        <v>O23011745992024020708016</v>
      </c>
      <c r="AA293" s="131" t="str">
        <f>IFERROR(VLOOKUP(Y293,TD!$K$46:$L$64,2,0)," ")</f>
        <v>PM/0131/0108/45990160207</v>
      </c>
      <c r="AB293" s="57" t="s">
        <v>144</v>
      </c>
      <c r="AC293" s="132" t="s">
        <v>206</v>
      </c>
    </row>
    <row r="294" spans="2:29" s="28" customFormat="1" ht="71.25">
      <c r="B294" s="85">
        <v>20241043</v>
      </c>
      <c r="C294" s="53" t="s">
        <v>210</v>
      </c>
      <c r="D294" s="129" t="s">
        <v>167</v>
      </c>
      <c r="E294" s="54" t="s">
        <v>568</v>
      </c>
      <c r="F294" s="129" t="s">
        <v>571</v>
      </c>
      <c r="G294" s="129" t="s">
        <v>156</v>
      </c>
      <c r="H294" s="118" t="s">
        <v>612</v>
      </c>
      <c r="I294" s="130">
        <v>8</v>
      </c>
      <c r="J294" s="130">
        <v>6</v>
      </c>
      <c r="K294" s="56">
        <v>0</v>
      </c>
      <c r="L294" s="57">
        <v>24000000</v>
      </c>
      <c r="M294" s="129" t="s">
        <v>173</v>
      </c>
      <c r="N294" s="57" t="s">
        <v>114</v>
      </c>
      <c r="O294" s="54" t="s">
        <v>231</v>
      </c>
      <c r="P294" s="131" t="str">
        <f>IFERROR(VLOOKUP(C294,TD!$B$32:$F$36,2,0)," ")</f>
        <v>O230117</v>
      </c>
      <c r="Q294" s="131" t="str">
        <f>IFERROR(VLOOKUP(C294,TD!$B$32:$F$36,3,0)," ")</f>
        <v>4503</v>
      </c>
      <c r="R294" s="131">
        <f>IFERROR(VLOOKUP(C294,TD!$B$32:$F$36,4,0)," ")</f>
        <v>20240255</v>
      </c>
      <c r="S294" s="54" t="s">
        <v>186</v>
      </c>
      <c r="T294" s="131" t="str">
        <f>IFERROR(VLOOKUP(S294,TD!$J$33:$K$43,2,0)," ")</f>
        <v>Infraestructura física, mantenimiento y dotación (Sedes construidas, mantenidas reforzadas)</v>
      </c>
      <c r="U294" s="54" t="str">
        <f t="shared" si="16"/>
        <v>08-Infraestructura física, mantenimiento y dotación (Sedes construidas, mantenidas reforzadas)</v>
      </c>
      <c r="V294" s="54" t="s">
        <v>295</v>
      </c>
      <c r="W294" s="131" t="str">
        <f>IFERROR(VLOOKUP(V294,TD!$N$33:$O$45,2,0)," ")</f>
        <v>Documentos de lineamientos técnicos</v>
      </c>
      <c r="X294" s="54" t="str">
        <f t="shared" si="17"/>
        <v>031__Documentos de lineamientos técnicos</v>
      </c>
      <c r="Y294" s="54" t="str">
        <f t="shared" si="18"/>
        <v>08-Infraestructura física, mantenimiento y dotación (Sedes construidas, mantenidas reforzadas) 031__Documentos de lineamientos técnicos</v>
      </c>
      <c r="Z294" s="131" t="str">
        <f t="shared" si="19"/>
        <v>O23011745032024025508031_</v>
      </c>
      <c r="AA294" s="131" t="str">
        <f>IFERROR(VLOOKUP(Y294,TD!$K$46:$L$64,2,0)," ")</f>
        <v>PM/0131/0108/45030310255</v>
      </c>
      <c r="AB294" s="57" t="s">
        <v>139</v>
      </c>
      <c r="AC294" s="132" t="s">
        <v>205</v>
      </c>
    </row>
    <row r="295" spans="2:29" s="28" customFormat="1" ht="71.25">
      <c r="B295" s="85">
        <v>20241044</v>
      </c>
      <c r="C295" s="53" t="s">
        <v>210</v>
      </c>
      <c r="D295" s="129" t="s">
        <v>167</v>
      </c>
      <c r="E295" s="54" t="s">
        <v>568</v>
      </c>
      <c r="F295" s="129" t="s">
        <v>571</v>
      </c>
      <c r="G295" s="129" t="s">
        <v>156</v>
      </c>
      <c r="H295" s="118" t="s">
        <v>612</v>
      </c>
      <c r="I295" s="130">
        <v>8</v>
      </c>
      <c r="J295" s="130">
        <v>6</v>
      </c>
      <c r="K295" s="56">
        <v>0</v>
      </c>
      <c r="L295" s="57">
        <f>75912253-51912253</f>
        <v>24000000</v>
      </c>
      <c r="M295" s="129" t="s">
        <v>173</v>
      </c>
      <c r="N295" s="57" t="s">
        <v>114</v>
      </c>
      <c r="O295" s="54" t="s">
        <v>231</v>
      </c>
      <c r="P295" s="131" t="str">
        <f>IFERROR(VLOOKUP(C295,TD!$B$32:$F$36,2,0)," ")</f>
        <v>O230117</v>
      </c>
      <c r="Q295" s="131" t="str">
        <f>IFERROR(VLOOKUP(C295,TD!$B$32:$F$36,3,0)," ")</f>
        <v>4503</v>
      </c>
      <c r="R295" s="131">
        <f>IFERROR(VLOOKUP(C295,TD!$B$32:$F$36,4,0)," ")</f>
        <v>20240255</v>
      </c>
      <c r="S295" s="54" t="s">
        <v>186</v>
      </c>
      <c r="T295" s="131" t="str">
        <f>IFERROR(VLOOKUP(S295,TD!$J$33:$K$43,2,0)," ")</f>
        <v>Infraestructura física, mantenimiento y dotación (Sedes construidas, mantenidas reforzadas)</v>
      </c>
      <c r="U295" s="54" t="str">
        <f t="shared" si="16"/>
        <v>08-Infraestructura física, mantenimiento y dotación (Sedes construidas, mantenidas reforzadas)</v>
      </c>
      <c r="V295" s="54" t="s">
        <v>295</v>
      </c>
      <c r="W295" s="131" t="str">
        <f>IFERROR(VLOOKUP(V295,TD!$N$33:$O$45,2,0)," ")</f>
        <v>Documentos de lineamientos técnicos</v>
      </c>
      <c r="X295" s="54" t="str">
        <f t="shared" si="17"/>
        <v>031__Documentos de lineamientos técnicos</v>
      </c>
      <c r="Y295" s="54" t="str">
        <f t="shared" si="18"/>
        <v>08-Infraestructura física, mantenimiento y dotación (Sedes construidas, mantenidas reforzadas) 031__Documentos de lineamientos técnicos</v>
      </c>
      <c r="Z295" s="131" t="str">
        <f t="shared" si="19"/>
        <v>O23011745032024025508031_</v>
      </c>
      <c r="AA295" s="131" t="str">
        <f>IFERROR(VLOOKUP(Y295,TD!$K$46:$L$64,2,0)," ")</f>
        <v>PM/0131/0108/45030310255</v>
      </c>
      <c r="AB295" s="57" t="s">
        <v>139</v>
      </c>
      <c r="AC295" s="132" t="s">
        <v>205</v>
      </c>
    </row>
    <row r="296" spans="2:29" s="28" customFormat="1" ht="71.25">
      <c r="B296" s="85">
        <v>20241045</v>
      </c>
      <c r="C296" s="53" t="s">
        <v>210</v>
      </c>
      <c r="D296" s="129" t="s">
        <v>167</v>
      </c>
      <c r="E296" s="54" t="s">
        <v>568</v>
      </c>
      <c r="F296" s="129" t="s">
        <v>572</v>
      </c>
      <c r="G296" s="129" t="s">
        <v>138</v>
      </c>
      <c r="H296" s="118" t="s">
        <v>567</v>
      </c>
      <c r="I296" s="130">
        <v>0</v>
      </c>
      <c r="J296" s="130">
        <v>0</v>
      </c>
      <c r="K296" s="56">
        <v>0</v>
      </c>
      <c r="L296" s="57">
        <v>14385153</v>
      </c>
      <c r="M296" s="129" t="s">
        <v>174</v>
      </c>
      <c r="N296" s="57" t="s">
        <v>129</v>
      </c>
      <c r="O296" s="54" t="s">
        <v>228</v>
      </c>
      <c r="P296" s="131" t="str">
        <f>IFERROR(VLOOKUP(C296,TD!$B$32:$F$36,2,0)," ")</f>
        <v>O230117</v>
      </c>
      <c r="Q296" s="131" t="str">
        <f>IFERROR(VLOOKUP(C296,TD!$B$32:$F$36,3,0)," ")</f>
        <v>4503</v>
      </c>
      <c r="R296" s="131">
        <f>IFERROR(VLOOKUP(C296,TD!$B$32:$F$36,4,0)," ")</f>
        <v>20240255</v>
      </c>
      <c r="S296" s="54" t="s">
        <v>186</v>
      </c>
      <c r="T296" s="131" t="str">
        <f>IFERROR(VLOOKUP(S296,TD!$J$33:$K$43,2,0)," ")</f>
        <v>Infraestructura física, mantenimiento y dotación (Sedes construidas, mantenidas reforzadas)</v>
      </c>
      <c r="U296" s="54" t="str">
        <f t="shared" si="16"/>
        <v>08-Infraestructura física, mantenimiento y dotación (Sedes construidas, mantenidas reforzadas)</v>
      </c>
      <c r="V296" s="54" t="s">
        <v>237</v>
      </c>
      <c r="W296" s="131" t="str">
        <f>IFERROR(VLOOKUP(V296,TD!$N$33:$O$45,2,0)," ")</f>
        <v>Estaciones de bomberos adecuadas</v>
      </c>
      <c r="X296" s="54" t="str">
        <f t="shared" si="17"/>
        <v>014_Estaciones de bomberos adecuadas</v>
      </c>
      <c r="Y296" s="54" t="str">
        <f t="shared" si="18"/>
        <v>08-Infraestructura física, mantenimiento y dotación (Sedes construidas, mantenidas reforzadas) 014_Estaciones de bomberos adecuadas</v>
      </c>
      <c r="Z296" s="131" t="str">
        <f t="shared" si="19"/>
        <v>O23011745032024025508014</v>
      </c>
      <c r="AA296" s="131" t="str">
        <f>IFERROR(VLOOKUP(Y296,TD!$K$46:$L$64,2,0)," ")</f>
        <v>PM/0131/0108/45030140255</v>
      </c>
      <c r="AB296" s="57" t="s">
        <v>103</v>
      </c>
      <c r="AC296" s="132" t="s">
        <v>206</v>
      </c>
    </row>
    <row r="297" spans="2:29" s="28" customFormat="1" ht="71.25">
      <c r="B297" s="85">
        <v>20241046</v>
      </c>
      <c r="C297" s="53" t="s">
        <v>209</v>
      </c>
      <c r="D297" s="129" t="s">
        <v>167</v>
      </c>
      <c r="E297" s="54" t="s">
        <v>568</v>
      </c>
      <c r="F297" s="129" t="s">
        <v>573</v>
      </c>
      <c r="G297" s="129" t="s">
        <v>157</v>
      </c>
      <c r="H297" s="118" t="s">
        <v>612</v>
      </c>
      <c r="I297" s="130">
        <v>10</v>
      </c>
      <c r="J297" s="130">
        <v>1</v>
      </c>
      <c r="K297" s="56">
        <v>0</v>
      </c>
      <c r="L297" s="57">
        <v>2771440</v>
      </c>
      <c r="M297" s="129" t="s">
        <v>173</v>
      </c>
      <c r="N297" s="57" t="s">
        <v>114</v>
      </c>
      <c r="O297" s="54" t="s">
        <v>220</v>
      </c>
      <c r="P297" s="131" t="str">
        <f>IFERROR(VLOOKUP(C297,TD!$B$32:$F$36,2,0)," ")</f>
        <v>O230117</v>
      </c>
      <c r="Q297" s="131" t="str">
        <f>IFERROR(VLOOKUP(C297,TD!$B$32:$F$36,3,0)," ")</f>
        <v>4599</v>
      </c>
      <c r="R297" s="131">
        <f>IFERROR(VLOOKUP(C297,TD!$B$32:$F$36,4,0)," ")</f>
        <v>20240207</v>
      </c>
      <c r="S297" s="54" t="s">
        <v>186</v>
      </c>
      <c r="T297" s="131" t="str">
        <f>IFERROR(VLOOKUP(S297,TD!$J$33:$K$43,2,0)," ")</f>
        <v>Infraestructura física, mantenimiento y dotación (Sedes construidas, mantenidas reforzadas)</v>
      </c>
      <c r="U297" s="54" t="str">
        <f t="shared" si="16"/>
        <v>08-Infraestructura física, mantenimiento y dotación (Sedes construidas, mantenidas reforzadas)</v>
      </c>
      <c r="V297" s="54" t="s">
        <v>239</v>
      </c>
      <c r="W297" s="131" t="str">
        <f>IFERROR(VLOOKUP(V297,TD!$N$33:$O$45,2,0)," ")</f>
        <v>Sedes mantenidas</v>
      </c>
      <c r="X297" s="54" t="str">
        <f t="shared" si="17"/>
        <v>016_Sedes mantenidas</v>
      </c>
      <c r="Y297" s="54" t="str">
        <f t="shared" si="18"/>
        <v>08-Infraestructura física, mantenimiento y dotación (Sedes construidas, mantenidas reforzadas) 016_Sedes mantenidas</v>
      </c>
      <c r="Z297" s="131" t="str">
        <f t="shared" si="19"/>
        <v>O23011745992024020708016</v>
      </c>
      <c r="AA297" s="131" t="str">
        <f>IFERROR(VLOOKUP(Y297,TD!$K$46:$L$64,2,0)," ")</f>
        <v>PM/0131/0108/45990160207</v>
      </c>
      <c r="AB297" s="57" t="s">
        <v>139</v>
      </c>
      <c r="AC297" s="132" t="s">
        <v>206</v>
      </c>
    </row>
    <row r="298" spans="2:29" s="28" customFormat="1" ht="57">
      <c r="B298" s="85">
        <v>20241047</v>
      </c>
      <c r="C298" s="53" t="s">
        <v>209</v>
      </c>
      <c r="D298" s="129" t="s">
        <v>167</v>
      </c>
      <c r="E298" s="54" t="s">
        <v>568</v>
      </c>
      <c r="F298" s="129" t="s">
        <v>574</v>
      </c>
      <c r="G298" s="129" t="s">
        <v>156</v>
      </c>
      <c r="H298" s="118" t="s">
        <v>612</v>
      </c>
      <c r="I298" s="130">
        <v>8</v>
      </c>
      <c r="J298" s="130">
        <v>2</v>
      </c>
      <c r="K298" s="56">
        <v>15</v>
      </c>
      <c r="L298" s="57">
        <v>20644400</v>
      </c>
      <c r="M298" s="129" t="s">
        <v>173</v>
      </c>
      <c r="N298" s="57" t="s">
        <v>114</v>
      </c>
      <c r="O298" s="54" t="s">
        <v>220</v>
      </c>
      <c r="P298" s="131" t="str">
        <f>IFERROR(VLOOKUP(C298,TD!$B$32:$F$36,2,0)," ")</f>
        <v>O230117</v>
      </c>
      <c r="Q298" s="131" t="str">
        <f>IFERROR(VLOOKUP(C298,TD!$B$32:$F$36,3,0)," ")</f>
        <v>4599</v>
      </c>
      <c r="R298" s="131">
        <f>IFERROR(VLOOKUP(C298,TD!$B$32:$F$36,4,0)," ")</f>
        <v>20240207</v>
      </c>
      <c r="S298" s="54" t="s">
        <v>186</v>
      </c>
      <c r="T298" s="131" t="str">
        <f>IFERROR(VLOOKUP(S298,TD!$J$33:$K$43,2,0)," ")</f>
        <v>Infraestructura física, mantenimiento y dotación (Sedes construidas, mantenidas reforzadas)</v>
      </c>
      <c r="U298" s="54" t="str">
        <f t="shared" si="16"/>
        <v>08-Infraestructura física, mantenimiento y dotación (Sedes construidas, mantenidas reforzadas)</v>
      </c>
      <c r="V298" s="54" t="s">
        <v>239</v>
      </c>
      <c r="W298" s="131" t="str">
        <f>IFERROR(VLOOKUP(V298,TD!$N$33:$O$45,2,0)," ")</f>
        <v>Sedes mantenidas</v>
      </c>
      <c r="X298" s="54" t="str">
        <f t="shared" si="17"/>
        <v>016_Sedes mantenidas</v>
      </c>
      <c r="Y298" s="54" t="str">
        <f t="shared" si="18"/>
        <v>08-Infraestructura física, mantenimiento y dotación (Sedes construidas, mantenidas reforzadas) 016_Sedes mantenidas</v>
      </c>
      <c r="Z298" s="131" t="str">
        <f t="shared" si="19"/>
        <v>O23011745992024020708016</v>
      </c>
      <c r="AA298" s="131" t="str">
        <f>IFERROR(VLOOKUP(Y298,TD!$K$46:$L$64,2,0)," ")</f>
        <v>PM/0131/0108/45990160207</v>
      </c>
      <c r="AB298" s="57" t="s">
        <v>139</v>
      </c>
      <c r="AC298" s="132" t="s">
        <v>206</v>
      </c>
    </row>
    <row r="299" spans="2:29" s="28" customFormat="1" ht="71.25">
      <c r="B299" s="85">
        <v>20241048</v>
      </c>
      <c r="C299" s="53" t="s">
        <v>209</v>
      </c>
      <c r="D299" s="129" t="s">
        <v>167</v>
      </c>
      <c r="E299" s="54" t="s">
        <v>568</v>
      </c>
      <c r="F299" s="129" t="s">
        <v>575</v>
      </c>
      <c r="G299" s="129" t="s">
        <v>157</v>
      </c>
      <c r="H299" s="118" t="s">
        <v>612</v>
      </c>
      <c r="I299" s="130">
        <v>10</v>
      </c>
      <c r="J299" s="130">
        <v>1</v>
      </c>
      <c r="K299" s="56">
        <v>0</v>
      </c>
      <c r="L299" s="57">
        <v>2771440</v>
      </c>
      <c r="M299" s="129" t="s">
        <v>173</v>
      </c>
      <c r="N299" s="57" t="s">
        <v>114</v>
      </c>
      <c r="O299" s="54" t="s">
        <v>220</v>
      </c>
      <c r="P299" s="131" t="str">
        <f>IFERROR(VLOOKUP(C299,TD!$B$32:$F$36,2,0)," ")</f>
        <v>O230117</v>
      </c>
      <c r="Q299" s="131" t="str">
        <f>IFERROR(VLOOKUP(C299,TD!$B$32:$F$36,3,0)," ")</f>
        <v>4599</v>
      </c>
      <c r="R299" s="131">
        <f>IFERROR(VLOOKUP(C299,TD!$B$32:$F$36,4,0)," ")</f>
        <v>20240207</v>
      </c>
      <c r="S299" s="54" t="s">
        <v>186</v>
      </c>
      <c r="T299" s="131" t="str">
        <f>IFERROR(VLOOKUP(S299,TD!$J$33:$K$43,2,0)," ")</f>
        <v>Infraestructura física, mantenimiento y dotación (Sedes construidas, mantenidas reforzadas)</v>
      </c>
      <c r="U299" s="54" t="str">
        <f t="shared" si="16"/>
        <v>08-Infraestructura física, mantenimiento y dotación (Sedes construidas, mantenidas reforzadas)</v>
      </c>
      <c r="V299" s="54" t="s">
        <v>239</v>
      </c>
      <c r="W299" s="131" t="str">
        <f>IFERROR(VLOOKUP(V299,TD!$N$33:$O$45,2,0)," ")</f>
        <v>Sedes mantenidas</v>
      </c>
      <c r="X299" s="54" t="str">
        <f t="shared" si="17"/>
        <v>016_Sedes mantenidas</v>
      </c>
      <c r="Y299" s="54" t="str">
        <f t="shared" si="18"/>
        <v>08-Infraestructura física, mantenimiento y dotación (Sedes construidas, mantenidas reforzadas) 016_Sedes mantenidas</v>
      </c>
      <c r="Z299" s="131" t="str">
        <f t="shared" si="19"/>
        <v>O23011745992024020708016</v>
      </c>
      <c r="AA299" s="131" t="str">
        <f>IFERROR(VLOOKUP(Y299,TD!$K$46:$L$64,2,0)," ")</f>
        <v>PM/0131/0108/45990160207</v>
      </c>
      <c r="AB299" s="57" t="s">
        <v>139</v>
      </c>
      <c r="AC299" s="132" t="s">
        <v>206</v>
      </c>
    </row>
    <row r="300" spans="2:29" s="28" customFormat="1" ht="71.25">
      <c r="B300" s="85">
        <v>20241049</v>
      </c>
      <c r="C300" s="53" t="s">
        <v>209</v>
      </c>
      <c r="D300" s="129" t="s">
        <v>167</v>
      </c>
      <c r="E300" s="54" t="s">
        <v>568</v>
      </c>
      <c r="F300" s="129" t="s">
        <v>576</v>
      </c>
      <c r="G300" s="129" t="s">
        <v>157</v>
      </c>
      <c r="H300" s="118" t="s">
        <v>612</v>
      </c>
      <c r="I300" s="130">
        <v>10</v>
      </c>
      <c r="J300" s="130">
        <v>1</v>
      </c>
      <c r="K300" s="56">
        <v>0</v>
      </c>
      <c r="L300" s="57">
        <v>2771440</v>
      </c>
      <c r="M300" s="129" t="s">
        <v>173</v>
      </c>
      <c r="N300" s="57" t="s">
        <v>114</v>
      </c>
      <c r="O300" s="54" t="s">
        <v>220</v>
      </c>
      <c r="P300" s="131" t="str">
        <f>IFERROR(VLOOKUP(C300,TD!$B$32:$F$36,2,0)," ")</f>
        <v>O230117</v>
      </c>
      <c r="Q300" s="131" t="str">
        <f>IFERROR(VLOOKUP(C300,TD!$B$32:$F$36,3,0)," ")</f>
        <v>4599</v>
      </c>
      <c r="R300" s="131">
        <f>IFERROR(VLOOKUP(C300,TD!$B$32:$F$36,4,0)," ")</f>
        <v>20240207</v>
      </c>
      <c r="S300" s="54" t="s">
        <v>186</v>
      </c>
      <c r="T300" s="131" t="str">
        <f>IFERROR(VLOOKUP(S300,TD!$J$33:$K$43,2,0)," ")</f>
        <v>Infraestructura física, mantenimiento y dotación (Sedes construidas, mantenidas reforzadas)</v>
      </c>
      <c r="U300" s="54" t="str">
        <f t="shared" si="16"/>
        <v>08-Infraestructura física, mantenimiento y dotación (Sedes construidas, mantenidas reforzadas)</v>
      </c>
      <c r="V300" s="54" t="s">
        <v>239</v>
      </c>
      <c r="W300" s="131" t="str">
        <f>IFERROR(VLOOKUP(V300,TD!$N$33:$O$45,2,0)," ")</f>
        <v>Sedes mantenidas</v>
      </c>
      <c r="X300" s="54" t="str">
        <f t="shared" si="17"/>
        <v>016_Sedes mantenidas</v>
      </c>
      <c r="Y300" s="54" t="str">
        <f t="shared" si="18"/>
        <v>08-Infraestructura física, mantenimiento y dotación (Sedes construidas, mantenidas reforzadas) 016_Sedes mantenidas</v>
      </c>
      <c r="Z300" s="131" t="str">
        <f t="shared" si="19"/>
        <v>O23011745992024020708016</v>
      </c>
      <c r="AA300" s="131" t="str">
        <f>IFERROR(VLOOKUP(Y300,TD!$K$46:$L$64,2,0)," ")</f>
        <v>PM/0131/0108/45990160207</v>
      </c>
      <c r="AB300" s="57" t="s">
        <v>139</v>
      </c>
      <c r="AC300" s="132" t="s">
        <v>206</v>
      </c>
    </row>
    <row r="301" spans="2:29" s="28" customFormat="1" ht="71.25">
      <c r="B301" s="85">
        <v>20241050</v>
      </c>
      <c r="C301" s="53" t="s">
        <v>209</v>
      </c>
      <c r="D301" s="129" t="s">
        <v>167</v>
      </c>
      <c r="E301" s="54" t="s">
        <v>568</v>
      </c>
      <c r="F301" s="129" t="s">
        <v>577</v>
      </c>
      <c r="G301" s="129" t="s">
        <v>157</v>
      </c>
      <c r="H301" s="118" t="s">
        <v>612</v>
      </c>
      <c r="I301" s="130">
        <v>10</v>
      </c>
      <c r="J301" s="130">
        <v>1</v>
      </c>
      <c r="K301" s="56">
        <v>0</v>
      </c>
      <c r="L301" s="57">
        <v>2771440</v>
      </c>
      <c r="M301" s="129" t="s">
        <v>173</v>
      </c>
      <c r="N301" s="57" t="s">
        <v>114</v>
      </c>
      <c r="O301" s="54" t="s">
        <v>220</v>
      </c>
      <c r="P301" s="131" t="str">
        <f>IFERROR(VLOOKUP(C301,TD!$B$32:$F$36,2,0)," ")</f>
        <v>O230117</v>
      </c>
      <c r="Q301" s="131" t="str">
        <f>IFERROR(VLOOKUP(C301,TD!$B$32:$F$36,3,0)," ")</f>
        <v>4599</v>
      </c>
      <c r="R301" s="131">
        <f>IFERROR(VLOOKUP(C301,TD!$B$32:$F$36,4,0)," ")</f>
        <v>20240207</v>
      </c>
      <c r="S301" s="54" t="s">
        <v>186</v>
      </c>
      <c r="T301" s="131" t="str">
        <f>IFERROR(VLOOKUP(S301,TD!$J$33:$K$43,2,0)," ")</f>
        <v>Infraestructura física, mantenimiento y dotación (Sedes construidas, mantenidas reforzadas)</v>
      </c>
      <c r="U301" s="54" t="str">
        <f t="shared" si="16"/>
        <v>08-Infraestructura física, mantenimiento y dotación (Sedes construidas, mantenidas reforzadas)</v>
      </c>
      <c r="V301" s="54" t="s">
        <v>239</v>
      </c>
      <c r="W301" s="131" t="str">
        <f>IFERROR(VLOOKUP(V301,TD!$N$33:$O$45,2,0)," ")</f>
        <v>Sedes mantenidas</v>
      </c>
      <c r="X301" s="54" t="str">
        <f t="shared" si="17"/>
        <v>016_Sedes mantenidas</v>
      </c>
      <c r="Y301" s="54" t="str">
        <f t="shared" si="18"/>
        <v>08-Infraestructura física, mantenimiento y dotación (Sedes construidas, mantenidas reforzadas) 016_Sedes mantenidas</v>
      </c>
      <c r="Z301" s="131" t="str">
        <f t="shared" si="19"/>
        <v>O23011745992024020708016</v>
      </c>
      <c r="AA301" s="131" t="str">
        <f>IFERROR(VLOOKUP(Y301,TD!$K$46:$L$64,2,0)," ")</f>
        <v>PM/0131/0108/45990160207</v>
      </c>
      <c r="AB301" s="57" t="s">
        <v>139</v>
      </c>
      <c r="AC301" s="132" t="s">
        <v>206</v>
      </c>
    </row>
    <row r="302" spans="2:29" s="28" customFormat="1" ht="71.25">
      <c r="B302" s="85">
        <v>20241051</v>
      </c>
      <c r="C302" s="53" t="s">
        <v>209</v>
      </c>
      <c r="D302" s="129" t="s">
        <v>167</v>
      </c>
      <c r="E302" s="54" t="s">
        <v>568</v>
      </c>
      <c r="F302" s="129" t="s">
        <v>578</v>
      </c>
      <c r="G302" s="129" t="s">
        <v>157</v>
      </c>
      <c r="H302" s="118" t="s">
        <v>612</v>
      </c>
      <c r="I302" s="130">
        <v>10</v>
      </c>
      <c r="J302" s="130">
        <v>1</v>
      </c>
      <c r="K302" s="56">
        <v>0</v>
      </c>
      <c r="L302" s="57">
        <v>2771440</v>
      </c>
      <c r="M302" s="129" t="s">
        <v>173</v>
      </c>
      <c r="N302" s="57" t="s">
        <v>114</v>
      </c>
      <c r="O302" s="54" t="s">
        <v>220</v>
      </c>
      <c r="P302" s="131" t="str">
        <f>IFERROR(VLOOKUP(C302,TD!$B$32:$F$36,2,0)," ")</f>
        <v>O230117</v>
      </c>
      <c r="Q302" s="131" t="str">
        <f>IFERROR(VLOOKUP(C302,TD!$B$32:$F$36,3,0)," ")</f>
        <v>4599</v>
      </c>
      <c r="R302" s="131">
        <f>IFERROR(VLOOKUP(C302,TD!$B$32:$F$36,4,0)," ")</f>
        <v>20240207</v>
      </c>
      <c r="S302" s="54" t="s">
        <v>186</v>
      </c>
      <c r="T302" s="131" t="str">
        <f>IFERROR(VLOOKUP(S302,TD!$J$33:$K$43,2,0)," ")</f>
        <v>Infraestructura física, mantenimiento y dotación (Sedes construidas, mantenidas reforzadas)</v>
      </c>
      <c r="U302" s="54" t="str">
        <f t="shared" si="16"/>
        <v>08-Infraestructura física, mantenimiento y dotación (Sedes construidas, mantenidas reforzadas)</v>
      </c>
      <c r="V302" s="54" t="s">
        <v>239</v>
      </c>
      <c r="W302" s="131" t="str">
        <f>IFERROR(VLOOKUP(V302,TD!$N$33:$O$45,2,0)," ")</f>
        <v>Sedes mantenidas</v>
      </c>
      <c r="X302" s="54" t="str">
        <f t="shared" si="17"/>
        <v>016_Sedes mantenidas</v>
      </c>
      <c r="Y302" s="54" t="str">
        <f t="shared" si="18"/>
        <v>08-Infraestructura física, mantenimiento y dotación (Sedes construidas, mantenidas reforzadas) 016_Sedes mantenidas</v>
      </c>
      <c r="Z302" s="131" t="str">
        <f t="shared" si="19"/>
        <v>O23011745992024020708016</v>
      </c>
      <c r="AA302" s="131" t="str">
        <f>IFERROR(VLOOKUP(Y302,TD!$K$46:$L$64,2,0)," ")</f>
        <v>PM/0131/0108/45990160207</v>
      </c>
      <c r="AB302" s="57" t="s">
        <v>139</v>
      </c>
      <c r="AC302" s="132" t="s">
        <v>206</v>
      </c>
    </row>
    <row r="303" spans="2:29" s="28" customFormat="1" ht="71.25">
      <c r="B303" s="85">
        <v>20241052</v>
      </c>
      <c r="C303" s="53" t="s">
        <v>209</v>
      </c>
      <c r="D303" s="129" t="s">
        <v>167</v>
      </c>
      <c r="E303" s="54" t="s">
        <v>568</v>
      </c>
      <c r="F303" s="129" t="s">
        <v>579</v>
      </c>
      <c r="G303" s="129" t="s">
        <v>157</v>
      </c>
      <c r="H303" s="118" t="s">
        <v>612</v>
      </c>
      <c r="I303" s="130">
        <v>10</v>
      </c>
      <c r="J303" s="130">
        <v>1</v>
      </c>
      <c r="K303" s="56">
        <v>0</v>
      </c>
      <c r="L303" s="57">
        <v>2771440</v>
      </c>
      <c r="M303" s="129" t="s">
        <v>173</v>
      </c>
      <c r="N303" s="57" t="s">
        <v>114</v>
      </c>
      <c r="O303" s="54" t="s">
        <v>220</v>
      </c>
      <c r="P303" s="131" t="str">
        <f>IFERROR(VLOOKUP(C303,TD!$B$32:$F$36,2,0)," ")</f>
        <v>O230117</v>
      </c>
      <c r="Q303" s="131" t="str">
        <f>IFERROR(VLOOKUP(C303,TD!$B$32:$F$36,3,0)," ")</f>
        <v>4599</v>
      </c>
      <c r="R303" s="131">
        <f>IFERROR(VLOOKUP(C303,TD!$B$32:$F$36,4,0)," ")</f>
        <v>20240207</v>
      </c>
      <c r="S303" s="54" t="s">
        <v>186</v>
      </c>
      <c r="T303" s="131" t="str">
        <f>IFERROR(VLOOKUP(S303,TD!$J$33:$K$43,2,0)," ")</f>
        <v>Infraestructura física, mantenimiento y dotación (Sedes construidas, mantenidas reforzadas)</v>
      </c>
      <c r="U303" s="54" t="str">
        <f t="shared" si="16"/>
        <v>08-Infraestructura física, mantenimiento y dotación (Sedes construidas, mantenidas reforzadas)</v>
      </c>
      <c r="V303" s="54" t="s">
        <v>239</v>
      </c>
      <c r="W303" s="131" t="str">
        <f>IFERROR(VLOOKUP(V303,TD!$N$33:$O$45,2,0)," ")</f>
        <v>Sedes mantenidas</v>
      </c>
      <c r="X303" s="54" t="str">
        <f t="shared" si="17"/>
        <v>016_Sedes mantenidas</v>
      </c>
      <c r="Y303" s="54" t="str">
        <f t="shared" si="18"/>
        <v>08-Infraestructura física, mantenimiento y dotación (Sedes construidas, mantenidas reforzadas) 016_Sedes mantenidas</v>
      </c>
      <c r="Z303" s="131" t="str">
        <f t="shared" si="19"/>
        <v>O23011745992024020708016</v>
      </c>
      <c r="AA303" s="131" t="str">
        <f>IFERROR(VLOOKUP(Y303,TD!$K$46:$L$64,2,0)," ")</f>
        <v>PM/0131/0108/45990160207</v>
      </c>
      <c r="AB303" s="57" t="s">
        <v>139</v>
      </c>
      <c r="AC303" s="132" t="s">
        <v>206</v>
      </c>
    </row>
    <row r="304" spans="2:29" s="28" customFormat="1" ht="71.25">
      <c r="B304" s="85">
        <v>20241053</v>
      </c>
      <c r="C304" s="53" t="s">
        <v>209</v>
      </c>
      <c r="D304" s="129" t="s">
        <v>167</v>
      </c>
      <c r="E304" s="54" t="s">
        <v>568</v>
      </c>
      <c r="F304" s="129" t="s">
        <v>580</v>
      </c>
      <c r="G304" s="129" t="s">
        <v>157</v>
      </c>
      <c r="H304" s="118" t="s">
        <v>612</v>
      </c>
      <c r="I304" s="130">
        <v>10</v>
      </c>
      <c r="J304" s="130">
        <v>1</v>
      </c>
      <c r="K304" s="56">
        <v>0</v>
      </c>
      <c r="L304" s="57">
        <v>2771440</v>
      </c>
      <c r="M304" s="129" t="s">
        <v>173</v>
      </c>
      <c r="N304" s="57" t="s">
        <v>114</v>
      </c>
      <c r="O304" s="54" t="s">
        <v>220</v>
      </c>
      <c r="P304" s="131" t="str">
        <f>IFERROR(VLOOKUP(C304,TD!$B$32:$F$36,2,0)," ")</f>
        <v>O230117</v>
      </c>
      <c r="Q304" s="131" t="str">
        <f>IFERROR(VLOOKUP(C304,TD!$B$32:$F$36,3,0)," ")</f>
        <v>4599</v>
      </c>
      <c r="R304" s="131">
        <f>IFERROR(VLOOKUP(C304,TD!$B$32:$F$36,4,0)," ")</f>
        <v>20240207</v>
      </c>
      <c r="S304" s="54" t="s">
        <v>186</v>
      </c>
      <c r="T304" s="131" t="str">
        <f>IFERROR(VLOOKUP(S304,TD!$J$33:$K$43,2,0)," ")</f>
        <v>Infraestructura física, mantenimiento y dotación (Sedes construidas, mantenidas reforzadas)</v>
      </c>
      <c r="U304" s="54" t="str">
        <f t="shared" si="16"/>
        <v>08-Infraestructura física, mantenimiento y dotación (Sedes construidas, mantenidas reforzadas)</v>
      </c>
      <c r="V304" s="54" t="s">
        <v>239</v>
      </c>
      <c r="W304" s="131" t="str">
        <f>IFERROR(VLOOKUP(V304,TD!$N$33:$O$45,2,0)," ")</f>
        <v>Sedes mantenidas</v>
      </c>
      <c r="X304" s="54" t="str">
        <f t="shared" si="17"/>
        <v>016_Sedes mantenidas</v>
      </c>
      <c r="Y304" s="54" t="str">
        <f t="shared" si="18"/>
        <v>08-Infraestructura física, mantenimiento y dotación (Sedes construidas, mantenidas reforzadas) 016_Sedes mantenidas</v>
      </c>
      <c r="Z304" s="131" t="str">
        <f t="shared" si="19"/>
        <v>O23011745992024020708016</v>
      </c>
      <c r="AA304" s="131" t="str">
        <f>IFERROR(VLOOKUP(Y304,TD!$K$46:$L$64,2,0)," ")</f>
        <v>PM/0131/0108/45990160207</v>
      </c>
      <c r="AB304" s="57" t="s">
        <v>139</v>
      </c>
      <c r="AC304" s="132" t="s">
        <v>206</v>
      </c>
    </row>
    <row r="305" spans="2:29" s="28" customFormat="1" ht="71.25">
      <c r="B305" s="85">
        <v>20241054</v>
      </c>
      <c r="C305" s="53" t="s">
        <v>209</v>
      </c>
      <c r="D305" s="129" t="s">
        <v>167</v>
      </c>
      <c r="E305" s="54" t="s">
        <v>568</v>
      </c>
      <c r="F305" s="129" t="s">
        <v>581</v>
      </c>
      <c r="G305" s="129" t="s">
        <v>157</v>
      </c>
      <c r="H305" s="118" t="s">
        <v>612</v>
      </c>
      <c r="I305" s="130">
        <v>10</v>
      </c>
      <c r="J305" s="130">
        <v>1</v>
      </c>
      <c r="K305" s="56">
        <v>0</v>
      </c>
      <c r="L305" s="57">
        <v>2771440</v>
      </c>
      <c r="M305" s="129" t="s">
        <v>173</v>
      </c>
      <c r="N305" s="57" t="s">
        <v>114</v>
      </c>
      <c r="O305" s="54" t="s">
        <v>220</v>
      </c>
      <c r="P305" s="131" t="str">
        <f>IFERROR(VLOOKUP(C305,TD!$B$32:$F$36,2,0)," ")</f>
        <v>O230117</v>
      </c>
      <c r="Q305" s="131" t="str">
        <f>IFERROR(VLOOKUP(C305,TD!$B$32:$F$36,3,0)," ")</f>
        <v>4599</v>
      </c>
      <c r="R305" s="131">
        <f>IFERROR(VLOOKUP(C305,TD!$B$32:$F$36,4,0)," ")</f>
        <v>20240207</v>
      </c>
      <c r="S305" s="54" t="s">
        <v>186</v>
      </c>
      <c r="T305" s="131" t="str">
        <f>IFERROR(VLOOKUP(S305,TD!$J$33:$K$43,2,0)," ")</f>
        <v>Infraestructura física, mantenimiento y dotación (Sedes construidas, mantenidas reforzadas)</v>
      </c>
      <c r="U305" s="54" t="str">
        <f t="shared" si="16"/>
        <v>08-Infraestructura física, mantenimiento y dotación (Sedes construidas, mantenidas reforzadas)</v>
      </c>
      <c r="V305" s="54" t="s">
        <v>239</v>
      </c>
      <c r="W305" s="131" t="str">
        <f>IFERROR(VLOOKUP(V305,TD!$N$33:$O$45,2,0)," ")</f>
        <v>Sedes mantenidas</v>
      </c>
      <c r="X305" s="54" t="str">
        <f t="shared" si="17"/>
        <v>016_Sedes mantenidas</v>
      </c>
      <c r="Y305" s="54" t="str">
        <f t="shared" si="18"/>
        <v>08-Infraestructura física, mantenimiento y dotación (Sedes construidas, mantenidas reforzadas) 016_Sedes mantenidas</v>
      </c>
      <c r="Z305" s="131" t="str">
        <f t="shared" si="19"/>
        <v>O23011745992024020708016</v>
      </c>
      <c r="AA305" s="131" t="str">
        <f>IFERROR(VLOOKUP(Y305,TD!$K$46:$L$64,2,0)," ")</f>
        <v>PM/0131/0108/45990160207</v>
      </c>
      <c r="AB305" s="57" t="s">
        <v>139</v>
      </c>
      <c r="AC305" s="132" t="s">
        <v>206</v>
      </c>
    </row>
    <row r="306" spans="2:29" s="28" customFormat="1" ht="71.25">
      <c r="B306" s="85">
        <v>20241055</v>
      </c>
      <c r="C306" s="53" t="s">
        <v>209</v>
      </c>
      <c r="D306" s="129" t="s">
        <v>167</v>
      </c>
      <c r="E306" s="54" t="s">
        <v>568</v>
      </c>
      <c r="F306" s="129" t="s">
        <v>582</v>
      </c>
      <c r="G306" s="129" t="s">
        <v>157</v>
      </c>
      <c r="H306" s="118" t="s">
        <v>612</v>
      </c>
      <c r="I306" s="130">
        <v>10</v>
      </c>
      <c r="J306" s="130">
        <v>1</v>
      </c>
      <c r="K306" s="56">
        <v>0</v>
      </c>
      <c r="L306" s="57">
        <v>2771440</v>
      </c>
      <c r="M306" s="129" t="s">
        <v>173</v>
      </c>
      <c r="N306" s="57" t="s">
        <v>114</v>
      </c>
      <c r="O306" s="54" t="s">
        <v>220</v>
      </c>
      <c r="P306" s="131" t="str">
        <f>IFERROR(VLOOKUP(C306,TD!$B$32:$F$36,2,0)," ")</f>
        <v>O230117</v>
      </c>
      <c r="Q306" s="131" t="str">
        <f>IFERROR(VLOOKUP(C306,TD!$B$32:$F$36,3,0)," ")</f>
        <v>4599</v>
      </c>
      <c r="R306" s="131">
        <f>IFERROR(VLOOKUP(C306,TD!$B$32:$F$36,4,0)," ")</f>
        <v>20240207</v>
      </c>
      <c r="S306" s="54" t="s">
        <v>186</v>
      </c>
      <c r="T306" s="131" t="str">
        <f>IFERROR(VLOOKUP(S306,TD!$J$33:$K$43,2,0)," ")</f>
        <v>Infraestructura física, mantenimiento y dotación (Sedes construidas, mantenidas reforzadas)</v>
      </c>
      <c r="U306" s="54" t="str">
        <f t="shared" si="16"/>
        <v>08-Infraestructura física, mantenimiento y dotación (Sedes construidas, mantenidas reforzadas)</v>
      </c>
      <c r="V306" s="54" t="s">
        <v>239</v>
      </c>
      <c r="W306" s="131" t="str">
        <f>IFERROR(VLOOKUP(V306,TD!$N$33:$O$45,2,0)," ")</f>
        <v>Sedes mantenidas</v>
      </c>
      <c r="X306" s="54" t="str">
        <f t="shared" si="17"/>
        <v>016_Sedes mantenidas</v>
      </c>
      <c r="Y306" s="54" t="str">
        <f t="shared" si="18"/>
        <v>08-Infraestructura física, mantenimiento y dotación (Sedes construidas, mantenidas reforzadas) 016_Sedes mantenidas</v>
      </c>
      <c r="Z306" s="131" t="str">
        <f t="shared" si="19"/>
        <v>O23011745992024020708016</v>
      </c>
      <c r="AA306" s="131" t="str">
        <f>IFERROR(VLOOKUP(Y306,TD!$K$46:$L$64,2,0)," ")</f>
        <v>PM/0131/0108/45990160207</v>
      </c>
      <c r="AB306" s="57" t="s">
        <v>139</v>
      </c>
      <c r="AC306" s="132" t="s">
        <v>206</v>
      </c>
    </row>
    <row r="307" spans="2:29" s="28" customFormat="1" ht="71.25">
      <c r="B307" s="85">
        <v>20241056</v>
      </c>
      <c r="C307" s="53" t="s">
        <v>209</v>
      </c>
      <c r="D307" s="129" t="s">
        <v>167</v>
      </c>
      <c r="E307" s="54" t="s">
        <v>568</v>
      </c>
      <c r="F307" s="129" t="s">
        <v>583</v>
      </c>
      <c r="G307" s="129" t="s">
        <v>157</v>
      </c>
      <c r="H307" s="118" t="s">
        <v>612</v>
      </c>
      <c r="I307" s="130">
        <v>10</v>
      </c>
      <c r="J307" s="130">
        <v>1</v>
      </c>
      <c r="K307" s="56">
        <v>0</v>
      </c>
      <c r="L307" s="57">
        <v>2771440</v>
      </c>
      <c r="M307" s="129" t="s">
        <v>173</v>
      </c>
      <c r="N307" s="57" t="s">
        <v>114</v>
      </c>
      <c r="O307" s="54" t="s">
        <v>220</v>
      </c>
      <c r="P307" s="131" t="str">
        <f>IFERROR(VLOOKUP(C307,TD!$B$32:$F$36,2,0)," ")</f>
        <v>O230117</v>
      </c>
      <c r="Q307" s="131" t="str">
        <f>IFERROR(VLOOKUP(C307,TD!$B$32:$F$36,3,0)," ")</f>
        <v>4599</v>
      </c>
      <c r="R307" s="131">
        <f>IFERROR(VLOOKUP(C307,TD!$B$32:$F$36,4,0)," ")</f>
        <v>20240207</v>
      </c>
      <c r="S307" s="54" t="s">
        <v>186</v>
      </c>
      <c r="T307" s="131" t="str">
        <f>IFERROR(VLOOKUP(S307,TD!$J$33:$K$43,2,0)," ")</f>
        <v>Infraestructura física, mantenimiento y dotación (Sedes construidas, mantenidas reforzadas)</v>
      </c>
      <c r="U307" s="54" t="str">
        <f t="shared" si="16"/>
        <v>08-Infraestructura física, mantenimiento y dotación (Sedes construidas, mantenidas reforzadas)</v>
      </c>
      <c r="V307" s="54" t="s">
        <v>239</v>
      </c>
      <c r="W307" s="131" t="str">
        <f>IFERROR(VLOOKUP(V307,TD!$N$33:$O$45,2,0)," ")</f>
        <v>Sedes mantenidas</v>
      </c>
      <c r="X307" s="54" t="str">
        <f t="shared" si="17"/>
        <v>016_Sedes mantenidas</v>
      </c>
      <c r="Y307" s="54" t="str">
        <f t="shared" si="18"/>
        <v>08-Infraestructura física, mantenimiento y dotación (Sedes construidas, mantenidas reforzadas) 016_Sedes mantenidas</v>
      </c>
      <c r="Z307" s="131" t="str">
        <f t="shared" si="19"/>
        <v>O23011745992024020708016</v>
      </c>
      <c r="AA307" s="131" t="str">
        <f>IFERROR(VLOOKUP(Y307,TD!$K$46:$L$64,2,0)," ")</f>
        <v>PM/0131/0108/45990160207</v>
      </c>
      <c r="AB307" s="57" t="s">
        <v>139</v>
      </c>
      <c r="AC307" s="132" t="s">
        <v>206</v>
      </c>
    </row>
    <row r="308" spans="2:29" s="28" customFormat="1" ht="71.25">
      <c r="B308" s="85">
        <v>20241057</v>
      </c>
      <c r="C308" s="53" t="s">
        <v>209</v>
      </c>
      <c r="D308" s="129" t="s">
        <v>167</v>
      </c>
      <c r="E308" s="54" t="s">
        <v>568</v>
      </c>
      <c r="F308" s="129" t="s">
        <v>584</v>
      </c>
      <c r="G308" s="129" t="s">
        <v>157</v>
      </c>
      <c r="H308" s="118" t="s">
        <v>612</v>
      </c>
      <c r="I308" s="130">
        <v>10</v>
      </c>
      <c r="J308" s="130">
        <v>1</v>
      </c>
      <c r="K308" s="56">
        <v>0</v>
      </c>
      <c r="L308" s="57">
        <v>2771440</v>
      </c>
      <c r="M308" s="129" t="s">
        <v>173</v>
      </c>
      <c r="N308" s="57" t="s">
        <v>114</v>
      </c>
      <c r="O308" s="54" t="s">
        <v>220</v>
      </c>
      <c r="P308" s="131" t="str">
        <f>IFERROR(VLOOKUP(C308,TD!$B$32:$F$36,2,0)," ")</f>
        <v>O230117</v>
      </c>
      <c r="Q308" s="131" t="str">
        <f>IFERROR(VLOOKUP(C308,TD!$B$32:$F$36,3,0)," ")</f>
        <v>4599</v>
      </c>
      <c r="R308" s="131">
        <f>IFERROR(VLOOKUP(C308,TD!$B$32:$F$36,4,0)," ")</f>
        <v>20240207</v>
      </c>
      <c r="S308" s="54" t="s">
        <v>186</v>
      </c>
      <c r="T308" s="131" t="str">
        <f>IFERROR(VLOOKUP(S308,TD!$J$33:$K$43,2,0)," ")</f>
        <v>Infraestructura física, mantenimiento y dotación (Sedes construidas, mantenidas reforzadas)</v>
      </c>
      <c r="U308" s="54" t="str">
        <f t="shared" si="16"/>
        <v>08-Infraestructura física, mantenimiento y dotación (Sedes construidas, mantenidas reforzadas)</v>
      </c>
      <c r="V308" s="54" t="s">
        <v>239</v>
      </c>
      <c r="W308" s="131" t="str">
        <f>IFERROR(VLOOKUP(V308,TD!$N$33:$O$45,2,0)," ")</f>
        <v>Sedes mantenidas</v>
      </c>
      <c r="X308" s="54" t="str">
        <f t="shared" si="17"/>
        <v>016_Sedes mantenidas</v>
      </c>
      <c r="Y308" s="54" t="str">
        <f t="shared" si="18"/>
        <v>08-Infraestructura física, mantenimiento y dotación (Sedes construidas, mantenidas reforzadas) 016_Sedes mantenidas</v>
      </c>
      <c r="Z308" s="131" t="str">
        <f t="shared" si="19"/>
        <v>O23011745992024020708016</v>
      </c>
      <c r="AA308" s="131" t="str">
        <f>IFERROR(VLOOKUP(Y308,TD!$K$46:$L$64,2,0)," ")</f>
        <v>PM/0131/0108/45990160207</v>
      </c>
      <c r="AB308" s="57" t="s">
        <v>139</v>
      </c>
      <c r="AC308" s="132" t="s">
        <v>206</v>
      </c>
    </row>
    <row r="309" spans="2:29" s="28" customFormat="1" ht="57">
      <c r="B309" s="85">
        <v>20241058</v>
      </c>
      <c r="C309" s="53" t="s">
        <v>209</v>
      </c>
      <c r="D309" s="129" t="s">
        <v>167</v>
      </c>
      <c r="E309" s="54" t="s">
        <v>568</v>
      </c>
      <c r="F309" s="129" t="s">
        <v>709</v>
      </c>
      <c r="G309" s="129" t="s">
        <v>156</v>
      </c>
      <c r="H309" s="118" t="s">
        <v>612</v>
      </c>
      <c r="I309" s="130">
        <v>8</v>
      </c>
      <c r="J309" s="130">
        <v>4</v>
      </c>
      <c r="K309" s="56">
        <v>15</v>
      </c>
      <c r="L309" s="57">
        <v>31297500</v>
      </c>
      <c r="M309" s="129" t="s">
        <v>173</v>
      </c>
      <c r="N309" s="57" t="s">
        <v>114</v>
      </c>
      <c r="O309" s="54" t="s">
        <v>220</v>
      </c>
      <c r="P309" s="131" t="str">
        <f>IFERROR(VLOOKUP(C309,TD!$B$32:$F$36,2,0)," ")</f>
        <v>O230117</v>
      </c>
      <c r="Q309" s="131" t="str">
        <f>IFERROR(VLOOKUP(C309,TD!$B$32:$F$36,3,0)," ")</f>
        <v>4599</v>
      </c>
      <c r="R309" s="131">
        <f>IFERROR(VLOOKUP(C309,TD!$B$32:$F$36,4,0)," ")</f>
        <v>20240207</v>
      </c>
      <c r="S309" s="54" t="s">
        <v>186</v>
      </c>
      <c r="T309" s="131" t="str">
        <f>IFERROR(VLOOKUP(S309,TD!$J$33:$K$43,2,0)," ")</f>
        <v>Infraestructura física, mantenimiento y dotación (Sedes construidas, mantenidas reforzadas)</v>
      </c>
      <c r="U309" s="54" t="str">
        <f t="shared" si="16"/>
        <v>08-Infraestructura física, mantenimiento y dotación (Sedes construidas, mantenidas reforzadas)</v>
      </c>
      <c r="V309" s="54" t="s">
        <v>239</v>
      </c>
      <c r="W309" s="131" t="str">
        <f>IFERROR(VLOOKUP(V309,TD!$N$33:$O$45,2,0)," ")</f>
        <v>Sedes mantenidas</v>
      </c>
      <c r="X309" s="54" t="str">
        <f t="shared" si="17"/>
        <v>016_Sedes mantenidas</v>
      </c>
      <c r="Y309" s="54" t="str">
        <f t="shared" si="18"/>
        <v>08-Infraestructura física, mantenimiento y dotación (Sedes construidas, mantenidas reforzadas) 016_Sedes mantenidas</v>
      </c>
      <c r="Z309" s="131" t="str">
        <f t="shared" si="19"/>
        <v>O23011745992024020708016</v>
      </c>
      <c r="AA309" s="131" t="str">
        <f>IFERROR(VLOOKUP(Y309,TD!$K$46:$L$64,2,0)," ")</f>
        <v>PM/0131/0108/45990160207</v>
      </c>
      <c r="AB309" s="57" t="s">
        <v>139</v>
      </c>
      <c r="AC309" s="132" t="s">
        <v>205</v>
      </c>
    </row>
    <row r="310" spans="2:29" s="28" customFormat="1" ht="71.25">
      <c r="B310" s="85">
        <v>20241059</v>
      </c>
      <c r="C310" s="53" t="s">
        <v>209</v>
      </c>
      <c r="D310" s="129" t="s">
        <v>167</v>
      </c>
      <c r="E310" s="54" t="s">
        <v>568</v>
      </c>
      <c r="F310" s="129" t="s">
        <v>710</v>
      </c>
      <c r="G310" s="129" t="s">
        <v>157</v>
      </c>
      <c r="H310" s="118" t="s">
        <v>612</v>
      </c>
      <c r="I310" s="130">
        <v>8</v>
      </c>
      <c r="J310" s="130">
        <v>4</v>
      </c>
      <c r="K310" s="56">
        <v>0</v>
      </c>
      <c r="L310" s="57">
        <v>11085760</v>
      </c>
      <c r="M310" s="129" t="s">
        <v>173</v>
      </c>
      <c r="N310" s="57" t="s">
        <v>114</v>
      </c>
      <c r="O310" s="54" t="s">
        <v>220</v>
      </c>
      <c r="P310" s="131" t="str">
        <f>IFERROR(VLOOKUP(C310,TD!$B$32:$F$36,2,0)," ")</f>
        <v>O230117</v>
      </c>
      <c r="Q310" s="131" t="str">
        <f>IFERROR(VLOOKUP(C310,TD!$B$32:$F$36,3,0)," ")</f>
        <v>4599</v>
      </c>
      <c r="R310" s="131">
        <f>IFERROR(VLOOKUP(C310,TD!$B$32:$F$36,4,0)," ")</f>
        <v>20240207</v>
      </c>
      <c r="S310" s="54" t="s">
        <v>186</v>
      </c>
      <c r="T310" s="131" t="str">
        <f>IFERROR(VLOOKUP(S310,TD!$J$33:$K$43,2,0)," ")</f>
        <v>Infraestructura física, mantenimiento y dotación (Sedes construidas, mantenidas reforzadas)</v>
      </c>
      <c r="U310" s="54" t="str">
        <f t="shared" si="16"/>
        <v>08-Infraestructura física, mantenimiento y dotación (Sedes construidas, mantenidas reforzadas)</v>
      </c>
      <c r="V310" s="54" t="s">
        <v>239</v>
      </c>
      <c r="W310" s="131" t="str">
        <f>IFERROR(VLOOKUP(V310,TD!$N$33:$O$45,2,0)," ")</f>
        <v>Sedes mantenidas</v>
      </c>
      <c r="X310" s="54" t="str">
        <f t="shared" si="17"/>
        <v>016_Sedes mantenidas</v>
      </c>
      <c r="Y310" s="54" t="str">
        <f t="shared" si="18"/>
        <v>08-Infraestructura física, mantenimiento y dotación (Sedes construidas, mantenidas reforzadas) 016_Sedes mantenidas</v>
      </c>
      <c r="Z310" s="131" t="str">
        <f t="shared" si="19"/>
        <v>O23011745992024020708016</v>
      </c>
      <c r="AA310" s="131" t="str">
        <f>IFERROR(VLOOKUP(Y310,TD!$K$46:$L$64,2,0)," ")</f>
        <v>PM/0131/0108/45990160207</v>
      </c>
      <c r="AB310" s="57" t="s">
        <v>139</v>
      </c>
      <c r="AC310" s="132" t="s">
        <v>205</v>
      </c>
    </row>
    <row r="311" spans="2:29" s="28" customFormat="1" ht="57">
      <c r="B311" s="85">
        <v>20241060</v>
      </c>
      <c r="C311" s="53" t="s">
        <v>209</v>
      </c>
      <c r="D311" s="129" t="s">
        <v>167</v>
      </c>
      <c r="E311" s="54" t="s">
        <v>568</v>
      </c>
      <c r="F311" s="129" t="s">
        <v>711</v>
      </c>
      <c r="G311" s="129" t="s">
        <v>156</v>
      </c>
      <c r="H311" s="118" t="s">
        <v>612</v>
      </c>
      <c r="I311" s="130">
        <v>8</v>
      </c>
      <c r="J311" s="130">
        <v>4</v>
      </c>
      <c r="K311" s="56">
        <v>0</v>
      </c>
      <c r="L311" s="57">
        <v>16000000</v>
      </c>
      <c r="M311" s="129" t="s">
        <v>173</v>
      </c>
      <c r="N311" s="57" t="s">
        <v>114</v>
      </c>
      <c r="O311" s="54" t="s">
        <v>220</v>
      </c>
      <c r="P311" s="131" t="str">
        <f>IFERROR(VLOOKUP(C311,TD!$B$32:$F$36,2,0)," ")</f>
        <v>O230117</v>
      </c>
      <c r="Q311" s="131" t="str">
        <f>IFERROR(VLOOKUP(C311,TD!$B$32:$F$36,3,0)," ")</f>
        <v>4599</v>
      </c>
      <c r="R311" s="131">
        <f>IFERROR(VLOOKUP(C311,TD!$B$32:$F$36,4,0)," ")</f>
        <v>20240207</v>
      </c>
      <c r="S311" s="54" t="s">
        <v>186</v>
      </c>
      <c r="T311" s="131" t="str">
        <f>IFERROR(VLOOKUP(S311,TD!$J$33:$K$43,2,0)," ")</f>
        <v>Infraestructura física, mantenimiento y dotación (Sedes construidas, mantenidas reforzadas)</v>
      </c>
      <c r="U311" s="54" t="str">
        <f t="shared" si="16"/>
        <v>08-Infraestructura física, mantenimiento y dotación (Sedes construidas, mantenidas reforzadas)</v>
      </c>
      <c r="V311" s="54" t="s">
        <v>239</v>
      </c>
      <c r="W311" s="131" t="str">
        <f>IFERROR(VLOOKUP(V311,TD!$N$33:$O$45,2,0)," ")</f>
        <v>Sedes mantenidas</v>
      </c>
      <c r="X311" s="54" t="str">
        <f t="shared" si="17"/>
        <v>016_Sedes mantenidas</v>
      </c>
      <c r="Y311" s="54" t="str">
        <f t="shared" si="18"/>
        <v>08-Infraestructura física, mantenimiento y dotación (Sedes construidas, mantenidas reforzadas) 016_Sedes mantenidas</v>
      </c>
      <c r="Z311" s="131" t="str">
        <f t="shared" si="19"/>
        <v>O23011745992024020708016</v>
      </c>
      <c r="AA311" s="131" t="str">
        <f>IFERROR(VLOOKUP(Y311,TD!$K$46:$L$64,2,0)," ")</f>
        <v>PM/0131/0108/45990160207</v>
      </c>
      <c r="AB311" s="57" t="s">
        <v>139</v>
      </c>
      <c r="AC311" s="132" t="s">
        <v>205</v>
      </c>
    </row>
    <row r="312" spans="2:29" s="28" customFormat="1" ht="71.25">
      <c r="B312" s="85">
        <v>20241061</v>
      </c>
      <c r="C312" s="53" t="s">
        <v>209</v>
      </c>
      <c r="D312" s="129" t="s">
        <v>167</v>
      </c>
      <c r="E312" s="54" t="s">
        <v>568</v>
      </c>
      <c r="F312" s="129" t="s">
        <v>712</v>
      </c>
      <c r="G312" s="129" t="s">
        <v>157</v>
      </c>
      <c r="H312" s="118" t="s">
        <v>612</v>
      </c>
      <c r="I312" s="130">
        <v>8</v>
      </c>
      <c r="J312" s="130">
        <v>3</v>
      </c>
      <c r="K312" s="56">
        <v>10</v>
      </c>
      <c r="L312" s="57">
        <v>9700040</v>
      </c>
      <c r="M312" s="129" t="s">
        <v>173</v>
      </c>
      <c r="N312" s="57" t="s">
        <v>114</v>
      </c>
      <c r="O312" s="54" t="s">
        <v>220</v>
      </c>
      <c r="P312" s="131" t="str">
        <f>IFERROR(VLOOKUP(C312,TD!$B$32:$F$36,2,0)," ")</f>
        <v>O230117</v>
      </c>
      <c r="Q312" s="131" t="str">
        <f>IFERROR(VLOOKUP(C312,TD!$B$32:$F$36,3,0)," ")</f>
        <v>4599</v>
      </c>
      <c r="R312" s="131">
        <f>IFERROR(VLOOKUP(C312,TD!$B$32:$F$36,4,0)," ")</f>
        <v>20240207</v>
      </c>
      <c r="S312" s="54" t="s">
        <v>186</v>
      </c>
      <c r="T312" s="131" t="str">
        <f>IFERROR(VLOOKUP(S312,TD!$J$33:$K$43,2,0)," ")</f>
        <v>Infraestructura física, mantenimiento y dotación (Sedes construidas, mantenidas reforzadas)</v>
      </c>
      <c r="U312" s="54" t="str">
        <f t="shared" si="16"/>
        <v>08-Infraestructura física, mantenimiento y dotación (Sedes construidas, mantenidas reforzadas)</v>
      </c>
      <c r="V312" s="54" t="s">
        <v>239</v>
      </c>
      <c r="W312" s="131" t="str">
        <f>IFERROR(VLOOKUP(V312,TD!$N$33:$O$45,2,0)," ")</f>
        <v>Sedes mantenidas</v>
      </c>
      <c r="X312" s="54" t="str">
        <f t="shared" si="17"/>
        <v>016_Sedes mantenidas</v>
      </c>
      <c r="Y312" s="54" t="str">
        <f t="shared" si="18"/>
        <v>08-Infraestructura física, mantenimiento y dotación (Sedes construidas, mantenidas reforzadas) 016_Sedes mantenidas</v>
      </c>
      <c r="Z312" s="131" t="str">
        <f t="shared" si="19"/>
        <v>O23011745992024020708016</v>
      </c>
      <c r="AA312" s="131" t="str">
        <f>IFERROR(VLOOKUP(Y312,TD!$K$46:$L$64,2,0)," ")</f>
        <v>PM/0131/0108/45990160207</v>
      </c>
      <c r="AB312" s="57" t="s">
        <v>139</v>
      </c>
      <c r="AC312" s="132" t="s">
        <v>205</v>
      </c>
    </row>
    <row r="313" spans="2:29" s="28" customFormat="1" ht="57">
      <c r="B313" s="85">
        <v>20241062</v>
      </c>
      <c r="C313" s="53" t="s">
        <v>209</v>
      </c>
      <c r="D313" s="129" t="s">
        <v>167</v>
      </c>
      <c r="E313" s="54" t="s">
        <v>568</v>
      </c>
      <c r="F313" s="129" t="s">
        <v>585</v>
      </c>
      <c r="G313" s="129" t="s">
        <v>156</v>
      </c>
      <c r="H313" s="118" t="s">
        <v>612</v>
      </c>
      <c r="I313" s="130">
        <v>8</v>
      </c>
      <c r="J313" s="130">
        <v>5</v>
      </c>
      <c r="K313" s="56">
        <v>0</v>
      </c>
      <c r="L313" s="57">
        <v>38460800</v>
      </c>
      <c r="M313" s="129" t="s">
        <v>173</v>
      </c>
      <c r="N313" s="57" t="s">
        <v>114</v>
      </c>
      <c r="O313" s="54" t="s">
        <v>220</v>
      </c>
      <c r="P313" s="131" t="str">
        <f>IFERROR(VLOOKUP(C313,TD!$B$32:$F$36,2,0)," ")</f>
        <v>O230117</v>
      </c>
      <c r="Q313" s="131" t="str">
        <f>IFERROR(VLOOKUP(C313,TD!$B$32:$F$36,3,0)," ")</f>
        <v>4599</v>
      </c>
      <c r="R313" s="131">
        <f>IFERROR(VLOOKUP(C313,TD!$B$32:$F$36,4,0)," ")</f>
        <v>20240207</v>
      </c>
      <c r="S313" s="54" t="s">
        <v>186</v>
      </c>
      <c r="T313" s="131" t="str">
        <f>IFERROR(VLOOKUP(S313,TD!$J$33:$K$43,2,0)," ")</f>
        <v>Infraestructura física, mantenimiento y dotación (Sedes construidas, mantenidas reforzadas)</v>
      </c>
      <c r="U313" s="54" t="str">
        <f t="shared" si="16"/>
        <v>08-Infraestructura física, mantenimiento y dotación (Sedes construidas, mantenidas reforzadas)</v>
      </c>
      <c r="V313" s="54" t="s">
        <v>239</v>
      </c>
      <c r="W313" s="131" t="str">
        <f>IFERROR(VLOOKUP(V313,TD!$N$33:$O$45,2,0)," ")</f>
        <v>Sedes mantenidas</v>
      </c>
      <c r="X313" s="54" t="str">
        <f t="shared" si="17"/>
        <v>016_Sedes mantenidas</v>
      </c>
      <c r="Y313" s="54" t="str">
        <f t="shared" si="18"/>
        <v>08-Infraestructura física, mantenimiento y dotación (Sedes construidas, mantenidas reforzadas) 016_Sedes mantenidas</v>
      </c>
      <c r="Z313" s="131" t="str">
        <f t="shared" si="19"/>
        <v>O23011745992024020708016</v>
      </c>
      <c r="AA313" s="131" t="str">
        <f>IFERROR(VLOOKUP(Y313,TD!$K$46:$L$64,2,0)," ")</f>
        <v>PM/0131/0108/45990160207</v>
      </c>
      <c r="AB313" s="57" t="s">
        <v>139</v>
      </c>
      <c r="AC313" s="132" t="s">
        <v>205</v>
      </c>
    </row>
    <row r="314" spans="2:29" s="28" customFormat="1" ht="57">
      <c r="B314" s="85">
        <v>20241063</v>
      </c>
      <c r="C314" s="53" t="s">
        <v>209</v>
      </c>
      <c r="D314" s="129" t="s">
        <v>167</v>
      </c>
      <c r="E314" s="54" t="s">
        <v>568</v>
      </c>
      <c r="F314" s="129" t="s">
        <v>586</v>
      </c>
      <c r="G314" s="129" t="s">
        <v>156</v>
      </c>
      <c r="H314" s="118" t="s">
        <v>612</v>
      </c>
      <c r="I314" s="130">
        <v>8</v>
      </c>
      <c r="J314" s="130">
        <v>4</v>
      </c>
      <c r="K314" s="56">
        <v>0</v>
      </c>
      <c r="L314" s="57">
        <v>22000000</v>
      </c>
      <c r="M314" s="129" t="s">
        <v>173</v>
      </c>
      <c r="N314" s="57" t="s">
        <v>114</v>
      </c>
      <c r="O314" s="54" t="s">
        <v>220</v>
      </c>
      <c r="P314" s="131" t="str">
        <f>IFERROR(VLOOKUP(C314,TD!$B$32:$F$36,2,0)," ")</f>
        <v>O230117</v>
      </c>
      <c r="Q314" s="131" t="str">
        <f>IFERROR(VLOOKUP(C314,TD!$B$32:$F$36,3,0)," ")</f>
        <v>4599</v>
      </c>
      <c r="R314" s="131">
        <f>IFERROR(VLOOKUP(C314,TD!$B$32:$F$36,4,0)," ")</f>
        <v>20240207</v>
      </c>
      <c r="S314" s="54" t="s">
        <v>186</v>
      </c>
      <c r="T314" s="131" t="str">
        <f>IFERROR(VLOOKUP(S314,TD!$J$33:$K$43,2,0)," ")</f>
        <v>Infraestructura física, mantenimiento y dotación (Sedes construidas, mantenidas reforzadas)</v>
      </c>
      <c r="U314" s="54" t="str">
        <f t="shared" si="16"/>
        <v>08-Infraestructura física, mantenimiento y dotación (Sedes construidas, mantenidas reforzadas)</v>
      </c>
      <c r="V314" s="54" t="s">
        <v>239</v>
      </c>
      <c r="W314" s="131" t="str">
        <f>IFERROR(VLOOKUP(V314,TD!$N$33:$O$45,2,0)," ")</f>
        <v>Sedes mantenidas</v>
      </c>
      <c r="X314" s="54" t="str">
        <f t="shared" si="17"/>
        <v>016_Sedes mantenidas</v>
      </c>
      <c r="Y314" s="54" t="str">
        <f t="shared" si="18"/>
        <v>08-Infraestructura física, mantenimiento y dotación (Sedes construidas, mantenidas reforzadas) 016_Sedes mantenidas</v>
      </c>
      <c r="Z314" s="131" t="str">
        <f t="shared" si="19"/>
        <v>O23011745992024020708016</v>
      </c>
      <c r="AA314" s="131" t="str">
        <f>IFERROR(VLOOKUP(Y314,TD!$K$46:$L$64,2,0)," ")</f>
        <v>PM/0131/0108/45990160207</v>
      </c>
      <c r="AB314" s="57" t="s">
        <v>121</v>
      </c>
      <c r="AC314" s="132" t="s">
        <v>205</v>
      </c>
    </row>
    <row r="315" spans="2:29" s="28" customFormat="1" ht="71.25">
      <c r="B315" s="85">
        <v>20241064</v>
      </c>
      <c r="C315" s="53" t="s">
        <v>209</v>
      </c>
      <c r="D315" s="129" t="s">
        <v>167</v>
      </c>
      <c r="E315" s="54" t="s">
        <v>568</v>
      </c>
      <c r="F315" s="129" t="s">
        <v>587</v>
      </c>
      <c r="G315" s="129" t="s">
        <v>157</v>
      </c>
      <c r="H315" s="118" t="s">
        <v>612</v>
      </c>
      <c r="I315" s="130">
        <v>8</v>
      </c>
      <c r="J315" s="130">
        <v>5</v>
      </c>
      <c r="K315" s="56">
        <v>0</v>
      </c>
      <c r="L315" s="57">
        <f>2195489+11661711</f>
        <v>13857200</v>
      </c>
      <c r="M315" s="129" t="s">
        <v>173</v>
      </c>
      <c r="N315" s="57" t="s">
        <v>114</v>
      </c>
      <c r="O315" s="54" t="s">
        <v>220</v>
      </c>
      <c r="P315" s="131" t="str">
        <f>IFERROR(VLOOKUP(C315,TD!$B$32:$F$36,2,0)," ")</f>
        <v>O230117</v>
      </c>
      <c r="Q315" s="131" t="str">
        <f>IFERROR(VLOOKUP(C315,TD!$B$32:$F$36,3,0)," ")</f>
        <v>4599</v>
      </c>
      <c r="R315" s="131">
        <f>IFERROR(VLOOKUP(C315,TD!$B$32:$F$36,4,0)," ")</f>
        <v>20240207</v>
      </c>
      <c r="S315" s="54" t="s">
        <v>186</v>
      </c>
      <c r="T315" s="131" t="str">
        <f>IFERROR(VLOOKUP(S315,TD!$J$33:$K$43,2,0)," ")</f>
        <v>Infraestructura física, mantenimiento y dotación (Sedes construidas, mantenidas reforzadas)</v>
      </c>
      <c r="U315" s="54" t="str">
        <f t="shared" si="16"/>
        <v>08-Infraestructura física, mantenimiento y dotación (Sedes construidas, mantenidas reforzadas)</v>
      </c>
      <c r="V315" s="54" t="s">
        <v>239</v>
      </c>
      <c r="W315" s="131" t="str">
        <f>IFERROR(VLOOKUP(V315,TD!$N$33:$O$45,2,0)," ")</f>
        <v>Sedes mantenidas</v>
      </c>
      <c r="X315" s="54" t="str">
        <f t="shared" si="17"/>
        <v>016_Sedes mantenidas</v>
      </c>
      <c r="Y315" s="54" t="str">
        <f t="shared" si="18"/>
        <v>08-Infraestructura física, mantenimiento y dotación (Sedes construidas, mantenidas reforzadas) 016_Sedes mantenidas</v>
      </c>
      <c r="Z315" s="131" t="str">
        <f t="shared" si="19"/>
        <v>O23011745992024020708016</v>
      </c>
      <c r="AA315" s="131" t="str">
        <f>IFERROR(VLOOKUP(Y315,TD!$K$46:$L$64,2,0)," ")</f>
        <v>PM/0131/0108/45990160207</v>
      </c>
      <c r="AB315" s="57" t="s">
        <v>139</v>
      </c>
      <c r="AC315" s="132" t="s">
        <v>205</v>
      </c>
    </row>
    <row r="316" spans="2:29" s="28" customFormat="1" ht="71.25">
      <c r="B316" s="85">
        <v>20241065</v>
      </c>
      <c r="C316" s="53" t="s">
        <v>209</v>
      </c>
      <c r="D316" s="129" t="s">
        <v>167</v>
      </c>
      <c r="E316" s="54" t="s">
        <v>568</v>
      </c>
      <c r="F316" s="129" t="s">
        <v>589</v>
      </c>
      <c r="G316" s="129" t="s">
        <v>157</v>
      </c>
      <c r="H316" s="118" t="s">
        <v>612</v>
      </c>
      <c r="I316" s="130">
        <v>8</v>
      </c>
      <c r="J316" s="130">
        <v>5</v>
      </c>
      <c r="K316" s="56">
        <v>0</v>
      </c>
      <c r="L316" s="57">
        <v>15836800</v>
      </c>
      <c r="M316" s="129" t="s">
        <v>173</v>
      </c>
      <c r="N316" s="57" t="s">
        <v>114</v>
      </c>
      <c r="O316" s="54" t="s">
        <v>220</v>
      </c>
      <c r="P316" s="131" t="str">
        <f>IFERROR(VLOOKUP(C316,TD!$B$32:$F$36,2,0)," ")</f>
        <v>O230117</v>
      </c>
      <c r="Q316" s="131" t="str">
        <f>IFERROR(VLOOKUP(C316,TD!$B$32:$F$36,3,0)," ")</f>
        <v>4599</v>
      </c>
      <c r="R316" s="131">
        <f>IFERROR(VLOOKUP(C316,TD!$B$32:$F$36,4,0)," ")</f>
        <v>20240207</v>
      </c>
      <c r="S316" s="54" t="s">
        <v>186</v>
      </c>
      <c r="T316" s="131" t="str">
        <f>IFERROR(VLOOKUP(S316,TD!$J$33:$K$43,2,0)," ")</f>
        <v>Infraestructura física, mantenimiento y dotación (Sedes construidas, mantenidas reforzadas)</v>
      </c>
      <c r="U316" s="54" t="str">
        <f t="shared" si="16"/>
        <v>08-Infraestructura física, mantenimiento y dotación (Sedes construidas, mantenidas reforzadas)</v>
      </c>
      <c r="V316" s="54" t="s">
        <v>239</v>
      </c>
      <c r="W316" s="131" t="str">
        <f>IFERROR(VLOOKUP(V316,TD!$N$33:$O$45,2,0)," ")</f>
        <v>Sedes mantenidas</v>
      </c>
      <c r="X316" s="54" t="str">
        <f t="shared" si="17"/>
        <v>016_Sedes mantenidas</v>
      </c>
      <c r="Y316" s="54" t="str">
        <f t="shared" si="18"/>
        <v>08-Infraestructura física, mantenimiento y dotación (Sedes construidas, mantenidas reforzadas) 016_Sedes mantenidas</v>
      </c>
      <c r="Z316" s="131" t="str">
        <f t="shared" si="19"/>
        <v>O23011745992024020708016</v>
      </c>
      <c r="AA316" s="131" t="str">
        <f>IFERROR(VLOOKUP(Y316,TD!$K$46:$L$64,2,0)," ")</f>
        <v>PM/0131/0108/45990160207</v>
      </c>
      <c r="AB316" s="57" t="s">
        <v>139</v>
      </c>
      <c r="AC316" s="132" t="s">
        <v>205</v>
      </c>
    </row>
    <row r="317" spans="2:29" s="28" customFormat="1" ht="71.25">
      <c r="B317" s="85">
        <v>20241066</v>
      </c>
      <c r="C317" s="53" t="s">
        <v>209</v>
      </c>
      <c r="D317" s="129" t="s">
        <v>167</v>
      </c>
      <c r="E317" s="54" t="s">
        <v>568</v>
      </c>
      <c r="F317" s="129" t="s">
        <v>590</v>
      </c>
      <c r="G317" s="129" t="s">
        <v>157</v>
      </c>
      <c r="H317" s="118" t="s">
        <v>612</v>
      </c>
      <c r="I317" s="130">
        <v>8</v>
      </c>
      <c r="J317" s="130">
        <v>4</v>
      </c>
      <c r="K317" s="56">
        <v>0</v>
      </c>
      <c r="L317" s="57">
        <v>14000000</v>
      </c>
      <c r="M317" s="129" t="s">
        <v>173</v>
      </c>
      <c r="N317" s="57" t="s">
        <v>114</v>
      </c>
      <c r="O317" s="54" t="s">
        <v>220</v>
      </c>
      <c r="P317" s="131" t="str">
        <f>IFERROR(VLOOKUP(C317,TD!$B$32:$F$36,2,0)," ")</f>
        <v>O230117</v>
      </c>
      <c r="Q317" s="131" t="str">
        <f>IFERROR(VLOOKUP(C317,TD!$B$32:$F$36,3,0)," ")</f>
        <v>4599</v>
      </c>
      <c r="R317" s="131">
        <f>IFERROR(VLOOKUP(C317,TD!$B$32:$F$36,4,0)," ")</f>
        <v>20240207</v>
      </c>
      <c r="S317" s="54" t="s">
        <v>186</v>
      </c>
      <c r="T317" s="131" t="str">
        <f>IFERROR(VLOOKUP(S317,TD!$J$33:$K$43,2,0)," ")</f>
        <v>Infraestructura física, mantenimiento y dotación (Sedes construidas, mantenidas reforzadas)</v>
      </c>
      <c r="U317" s="54" t="str">
        <f t="shared" si="16"/>
        <v>08-Infraestructura física, mantenimiento y dotación (Sedes construidas, mantenidas reforzadas)</v>
      </c>
      <c r="V317" s="54" t="s">
        <v>239</v>
      </c>
      <c r="W317" s="131" t="str">
        <f>IFERROR(VLOOKUP(V317,TD!$N$33:$O$45,2,0)," ")</f>
        <v>Sedes mantenidas</v>
      </c>
      <c r="X317" s="54" t="str">
        <f t="shared" si="17"/>
        <v>016_Sedes mantenidas</v>
      </c>
      <c r="Y317" s="54" t="str">
        <f t="shared" si="18"/>
        <v>08-Infraestructura física, mantenimiento y dotación (Sedes construidas, mantenidas reforzadas) 016_Sedes mantenidas</v>
      </c>
      <c r="Z317" s="131" t="str">
        <f t="shared" si="19"/>
        <v>O23011745992024020708016</v>
      </c>
      <c r="AA317" s="131" t="str">
        <f>IFERROR(VLOOKUP(Y317,TD!$K$46:$L$64,2,0)," ")</f>
        <v>PM/0131/0108/45990160207</v>
      </c>
      <c r="AB317" s="57" t="s">
        <v>139</v>
      </c>
      <c r="AC317" s="132" t="s">
        <v>205</v>
      </c>
    </row>
    <row r="318" spans="2:29" s="28" customFormat="1" ht="57">
      <c r="B318" s="85">
        <v>20241067</v>
      </c>
      <c r="C318" s="53" t="s">
        <v>209</v>
      </c>
      <c r="D318" s="129" t="s">
        <v>167</v>
      </c>
      <c r="E318" s="54" t="s">
        <v>568</v>
      </c>
      <c r="F318" s="129" t="s">
        <v>591</v>
      </c>
      <c r="G318" s="129" t="s">
        <v>156</v>
      </c>
      <c r="H318" s="118" t="s">
        <v>612</v>
      </c>
      <c r="I318" s="130">
        <v>10</v>
      </c>
      <c r="J318" s="130">
        <v>3</v>
      </c>
      <c r="K318" s="56">
        <v>0</v>
      </c>
      <c r="L318" s="57">
        <v>18664800</v>
      </c>
      <c r="M318" s="129" t="s">
        <v>173</v>
      </c>
      <c r="N318" s="57" t="s">
        <v>114</v>
      </c>
      <c r="O318" s="54" t="s">
        <v>220</v>
      </c>
      <c r="P318" s="131" t="str">
        <f>IFERROR(VLOOKUP(C318,TD!$B$32:$F$36,2,0)," ")</f>
        <v>O230117</v>
      </c>
      <c r="Q318" s="131" t="str">
        <f>IFERROR(VLOOKUP(C318,TD!$B$32:$F$36,3,0)," ")</f>
        <v>4599</v>
      </c>
      <c r="R318" s="131">
        <f>IFERROR(VLOOKUP(C318,TD!$B$32:$F$36,4,0)," ")</f>
        <v>20240207</v>
      </c>
      <c r="S318" s="54" t="s">
        <v>186</v>
      </c>
      <c r="T318" s="131" t="str">
        <f>IFERROR(VLOOKUP(S318,TD!$J$33:$K$43,2,0)," ")</f>
        <v>Infraestructura física, mantenimiento y dotación (Sedes construidas, mantenidas reforzadas)</v>
      </c>
      <c r="U318" s="54" t="str">
        <f t="shared" si="16"/>
        <v>08-Infraestructura física, mantenimiento y dotación (Sedes construidas, mantenidas reforzadas)</v>
      </c>
      <c r="V318" s="54" t="s">
        <v>239</v>
      </c>
      <c r="W318" s="131" t="str">
        <f>IFERROR(VLOOKUP(V318,TD!$N$33:$O$45,2,0)," ")</f>
        <v>Sedes mantenidas</v>
      </c>
      <c r="X318" s="54" t="str">
        <f t="shared" si="17"/>
        <v>016_Sedes mantenidas</v>
      </c>
      <c r="Y318" s="54" t="str">
        <f t="shared" si="18"/>
        <v>08-Infraestructura física, mantenimiento y dotación (Sedes construidas, mantenidas reforzadas) 016_Sedes mantenidas</v>
      </c>
      <c r="Z318" s="131" t="str">
        <f t="shared" si="19"/>
        <v>O23011745992024020708016</v>
      </c>
      <c r="AA318" s="131" t="str">
        <f>IFERROR(VLOOKUP(Y318,TD!$K$46:$L$64,2,0)," ")</f>
        <v>PM/0131/0108/45990160207</v>
      </c>
      <c r="AB318" s="57" t="s">
        <v>139</v>
      </c>
      <c r="AC318" s="132" t="s">
        <v>205</v>
      </c>
    </row>
    <row r="319" spans="2:29" s="28" customFormat="1" ht="57">
      <c r="B319" s="85">
        <v>20241068</v>
      </c>
      <c r="C319" s="53" t="s">
        <v>209</v>
      </c>
      <c r="D319" s="129" t="s">
        <v>167</v>
      </c>
      <c r="E319" s="54" t="s">
        <v>568</v>
      </c>
      <c r="F319" s="129" t="s">
        <v>592</v>
      </c>
      <c r="G319" s="129" t="s">
        <v>156</v>
      </c>
      <c r="H319" s="118" t="s">
        <v>612</v>
      </c>
      <c r="I319" s="130">
        <v>10</v>
      </c>
      <c r="J319" s="130">
        <v>3</v>
      </c>
      <c r="K319" s="56">
        <v>0</v>
      </c>
      <c r="L319" s="57">
        <v>18000000</v>
      </c>
      <c r="M319" s="129" t="s">
        <v>173</v>
      </c>
      <c r="N319" s="57" t="s">
        <v>114</v>
      </c>
      <c r="O319" s="54" t="s">
        <v>220</v>
      </c>
      <c r="P319" s="131" t="str">
        <f>IFERROR(VLOOKUP(C319,TD!$B$32:$F$36,2,0)," ")</f>
        <v>O230117</v>
      </c>
      <c r="Q319" s="131" t="str">
        <f>IFERROR(VLOOKUP(C319,TD!$B$32:$F$36,3,0)," ")</f>
        <v>4599</v>
      </c>
      <c r="R319" s="131">
        <f>IFERROR(VLOOKUP(C319,TD!$B$32:$F$36,4,0)," ")</f>
        <v>20240207</v>
      </c>
      <c r="S319" s="54" t="s">
        <v>186</v>
      </c>
      <c r="T319" s="131" t="str">
        <f>IFERROR(VLOOKUP(S319,TD!$J$33:$K$43,2,0)," ")</f>
        <v>Infraestructura física, mantenimiento y dotación (Sedes construidas, mantenidas reforzadas)</v>
      </c>
      <c r="U319" s="54" t="str">
        <f t="shared" si="16"/>
        <v>08-Infraestructura física, mantenimiento y dotación (Sedes construidas, mantenidas reforzadas)</v>
      </c>
      <c r="V319" s="54" t="s">
        <v>239</v>
      </c>
      <c r="W319" s="131" t="str">
        <f>IFERROR(VLOOKUP(V319,TD!$N$33:$O$45,2,0)," ")</f>
        <v>Sedes mantenidas</v>
      </c>
      <c r="X319" s="54" t="str">
        <f t="shared" si="17"/>
        <v>016_Sedes mantenidas</v>
      </c>
      <c r="Y319" s="54" t="str">
        <f t="shared" si="18"/>
        <v>08-Infraestructura física, mantenimiento y dotación (Sedes construidas, mantenidas reforzadas) 016_Sedes mantenidas</v>
      </c>
      <c r="Z319" s="131" t="str">
        <f t="shared" si="19"/>
        <v>O23011745992024020708016</v>
      </c>
      <c r="AA319" s="131" t="str">
        <f>IFERROR(VLOOKUP(Y319,TD!$K$46:$L$64,2,0)," ")</f>
        <v>PM/0131/0108/45990160207</v>
      </c>
      <c r="AB319" s="57" t="s">
        <v>121</v>
      </c>
      <c r="AC319" s="132" t="s">
        <v>205</v>
      </c>
    </row>
    <row r="320" spans="2:29" s="28" customFormat="1" ht="57">
      <c r="B320" s="85">
        <v>20241069</v>
      </c>
      <c r="C320" s="53" t="s">
        <v>209</v>
      </c>
      <c r="D320" s="129" t="s">
        <v>167</v>
      </c>
      <c r="E320" s="54" t="s">
        <v>568</v>
      </c>
      <c r="F320" s="129" t="s">
        <v>593</v>
      </c>
      <c r="G320" s="129" t="s">
        <v>138</v>
      </c>
      <c r="H320" s="118" t="s">
        <v>567</v>
      </c>
      <c r="I320" s="130">
        <v>0</v>
      </c>
      <c r="J320" s="130">
        <v>0</v>
      </c>
      <c r="K320" s="56">
        <v>0</v>
      </c>
      <c r="L320" s="57">
        <v>388045</v>
      </c>
      <c r="M320" s="129" t="s">
        <v>174</v>
      </c>
      <c r="N320" s="57" t="s">
        <v>129</v>
      </c>
      <c r="O320" s="54" t="s">
        <v>220</v>
      </c>
      <c r="P320" s="131" t="str">
        <f>IFERROR(VLOOKUP(C320,TD!$B$32:$F$36,2,0)," ")</f>
        <v>O230117</v>
      </c>
      <c r="Q320" s="131" t="str">
        <f>IFERROR(VLOOKUP(C320,TD!$B$32:$F$36,3,0)," ")</f>
        <v>4599</v>
      </c>
      <c r="R320" s="131">
        <f>IFERROR(VLOOKUP(C320,TD!$B$32:$F$36,4,0)," ")</f>
        <v>20240207</v>
      </c>
      <c r="S320" s="54" t="s">
        <v>186</v>
      </c>
      <c r="T320" s="131" t="str">
        <f>IFERROR(VLOOKUP(S320,TD!$J$33:$K$43,2,0)," ")</f>
        <v>Infraestructura física, mantenimiento y dotación (Sedes construidas, mantenidas reforzadas)</v>
      </c>
      <c r="U320" s="54" t="str">
        <f t="shared" si="16"/>
        <v>08-Infraestructura física, mantenimiento y dotación (Sedes construidas, mantenidas reforzadas)</v>
      </c>
      <c r="V320" s="54" t="s">
        <v>239</v>
      </c>
      <c r="W320" s="131" t="str">
        <f>IFERROR(VLOOKUP(V320,TD!$N$33:$O$45,2,0)," ")</f>
        <v>Sedes mantenidas</v>
      </c>
      <c r="X320" s="54" t="str">
        <f t="shared" si="17"/>
        <v>016_Sedes mantenidas</v>
      </c>
      <c r="Y320" s="54" t="str">
        <f t="shared" si="18"/>
        <v>08-Infraestructura física, mantenimiento y dotación (Sedes construidas, mantenidas reforzadas) 016_Sedes mantenidas</v>
      </c>
      <c r="Z320" s="131" t="str">
        <f t="shared" si="19"/>
        <v>O23011745992024020708016</v>
      </c>
      <c r="AA320" s="131" t="str">
        <f>IFERROR(VLOOKUP(Y320,TD!$K$46:$L$64,2,0)," ")</f>
        <v>PM/0131/0108/45990160207</v>
      </c>
      <c r="AB320" s="57" t="s">
        <v>139</v>
      </c>
      <c r="AC320" s="132" t="s">
        <v>206</v>
      </c>
    </row>
    <row r="321" spans="2:29" s="28" customFormat="1" ht="71.25">
      <c r="B321" s="85">
        <v>20241070</v>
      </c>
      <c r="C321" s="53" t="s">
        <v>210</v>
      </c>
      <c r="D321" s="129" t="s">
        <v>167</v>
      </c>
      <c r="E321" s="54" t="s">
        <v>568</v>
      </c>
      <c r="F321" s="129" t="s">
        <v>594</v>
      </c>
      <c r="G321" s="129" t="s">
        <v>102</v>
      </c>
      <c r="H321" s="118" t="s">
        <v>613</v>
      </c>
      <c r="I321" s="130">
        <v>8</v>
      </c>
      <c r="J321" s="130">
        <v>6</v>
      </c>
      <c r="K321" s="56">
        <v>0</v>
      </c>
      <c r="L321" s="57">
        <v>450000000</v>
      </c>
      <c r="M321" s="129" t="s">
        <v>173</v>
      </c>
      <c r="N321" s="57" t="s">
        <v>109</v>
      </c>
      <c r="O321" s="54" t="s">
        <v>228</v>
      </c>
      <c r="P321" s="131" t="str">
        <f>IFERROR(VLOOKUP(C321,TD!$B$32:$F$36,2,0)," ")</f>
        <v>O230117</v>
      </c>
      <c r="Q321" s="131" t="str">
        <f>IFERROR(VLOOKUP(C321,TD!$B$32:$F$36,3,0)," ")</f>
        <v>4503</v>
      </c>
      <c r="R321" s="131">
        <f>IFERROR(VLOOKUP(C321,TD!$B$32:$F$36,4,0)," ")</f>
        <v>20240255</v>
      </c>
      <c r="S321" s="54" t="s">
        <v>186</v>
      </c>
      <c r="T321" s="131" t="str">
        <f>IFERROR(VLOOKUP(S321,TD!$J$33:$K$43,2,0)," ")</f>
        <v>Infraestructura física, mantenimiento y dotación (Sedes construidas, mantenidas reforzadas)</v>
      </c>
      <c r="U321" s="54" t="str">
        <f t="shared" si="16"/>
        <v>08-Infraestructura física, mantenimiento y dotación (Sedes construidas, mantenidas reforzadas)</v>
      </c>
      <c r="V321" s="54" t="s">
        <v>237</v>
      </c>
      <c r="W321" s="131" t="str">
        <f>IFERROR(VLOOKUP(V321,TD!$N$33:$O$45,2,0)," ")</f>
        <v>Estaciones de bomberos adecuadas</v>
      </c>
      <c r="X321" s="54" t="str">
        <f t="shared" si="17"/>
        <v>014_Estaciones de bomberos adecuadas</v>
      </c>
      <c r="Y321" s="54" t="str">
        <f t="shared" si="18"/>
        <v>08-Infraestructura física, mantenimiento y dotación (Sedes construidas, mantenidas reforzadas) 014_Estaciones de bomberos adecuadas</v>
      </c>
      <c r="Z321" s="131" t="str">
        <f t="shared" si="19"/>
        <v>O23011745032024025508014</v>
      </c>
      <c r="AA321" s="131" t="str">
        <f>IFERROR(VLOOKUP(Y321,TD!$K$46:$L$64,2,0)," ")</f>
        <v>PM/0131/0108/45030140255</v>
      </c>
      <c r="AB321" s="57" t="s">
        <v>103</v>
      </c>
      <c r="AC321" s="132" t="s">
        <v>205</v>
      </c>
    </row>
    <row r="322" spans="2:29" s="28" customFormat="1" ht="71.25">
      <c r="B322" s="85">
        <v>20241071</v>
      </c>
      <c r="C322" s="53" t="s">
        <v>210</v>
      </c>
      <c r="D322" s="129" t="s">
        <v>167</v>
      </c>
      <c r="E322" s="54" t="s">
        <v>568</v>
      </c>
      <c r="F322" s="129" t="s">
        <v>595</v>
      </c>
      <c r="G322" s="129" t="s">
        <v>102</v>
      </c>
      <c r="H322" s="118" t="s">
        <v>614</v>
      </c>
      <c r="I322" s="130">
        <v>8</v>
      </c>
      <c r="J322" s="130">
        <v>6</v>
      </c>
      <c r="K322" s="56">
        <v>0</v>
      </c>
      <c r="L322" s="57">
        <v>135350633</v>
      </c>
      <c r="M322" s="129" t="s">
        <v>173</v>
      </c>
      <c r="N322" s="57" t="s">
        <v>109</v>
      </c>
      <c r="O322" s="54" t="s">
        <v>228</v>
      </c>
      <c r="P322" s="131" t="str">
        <f>IFERROR(VLOOKUP(C322,TD!$B$32:$F$36,2,0)," ")</f>
        <v>O230117</v>
      </c>
      <c r="Q322" s="131" t="str">
        <f>IFERROR(VLOOKUP(C322,TD!$B$32:$F$36,3,0)," ")</f>
        <v>4503</v>
      </c>
      <c r="R322" s="131">
        <f>IFERROR(VLOOKUP(C322,TD!$B$32:$F$36,4,0)," ")</f>
        <v>20240255</v>
      </c>
      <c r="S322" s="54" t="s">
        <v>186</v>
      </c>
      <c r="T322" s="131" t="str">
        <f>IFERROR(VLOOKUP(S322,TD!$J$33:$K$43,2,0)," ")</f>
        <v>Infraestructura física, mantenimiento y dotación (Sedes construidas, mantenidas reforzadas)</v>
      </c>
      <c r="U322" s="54" t="str">
        <f t="shared" si="16"/>
        <v>08-Infraestructura física, mantenimiento y dotación (Sedes construidas, mantenidas reforzadas)</v>
      </c>
      <c r="V322" s="54" t="s">
        <v>237</v>
      </c>
      <c r="W322" s="131" t="str">
        <f>IFERROR(VLOOKUP(V322,TD!$N$33:$O$45,2,0)," ")</f>
        <v>Estaciones de bomberos adecuadas</v>
      </c>
      <c r="X322" s="54" t="str">
        <f t="shared" si="17"/>
        <v>014_Estaciones de bomberos adecuadas</v>
      </c>
      <c r="Y322" s="54" t="str">
        <f t="shared" si="18"/>
        <v>08-Infraestructura física, mantenimiento y dotación (Sedes construidas, mantenidas reforzadas) 014_Estaciones de bomberos adecuadas</v>
      </c>
      <c r="Z322" s="131" t="str">
        <f t="shared" si="19"/>
        <v>O23011745032024025508014</v>
      </c>
      <c r="AA322" s="131" t="str">
        <f>IFERROR(VLOOKUP(Y322,TD!$K$46:$L$64,2,0)," ")</f>
        <v>PM/0131/0108/45030140255</v>
      </c>
      <c r="AB322" s="57" t="s">
        <v>103</v>
      </c>
      <c r="AC322" s="132" t="s">
        <v>205</v>
      </c>
    </row>
    <row r="323" spans="2:29" s="28" customFormat="1" ht="57">
      <c r="B323" s="85">
        <v>20241072</v>
      </c>
      <c r="C323" s="53" t="s">
        <v>209</v>
      </c>
      <c r="D323" s="129" t="s">
        <v>167</v>
      </c>
      <c r="E323" s="54" t="s">
        <v>568</v>
      </c>
      <c r="F323" s="129" t="s">
        <v>769</v>
      </c>
      <c r="G323" s="129" t="s">
        <v>138</v>
      </c>
      <c r="H323" s="118" t="s">
        <v>567</v>
      </c>
      <c r="I323" s="130">
        <v>0</v>
      </c>
      <c r="J323" s="130">
        <v>0</v>
      </c>
      <c r="K323" s="56">
        <v>0</v>
      </c>
      <c r="L323" s="57">
        <f>469553260-434736911</f>
        <v>34816349</v>
      </c>
      <c r="M323" s="129" t="s">
        <v>174</v>
      </c>
      <c r="N323" s="57" t="s">
        <v>129</v>
      </c>
      <c r="O323" s="54" t="s">
        <v>219</v>
      </c>
      <c r="P323" s="131" t="str">
        <f>IFERROR(VLOOKUP(C323,TD!$B$32:$F$36,2,0)," ")</f>
        <v>O230117</v>
      </c>
      <c r="Q323" s="131" t="str">
        <f>IFERROR(VLOOKUP(C323,TD!$B$32:$F$36,3,0)," ")</f>
        <v>4599</v>
      </c>
      <c r="R323" s="131">
        <f>IFERROR(VLOOKUP(C323,TD!$B$32:$F$36,4,0)," ")</f>
        <v>20240207</v>
      </c>
      <c r="S323" s="54" t="s">
        <v>186</v>
      </c>
      <c r="T323" s="131" t="str">
        <f>IFERROR(VLOOKUP(S323,TD!$J$33:$K$43,2,0)," ")</f>
        <v>Infraestructura física, mantenimiento y dotación (Sedes construidas, mantenidas reforzadas)</v>
      </c>
      <c r="U323" s="54" t="str">
        <f t="shared" si="16"/>
        <v>08-Infraestructura física, mantenimiento y dotación (Sedes construidas, mantenidas reforzadas)</v>
      </c>
      <c r="V323" s="54" t="s">
        <v>239</v>
      </c>
      <c r="W323" s="131" t="str">
        <f>IFERROR(VLOOKUP(V323,TD!$N$33:$O$45,2,0)," ")</f>
        <v>Sedes mantenidas</v>
      </c>
      <c r="X323" s="54" t="str">
        <f t="shared" si="17"/>
        <v>016_Sedes mantenidas</v>
      </c>
      <c r="Y323" s="54" t="str">
        <f t="shared" si="18"/>
        <v>08-Infraestructura física, mantenimiento y dotación (Sedes construidas, mantenidas reforzadas) 016_Sedes mantenidas</v>
      </c>
      <c r="Z323" s="131" t="str">
        <f t="shared" si="19"/>
        <v>O23011745992024020708016</v>
      </c>
      <c r="AA323" s="131" t="str">
        <f>IFERROR(VLOOKUP(Y323,TD!$K$46:$L$64,2,0)," ")</f>
        <v>PM/0131/0108/45990160207</v>
      </c>
      <c r="AB323" s="57" t="s">
        <v>88</v>
      </c>
      <c r="AC323" s="132" t="s">
        <v>206</v>
      </c>
    </row>
    <row r="324" spans="2:29" s="28" customFormat="1" ht="71.25">
      <c r="B324" s="85">
        <v>20241073</v>
      </c>
      <c r="C324" s="53" t="s">
        <v>210</v>
      </c>
      <c r="D324" s="129" t="s">
        <v>169</v>
      </c>
      <c r="E324" s="54" t="s">
        <v>423</v>
      </c>
      <c r="F324" s="129" t="s">
        <v>727</v>
      </c>
      <c r="G324" s="129" t="s">
        <v>158</v>
      </c>
      <c r="H324" s="117">
        <v>78181500</v>
      </c>
      <c r="I324" s="130">
        <v>7</v>
      </c>
      <c r="J324" s="130">
        <v>12</v>
      </c>
      <c r="K324" s="56">
        <v>0</v>
      </c>
      <c r="L324" s="57">
        <v>515000000</v>
      </c>
      <c r="M324" s="129" t="s">
        <v>173</v>
      </c>
      <c r="N324" s="57" t="s">
        <v>91</v>
      </c>
      <c r="O324" s="54" t="s">
        <v>225</v>
      </c>
      <c r="P324" s="131" t="str">
        <f>IFERROR(VLOOKUP(C324,TD!$B$32:$F$36,2,0)," ")</f>
        <v>O230117</v>
      </c>
      <c r="Q324" s="131" t="str">
        <f>IFERROR(VLOOKUP(C324,TD!$B$32:$F$36,3,0)," ")</f>
        <v>4503</v>
      </c>
      <c r="R324" s="131">
        <f>IFERROR(VLOOKUP(C324,TD!$B$32:$F$36,4,0)," ")</f>
        <v>20240255</v>
      </c>
      <c r="S324" s="54" t="s">
        <v>188</v>
      </c>
      <c r="T324" s="131" t="str">
        <f>IFERROR(VLOOKUP(S324,TD!$J$33:$K$43,2,0)," ")</f>
        <v>Servicio de mantenimiento, dotación (HEA´s y equipo menor) y adquisición de vehiculos   especializados para la atención de emergencias.</v>
      </c>
      <c r="U324" s="54" t="str">
        <f t="shared" si="16"/>
        <v>09-Servicio de mantenimiento, dotación (HEA´s y equipo menor) y adquisición de vehiculos   especializados para la atención de emergencias.</v>
      </c>
      <c r="V324" s="54" t="s">
        <v>233</v>
      </c>
      <c r="W324" s="131" t="str">
        <f>IFERROR(VLOOKUP(V324,TD!$N$33:$O$45,2,0)," ")</f>
        <v>Servicio de atención a emergencias y desastres</v>
      </c>
      <c r="X324" s="54" t="str">
        <f t="shared" si="17"/>
        <v>004_Servicio de atención a emergencias y desastres</v>
      </c>
      <c r="Y324" s="54" t="str">
        <f t="shared" si="18"/>
        <v>09-Servicio de mantenimiento, dotación (HEA´s y equipo menor) y adquisición de vehiculos   especializados para la atención de emergencias. 004_Servicio de atención a emergencias y desastres</v>
      </c>
      <c r="Z324" s="131" t="str">
        <f t="shared" si="19"/>
        <v>O23011745032024025509004</v>
      </c>
      <c r="AA324" s="131" t="str">
        <f>IFERROR(VLOOKUP(Y324,TD!$K$46:$L$64,2,0)," ")</f>
        <v>PM/0131/0109/45030040255</v>
      </c>
      <c r="AB324" s="57" t="s">
        <v>146</v>
      </c>
      <c r="AC324" s="132" t="s">
        <v>205</v>
      </c>
    </row>
    <row r="325" spans="2:29" s="28" customFormat="1" ht="57">
      <c r="B325" s="85">
        <v>20241074</v>
      </c>
      <c r="C325" s="53" t="s">
        <v>209</v>
      </c>
      <c r="D325" s="129" t="s">
        <v>167</v>
      </c>
      <c r="E325" s="54" t="s">
        <v>568</v>
      </c>
      <c r="F325" s="129" t="s">
        <v>791</v>
      </c>
      <c r="G325" s="129" t="s">
        <v>147</v>
      </c>
      <c r="H325" s="118" t="s">
        <v>616</v>
      </c>
      <c r="I325" s="130">
        <v>8</v>
      </c>
      <c r="J325" s="130">
        <v>8</v>
      </c>
      <c r="K325" s="56">
        <v>0</v>
      </c>
      <c r="L325" s="57">
        <v>40000000</v>
      </c>
      <c r="M325" s="129" t="s">
        <v>173</v>
      </c>
      <c r="N325" s="57" t="s">
        <v>101</v>
      </c>
      <c r="O325" s="54" t="s">
        <v>219</v>
      </c>
      <c r="P325" s="131" t="str">
        <f>IFERROR(VLOOKUP(C325,TD!$B$32:$F$36,2,0)," ")</f>
        <v>O230117</v>
      </c>
      <c r="Q325" s="131" t="str">
        <f>IFERROR(VLOOKUP(C325,TD!$B$32:$F$36,3,0)," ")</f>
        <v>4599</v>
      </c>
      <c r="R325" s="131">
        <f>IFERROR(VLOOKUP(C325,TD!$B$32:$F$36,4,0)," ")</f>
        <v>20240207</v>
      </c>
      <c r="S325" s="54" t="s">
        <v>186</v>
      </c>
      <c r="T325" s="131" t="str">
        <f>IFERROR(VLOOKUP(S325,TD!$J$33:$K$43,2,0)," ")</f>
        <v>Infraestructura física, mantenimiento y dotación (Sedes construidas, mantenidas reforzadas)</v>
      </c>
      <c r="U325" s="54" t="str">
        <f t="shared" si="16"/>
        <v>08-Infraestructura física, mantenimiento y dotación (Sedes construidas, mantenidas reforzadas)</v>
      </c>
      <c r="V325" s="54" t="s">
        <v>239</v>
      </c>
      <c r="W325" s="131" t="str">
        <f>IFERROR(VLOOKUP(V325,TD!$N$33:$O$45,2,0)," ")</f>
        <v>Sedes mantenidas</v>
      </c>
      <c r="X325" s="54" t="str">
        <f t="shared" si="17"/>
        <v>016_Sedes mantenidas</v>
      </c>
      <c r="Y325" s="54" t="str">
        <f t="shared" si="18"/>
        <v>08-Infraestructura física, mantenimiento y dotación (Sedes construidas, mantenidas reforzadas) 016_Sedes mantenidas</v>
      </c>
      <c r="Z325" s="131" t="str">
        <f t="shared" si="19"/>
        <v>O23011745992024020708016</v>
      </c>
      <c r="AA325" s="131" t="str">
        <f>IFERROR(VLOOKUP(Y325,TD!$K$46:$L$64,2,0)," ")</f>
        <v>PM/0131/0108/45990160207</v>
      </c>
      <c r="AB325" s="57" t="s">
        <v>148</v>
      </c>
      <c r="AC325" s="132" t="s">
        <v>205</v>
      </c>
    </row>
    <row r="326" spans="2:29" s="28" customFormat="1" ht="57">
      <c r="B326" s="85">
        <v>20241075</v>
      </c>
      <c r="C326" s="53" t="s">
        <v>209</v>
      </c>
      <c r="D326" s="129" t="s">
        <v>167</v>
      </c>
      <c r="E326" s="54" t="s">
        <v>568</v>
      </c>
      <c r="F326" s="129" t="s">
        <v>792</v>
      </c>
      <c r="G326" s="129" t="s">
        <v>147</v>
      </c>
      <c r="H326" s="118" t="s">
        <v>617</v>
      </c>
      <c r="I326" s="130">
        <v>8</v>
      </c>
      <c r="J326" s="130">
        <v>8</v>
      </c>
      <c r="K326" s="56">
        <v>0</v>
      </c>
      <c r="L326" s="57">
        <v>52000000</v>
      </c>
      <c r="M326" s="129" t="s">
        <v>173</v>
      </c>
      <c r="N326" s="57" t="s">
        <v>101</v>
      </c>
      <c r="O326" s="54" t="s">
        <v>219</v>
      </c>
      <c r="P326" s="131" t="str">
        <f>IFERROR(VLOOKUP(C326,TD!$B$32:$F$36,2,0)," ")</f>
        <v>O230117</v>
      </c>
      <c r="Q326" s="131" t="str">
        <f>IFERROR(VLOOKUP(C326,TD!$B$32:$F$36,3,0)," ")</f>
        <v>4599</v>
      </c>
      <c r="R326" s="131">
        <f>IFERROR(VLOOKUP(C326,TD!$B$32:$F$36,4,0)," ")</f>
        <v>20240207</v>
      </c>
      <c r="S326" s="54" t="s">
        <v>186</v>
      </c>
      <c r="T326" s="131" t="str">
        <f>IFERROR(VLOOKUP(S326,TD!$J$33:$K$43,2,0)," ")</f>
        <v>Infraestructura física, mantenimiento y dotación (Sedes construidas, mantenidas reforzadas)</v>
      </c>
      <c r="U326" s="54" t="str">
        <f t="shared" si="16"/>
        <v>08-Infraestructura física, mantenimiento y dotación (Sedes construidas, mantenidas reforzadas)</v>
      </c>
      <c r="V326" s="54" t="s">
        <v>239</v>
      </c>
      <c r="W326" s="131" t="str">
        <f>IFERROR(VLOOKUP(V326,TD!$N$33:$O$45,2,0)," ")</f>
        <v>Sedes mantenidas</v>
      </c>
      <c r="X326" s="54" t="str">
        <f t="shared" si="17"/>
        <v>016_Sedes mantenidas</v>
      </c>
      <c r="Y326" s="54" t="str">
        <f t="shared" si="18"/>
        <v>08-Infraestructura física, mantenimiento y dotación (Sedes construidas, mantenidas reforzadas) 016_Sedes mantenidas</v>
      </c>
      <c r="Z326" s="131" t="str">
        <f t="shared" si="19"/>
        <v>O23011745992024020708016</v>
      </c>
      <c r="AA326" s="131" t="str">
        <f>IFERROR(VLOOKUP(Y326,TD!$K$46:$L$64,2,0)," ")</f>
        <v>PM/0131/0108/45990160207</v>
      </c>
      <c r="AB326" s="57" t="s">
        <v>148</v>
      </c>
      <c r="AC326" s="132" t="s">
        <v>205</v>
      </c>
    </row>
    <row r="327" spans="2:29" s="28" customFormat="1" ht="57">
      <c r="B327" s="85">
        <v>20241076</v>
      </c>
      <c r="C327" s="53" t="s">
        <v>209</v>
      </c>
      <c r="D327" s="129" t="s">
        <v>167</v>
      </c>
      <c r="E327" s="54" t="s">
        <v>568</v>
      </c>
      <c r="F327" s="129" t="s">
        <v>793</v>
      </c>
      <c r="G327" s="129" t="s">
        <v>147</v>
      </c>
      <c r="H327" s="118" t="s">
        <v>618</v>
      </c>
      <c r="I327" s="130">
        <v>8</v>
      </c>
      <c r="J327" s="130">
        <v>8</v>
      </c>
      <c r="K327" s="56">
        <v>0</v>
      </c>
      <c r="L327" s="57">
        <v>45000000</v>
      </c>
      <c r="M327" s="129" t="s">
        <v>173</v>
      </c>
      <c r="N327" s="57" t="s">
        <v>101</v>
      </c>
      <c r="O327" s="54" t="s">
        <v>219</v>
      </c>
      <c r="P327" s="131" t="str">
        <f>IFERROR(VLOOKUP(C327,TD!$B$32:$F$36,2,0)," ")</f>
        <v>O230117</v>
      </c>
      <c r="Q327" s="131" t="str">
        <f>IFERROR(VLOOKUP(C327,TD!$B$32:$F$36,3,0)," ")</f>
        <v>4599</v>
      </c>
      <c r="R327" s="131">
        <f>IFERROR(VLOOKUP(C327,TD!$B$32:$F$36,4,0)," ")</f>
        <v>20240207</v>
      </c>
      <c r="S327" s="54" t="s">
        <v>186</v>
      </c>
      <c r="T327" s="131" t="str">
        <f>IFERROR(VLOOKUP(S327,TD!$J$33:$K$43,2,0)," ")</f>
        <v>Infraestructura física, mantenimiento y dotación (Sedes construidas, mantenidas reforzadas)</v>
      </c>
      <c r="U327" s="54" t="str">
        <f t="shared" si="16"/>
        <v>08-Infraestructura física, mantenimiento y dotación (Sedes construidas, mantenidas reforzadas)</v>
      </c>
      <c r="V327" s="54" t="s">
        <v>239</v>
      </c>
      <c r="W327" s="131" t="str">
        <f>IFERROR(VLOOKUP(V327,TD!$N$33:$O$45,2,0)," ")</f>
        <v>Sedes mantenidas</v>
      </c>
      <c r="X327" s="54" t="str">
        <f t="shared" si="17"/>
        <v>016_Sedes mantenidas</v>
      </c>
      <c r="Y327" s="54" t="str">
        <f t="shared" si="18"/>
        <v>08-Infraestructura física, mantenimiento y dotación (Sedes construidas, mantenidas reforzadas) 016_Sedes mantenidas</v>
      </c>
      <c r="Z327" s="131" t="str">
        <f t="shared" si="19"/>
        <v>O23011745992024020708016</v>
      </c>
      <c r="AA327" s="131" t="str">
        <f>IFERROR(VLOOKUP(Y327,TD!$K$46:$L$64,2,0)," ")</f>
        <v>PM/0131/0108/45990160207</v>
      </c>
      <c r="AB327" s="57" t="s">
        <v>148</v>
      </c>
      <c r="AC327" s="132" t="s">
        <v>205</v>
      </c>
    </row>
    <row r="328" spans="2:29" s="28" customFormat="1" ht="128.25">
      <c r="B328" s="85">
        <v>20241077</v>
      </c>
      <c r="C328" s="53" t="s">
        <v>209</v>
      </c>
      <c r="D328" s="129" t="s">
        <v>167</v>
      </c>
      <c r="E328" s="54" t="s">
        <v>568</v>
      </c>
      <c r="F328" s="129" t="s">
        <v>794</v>
      </c>
      <c r="G328" s="129" t="s">
        <v>147</v>
      </c>
      <c r="H328" s="118" t="s">
        <v>619</v>
      </c>
      <c r="I328" s="130">
        <v>8</v>
      </c>
      <c r="J328" s="130">
        <v>8</v>
      </c>
      <c r="K328" s="56">
        <v>0</v>
      </c>
      <c r="L328" s="57">
        <v>31855450</v>
      </c>
      <c r="M328" s="129" t="s">
        <v>173</v>
      </c>
      <c r="N328" s="57" t="s">
        <v>101</v>
      </c>
      <c r="O328" s="54" t="s">
        <v>219</v>
      </c>
      <c r="P328" s="131" t="str">
        <f>IFERROR(VLOOKUP(C328,TD!$B$32:$F$36,2,0)," ")</f>
        <v>O230117</v>
      </c>
      <c r="Q328" s="131" t="str">
        <f>IFERROR(VLOOKUP(C328,TD!$B$32:$F$36,3,0)," ")</f>
        <v>4599</v>
      </c>
      <c r="R328" s="131">
        <f>IFERROR(VLOOKUP(C328,TD!$B$32:$F$36,4,0)," ")</f>
        <v>20240207</v>
      </c>
      <c r="S328" s="54" t="s">
        <v>186</v>
      </c>
      <c r="T328" s="131" t="str">
        <f>IFERROR(VLOOKUP(S328,TD!$J$33:$K$43,2,0)," ")</f>
        <v>Infraestructura física, mantenimiento y dotación (Sedes construidas, mantenidas reforzadas)</v>
      </c>
      <c r="U328" s="54" t="str">
        <f t="shared" si="16"/>
        <v>08-Infraestructura física, mantenimiento y dotación (Sedes construidas, mantenidas reforzadas)</v>
      </c>
      <c r="V328" s="54" t="s">
        <v>239</v>
      </c>
      <c r="W328" s="131" t="str">
        <f>IFERROR(VLOOKUP(V328,TD!$N$33:$O$45,2,0)," ")</f>
        <v>Sedes mantenidas</v>
      </c>
      <c r="X328" s="54" t="str">
        <f t="shared" si="17"/>
        <v>016_Sedes mantenidas</v>
      </c>
      <c r="Y328" s="54" t="str">
        <f t="shared" si="18"/>
        <v>08-Infraestructura física, mantenimiento y dotación (Sedes construidas, mantenidas reforzadas) 016_Sedes mantenidas</v>
      </c>
      <c r="Z328" s="131" t="str">
        <f t="shared" si="19"/>
        <v>O23011745992024020708016</v>
      </c>
      <c r="AA328" s="131" t="str">
        <f>IFERROR(VLOOKUP(Y328,TD!$K$46:$L$64,2,0)," ")</f>
        <v>PM/0131/0108/45990160207</v>
      </c>
      <c r="AB328" s="57" t="s">
        <v>148</v>
      </c>
      <c r="AC328" s="132" t="s">
        <v>205</v>
      </c>
    </row>
    <row r="329" spans="2:29" s="28" customFormat="1" ht="57">
      <c r="B329" s="85">
        <v>20241078</v>
      </c>
      <c r="C329" s="53" t="s">
        <v>209</v>
      </c>
      <c r="D329" s="129" t="s">
        <v>167</v>
      </c>
      <c r="E329" s="54" t="s">
        <v>568</v>
      </c>
      <c r="F329" s="129" t="s">
        <v>795</v>
      </c>
      <c r="G329" s="129" t="s">
        <v>147</v>
      </c>
      <c r="H329" s="118" t="s">
        <v>620</v>
      </c>
      <c r="I329" s="130">
        <v>8</v>
      </c>
      <c r="J329" s="130">
        <v>8</v>
      </c>
      <c r="K329" s="56">
        <v>0</v>
      </c>
      <c r="L329" s="57">
        <v>50000000</v>
      </c>
      <c r="M329" s="129" t="s">
        <v>173</v>
      </c>
      <c r="N329" s="57" t="s">
        <v>91</v>
      </c>
      <c r="O329" s="54" t="s">
        <v>219</v>
      </c>
      <c r="P329" s="131" t="str">
        <f>IFERROR(VLOOKUP(C329,TD!$B$32:$F$36,2,0)," ")</f>
        <v>O230117</v>
      </c>
      <c r="Q329" s="131" t="str">
        <f>IFERROR(VLOOKUP(C329,TD!$B$32:$F$36,3,0)," ")</f>
        <v>4599</v>
      </c>
      <c r="R329" s="131">
        <f>IFERROR(VLOOKUP(C329,TD!$B$32:$F$36,4,0)," ")</f>
        <v>20240207</v>
      </c>
      <c r="S329" s="54" t="s">
        <v>186</v>
      </c>
      <c r="T329" s="131" t="str">
        <f>IFERROR(VLOOKUP(S329,TD!$J$33:$K$43,2,0)," ")</f>
        <v>Infraestructura física, mantenimiento y dotación (Sedes construidas, mantenidas reforzadas)</v>
      </c>
      <c r="U329" s="54" t="str">
        <f t="shared" si="16"/>
        <v>08-Infraestructura física, mantenimiento y dotación (Sedes construidas, mantenidas reforzadas)</v>
      </c>
      <c r="V329" s="54" t="s">
        <v>239</v>
      </c>
      <c r="W329" s="131" t="str">
        <f>IFERROR(VLOOKUP(V329,TD!$N$33:$O$45,2,0)," ")</f>
        <v>Sedes mantenidas</v>
      </c>
      <c r="X329" s="54" t="str">
        <f t="shared" si="17"/>
        <v>016_Sedes mantenidas</v>
      </c>
      <c r="Y329" s="54" t="str">
        <f t="shared" si="18"/>
        <v>08-Infraestructura física, mantenimiento y dotación (Sedes construidas, mantenidas reforzadas) 016_Sedes mantenidas</v>
      </c>
      <c r="Z329" s="131" t="str">
        <f t="shared" si="19"/>
        <v>O23011745992024020708016</v>
      </c>
      <c r="AA329" s="131" t="str">
        <f>IFERROR(VLOOKUP(Y329,TD!$K$46:$L$64,2,0)," ")</f>
        <v>PM/0131/0108/45990160207</v>
      </c>
      <c r="AB329" s="57" t="s">
        <v>148</v>
      </c>
      <c r="AC329" s="132" t="s">
        <v>206</v>
      </c>
    </row>
    <row r="330" spans="2:29" s="28" customFormat="1" ht="57">
      <c r="B330" s="85">
        <v>20241079</v>
      </c>
      <c r="C330" s="53" t="s">
        <v>209</v>
      </c>
      <c r="D330" s="129" t="s">
        <v>167</v>
      </c>
      <c r="E330" s="54" t="s">
        <v>568</v>
      </c>
      <c r="F330" s="129" t="s">
        <v>796</v>
      </c>
      <c r="G330" s="129" t="s">
        <v>147</v>
      </c>
      <c r="H330" s="118" t="s">
        <v>621</v>
      </c>
      <c r="I330" s="130">
        <v>8</v>
      </c>
      <c r="J330" s="130">
        <v>8</v>
      </c>
      <c r="K330" s="56">
        <v>0</v>
      </c>
      <c r="L330" s="57">
        <v>5000000</v>
      </c>
      <c r="M330" s="129" t="s">
        <v>173</v>
      </c>
      <c r="N330" s="57" t="s">
        <v>101</v>
      </c>
      <c r="O330" s="54" t="s">
        <v>219</v>
      </c>
      <c r="P330" s="131" t="str">
        <f>IFERROR(VLOOKUP(C330,TD!$B$32:$F$36,2,0)," ")</f>
        <v>O230117</v>
      </c>
      <c r="Q330" s="131" t="str">
        <f>IFERROR(VLOOKUP(C330,TD!$B$32:$F$36,3,0)," ")</f>
        <v>4599</v>
      </c>
      <c r="R330" s="131">
        <f>IFERROR(VLOOKUP(C330,TD!$B$32:$F$36,4,0)," ")</f>
        <v>20240207</v>
      </c>
      <c r="S330" s="54" t="s">
        <v>186</v>
      </c>
      <c r="T330" s="131" t="str">
        <f>IFERROR(VLOOKUP(S330,TD!$J$33:$K$43,2,0)," ")</f>
        <v>Infraestructura física, mantenimiento y dotación (Sedes construidas, mantenidas reforzadas)</v>
      </c>
      <c r="U330" s="54" t="str">
        <f t="shared" si="16"/>
        <v>08-Infraestructura física, mantenimiento y dotación (Sedes construidas, mantenidas reforzadas)</v>
      </c>
      <c r="V330" s="54" t="s">
        <v>239</v>
      </c>
      <c r="W330" s="131" t="str">
        <f>IFERROR(VLOOKUP(V330,TD!$N$33:$O$45,2,0)," ")</f>
        <v>Sedes mantenidas</v>
      </c>
      <c r="X330" s="54" t="str">
        <f t="shared" si="17"/>
        <v>016_Sedes mantenidas</v>
      </c>
      <c r="Y330" s="54" t="str">
        <f t="shared" si="18"/>
        <v>08-Infraestructura física, mantenimiento y dotación (Sedes construidas, mantenidas reforzadas) 016_Sedes mantenidas</v>
      </c>
      <c r="Z330" s="131" t="str">
        <f t="shared" si="19"/>
        <v>O23011745992024020708016</v>
      </c>
      <c r="AA330" s="131" t="str">
        <f>IFERROR(VLOOKUP(Y330,TD!$K$46:$L$64,2,0)," ")</f>
        <v>PM/0131/0108/45990160207</v>
      </c>
      <c r="AB330" s="57" t="s">
        <v>148</v>
      </c>
      <c r="AC330" s="132" t="s">
        <v>205</v>
      </c>
    </row>
    <row r="331" spans="2:29" s="28" customFormat="1" ht="57">
      <c r="B331" s="85">
        <v>20241080</v>
      </c>
      <c r="C331" s="53" t="s">
        <v>209</v>
      </c>
      <c r="D331" s="129" t="s">
        <v>167</v>
      </c>
      <c r="E331" s="54" t="s">
        <v>568</v>
      </c>
      <c r="F331" s="129" t="s">
        <v>797</v>
      </c>
      <c r="G331" s="129" t="s">
        <v>120</v>
      </c>
      <c r="H331" s="118" t="s">
        <v>622</v>
      </c>
      <c r="I331" s="130">
        <v>8</v>
      </c>
      <c r="J331" s="130">
        <v>8</v>
      </c>
      <c r="K331" s="56">
        <v>0</v>
      </c>
      <c r="L331" s="57">
        <v>80000000</v>
      </c>
      <c r="M331" s="129" t="s">
        <v>173</v>
      </c>
      <c r="N331" s="57" t="s">
        <v>96</v>
      </c>
      <c r="O331" s="54" t="s">
        <v>219</v>
      </c>
      <c r="P331" s="131" t="str">
        <f>IFERROR(VLOOKUP(C331,TD!$B$32:$F$36,2,0)," ")</f>
        <v>O230117</v>
      </c>
      <c r="Q331" s="131" t="str">
        <f>IFERROR(VLOOKUP(C331,TD!$B$32:$F$36,3,0)," ")</f>
        <v>4599</v>
      </c>
      <c r="R331" s="131">
        <f>IFERROR(VLOOKUP(C331,TD!$B$32:$F$36,4,0)," ")</f>
        <v>20240207</v>
      </c>
      <c r="S331" s="54" t="s">
        <v>186</v>
      </c>
      <c r="T331" s="131" t="str">
        <f>IFERROR(VLOOKUP(S331,TD!$J$33:$K$43,2,0)," ")</f>
        <v>Infraestructura física, mantenimiento y dotación (Sedes construidas, mantenidas reforzadas)</v>
      </c>
      <c r="U331" s="54" t="str">
        <f t="shared" ref="U331:U394" si="20">CONCATENATE(S331,"-",T331)</f>
        <v>08-Infraestructura física, mantenimiento y dotación (Sedes construidas, mantenidas reforzadas)</v>
      </c>
      <c r="V331" s="54" t="s">
        <v>239</v>
      </c>
      <c r="W331" s="131" t="str">
        <f>IFERROR(VLOOKUP(V331,TD!$N$33:$O$45,2,0)," ")</f>
        <v>Sedes mantenidas</v>
      </c>
      <c r="X331" s="54" t="str">
        <f t="shared" ref="X331:X394" si="21">CONCATENATE(V331,"_",W331)</f>
        <v>016_Sedes mantenidas</v>
      </c>
      <c r="Y331" s="54" t="str">
        <f t="shared" ref="Y331:Y394" si="22">CONCATENATE(U331," ",X331)</f>
        <v>08-Infraestructura física, mantenimiento y dotación (Sedes construidas, mantenidas reforzadas) 016_Sedes mantenidas</v>
      </c>
      <c r="Z331" s="131" t="str">
        <f t="shared" ref="Z331:Z394" si="23">CONCATENATE(P331,Q331,R331,S331,V331)</f>
        <v>O23011745992024020708016</v>
      </c>
      <c r="AA331" s="131" t="str">
        <f>IFERROR(VLOOKUP(Y331,TD!$K$46:$L$64,2,0)," ")</f>
        <v>PM/0131/0108/45990160207</v>
      </c>
      <c r="AB331" s="57" t="s">
        <v>139</v>
      </c>
      <c r="AC331" s="132" t="s">
        <v>205</v>
      </c>
    </row>
    <row r="332" spans="2:29" s="28" customFormat="1" ht="57">
      <c r="B332" s="85">
        <v>20241081</v>
      </c>
      <c r="C332" s="53" t="s">
        <v>209</v>
      </c>
      <c r="D332" s="129" t="s">
        <v>167</v>
      </c>
      <c r="E332" s="54" t="s">
        <v>568</v>
      </c>
      <c r="F332" s="129" t="s">
        <v>798</v>
      </c>
      <c r="G332" s="129" t="s">
        <v>156</v>
      </c>
      <c r="H332" s="117">
        <v>80111600</v>
      </c>
      <c r="I332" s="130">
        <v>10</v>
      </c>
      <c r="J332" s="130">
        <v>1</v>
      </c>
      <c r="K332" s="56">
        <v>0</v>
      </c>
      <c r="L332" s="57">
        <v>9275840</v>
      </c>
      <c r="M332" s="129" t="s">
        <v>173</v>
      </c>
      <c r="N332" s="57" t="s">
        <v>114</v>
      </c>
      <c r="O332" s="54" t="s">
        <v>219</v>
      </c>
      <c r="P332" s="131" t="str">
        <f>IFERROR(VLOOKUP(C332,TD!$B$32:$F$36,2,0)," ")</f>
        <v>O230117</v>
      </c>
      <c r="Q332" s="131" t="str">
        <f>IFERROR(VLOOKUP(C332,TD!$B$32:$F$36,3,0)," ")</f>
        <v>4599</v>
      </c>
      <c r="R332" s="131">
        <f>IFERROR(VLOOKUP(C332,TD!$B$32:$F$36,4,0)," ")</f>
        <v>20240207</v>
      </c>
      <c r="S332" s="54" t="s">
        <v>186</v>
      </c>
      <c r="T332" s="131" t="str">
        <f>IFERROR(VLOOKUP(S332,TD!$J$33:$K$43,2,0)," ")</f>
        <v>Infraestructura física, mantenimiento y dotación (Sedes construidas, mantenidas reforzadas)</v>
      </c>
      <c r="U332" s="54" t="str">
        <f t="shared" si="20"/>
        <v>08-Infraestructura física, mantenimiento y dotación (Sedes construidas, mantenidas reforzadas)</v>
      </c>
      <c r="V332" s="54" t="s">
        <v>239</v>
      </c>
      <c r="W332" s="131" t="str">
        <f>IFERROR(VLOOKUP(V332,TD!$N$33:$O$45,2,0)," ")</f>
        <v>Sedes mantenidas</v>
      </c>
      <c r="X332" s="54" t="str">
        <f t="shared" si="21"/>
        <v>016_Sedes mantenidas</v>
      </c>
      <c r="Y332" s="54" t="str">
        <f t="shared" si="22"/>
        <v>08-Infraestructura física, mantenimiento y dotación (Sedes construidas, mantenidas reforzadas) 016_Sedes mantenidas</v>
      </c>
      <c r="Z332" s="131" t="str">
        <f t="shared" si="23"/>
        <v>O23011745992024020708016</v>
      </c>
      <c r="AA332" s="131" t="str">
        <f>IFERROR(VLOOKUP(Y332,TD!$K$46:$L$64,2,0)," ")</f>
        <v>PM/0131/0108/45990160207</v>
      </c>
      <c r="AB332" s="57" t="s">
        <v>139</v>
      </c>
      <c r="AC332" s="132" t="s">
        <v>206</v>
      </c>
    </row>
    <row r="333" spans="2:29" s="28" customFormat="1" ht="71.25">
      <c r="B333" s="85">
        <v>20241082</v>
      </c>
      <c r="C333" s="53" t="s">
        <v>210</v>
      </c>
      <c r="D333" s="129" t="s">
        <v>167</v>
      </c>
      <c r="E333" s="54" t="s">
        <v>568</v>
      </c>
      <c r="F333" s="129" t="s">
        <v>800</v>
      </c>
      <c r="G333" s="129" t="s">
        <v>156</v>
      </c>
      <c r="H333" s="117">
        <v>80111600</v>
      </c>
      <c r="I333" s="130">
        <v>8</v>
      </c>
      <c r="J333" s="130">
        <v>5</v>
      </c>
      <c r="K333" s="56">
        <v>0</v>
      </c>
      <c r="L333" s="57">
        <v>38460800</v>
      </c>
      <c r="M333" s="129" t="s">
        <v>173</v>
      </c>
      <c r="N333" s="57" t="s">
        <v>114</v>
      </c>
      <c r="O333" s="54" t="s">
        <v>228</v>
      </c>
      <c r="P333" s="131" t="str">
        <f>IFERROR(VLOOKUP(C333,TD!$B$32:$F$36,2,0)," ")</f>
        <v>O230117</v>
      </c>
      <c r="Q333" s="131" t="str">
        <f>IFERROR(VLOOKUP(C333,TD!$B$32:$F$36,3,0)," ")</f>
        <v>4503</v>
      </c>
      <c r="R333" s="131">
        <f>IFERROR(VLOOKUP(C333,TD!$B$32:$F$36,4,0)," ")</f>
        <v>20240255</v>
      </c>
      <c r="S333" s="54" t="s">
        <v>186</v>
      </c>
      <c r="T333" s="131" t="str">
        <f>IFERROR(VLOOKUP(S333,TD!$J$33:$K$43,2,0)," ")</f>
        <v>Infraestructura física, mantenimiento y dotación (Sedes construidas, mantenidas reforzadas)</v>
      </c>
      <c r="U333" s="54" t="str">
        <f t="shared" si="20"/>
        <v>08-Infraestructura física, mantenimiento y dotación (Sedes construidas, mantenidas reforzadas)</v>
      </c>
      <c r="V333" s="54" t="s">
        <v>237</v>
      </c>
      <c r="W333" s="131" t="str">
        <f>IFERROR(VLOOKUP(V333,TD!$N$33:$O$45,2,0)," ")</f>
        <v>Estaciones de bomberos adecuadas</v>
      </c>
      <c r="X333" s="54" t="str">
        <f t="shared" si="21"/>
        <v>014_Estaciones de bomberos adecuadas</v>
      </c>
      <c r="Y333" s="54" t="str">
        <f t="shared" si="22"/>
        <v>08-Infraestructura física, mantenimiento y dotación (Sedes construidas, mantenidas reforzadas) 014_Estaciones de bomberos adecuadas</v>
      </c>
      <c r="Z333" s="131" t="str">
        <f t="shared" si="23"/>
        <v>O23011745032024025508014</v>
      </c>
      <c r="AA333" s="131" t="str">
        <f>IFERROR(VLOOKUP(Y333,TD!$K$46:$L$64,2,0)," ")</f>
        <v>PM/0131/0108/45030140255</v>
      </c>
      <c r="AB333" s="57" t="s">
        <v>139</v>
      </c>
      <c r="AC333" s="132" t="s">
        <v>205</v>
      </c>
    </row>
    <row r="334" spans="2:29" s="28" customFormat="1" ht="71.25">
      <c r="B334" s="85">
        <v>20241083</v>
      </c>
      <c r="C334" s="53" t="s">
        <v>210</v>
      </c>
      <c r="D334" s="129" t="s">
        <v>167</v>
      </c>
      <c r="E334" s="54" t="s">
        <v>568</v>
      </c>
      <c r="F334" s="129" t="s">
        <v>800</v>
      </c>
      <c r="G334" s="129" t="s">
        <v>156</v>
      </c>
      <c r="H334" s="117">
        <v>80111600</v>
      </c>
      <c r="I334" s="130">
        <v>8</v>
      </c>
      <c r="J334" s="130">
        <v>5</v>
      </c>
      <c r="K334" s="56">
        <v>0</v>
      </c>
      <c r="L334" s="57">
        <v>41288800</v>
      </c>
      <c r="M334" s="129" t="s">
        <v>173</v>
      </c>
      <c r="N334" s="57" t="s">
        <v>114</v>
      </c>
      <c r="O334" s="54" t="s">
        <v>228</v>
      </c>
      <c r="P334" s="131" t="str">
        <f>IFERROR(VLOOKUP(C334,TD!$B$32:$F$36,2,0)," ")</f>
        <v>O230117</v>
      </c>
      <c r="Q334" s="131" t="str">
        <f>IFERROR(VLOOKUP(C334,TD!$B$32:$F$36,3,0)," ")</f>
        <v>4503</v>
      </c>
      <c r="R334" s="131">
        <f>IFERROR(VLOOKUP(C334,TD!$B$32:$F$36,4,0)," ")</f>
        <v>20240255</v>
      </c>
      <c r="S334" s="54" t="s">
        <v>186</v>
      </c>
      <c r="T334" s="131" t="str">
        <f>IFERROR(VLOOKUP(S334,TD!$J$33:$K$43,2,0)," ")</f>
        <v>Infraestructura física, mantenimiento y dotación (Sedes construidas, mantenidas reforzadas)</v>
      </c>
      <c r="U334" s="54" t="str">
        <f t="shared" si="20"/>
        <v>08-Infraestructura física, mantenimiento y dotación (Sedes construidas, mantenidas reforzadas)</v>
      </c>
      <c r="V334" s="54" t="s">
        <v>237</v>
      </c>
      <c r="W334" s="131" t="str">
        <f>IFERROR(VLOOKUP(V334,TD!$N$33:$O$45,2,0)," ")</f>
        <v>Estaciones de bomberos adecuadas</v>
      </c>
      <c r="X334" s="54" t="str">
        <f t="shared" si="21"/>
        <v>014_Estaciones de bomberos adecuadas</v>
      </c>
      <c r="Y334" s="54" t="str">
        <f t="shared" si="22"/>
        <v>08-Infraestructura física, mantenimiento y dotación (Sedes construidas, mantenidas reforzadas) 014_Estaciones de bomberos adecuadas</v>
      </c>
      <c r="Z334" s="131" t="str">
        <f t="shared" si="23"/>
        <v>O23011745032024025508014</v>
      </c>
      <c r="AA334" s="131" t="str">
        <f>IFERROR(VLOOKUP(Y334,TD!$K$46:$L$64,2,0)," ")</f>
        <v>PM/0131/0108/45030140255</v>
      </c>
      <c r="AB334" s="57" t="s">
        <v>139</v>
      </c>
      <c r="AC334" s="132" t="s">
        <v>205</v>
      </c>
    </row>
    <row r="335" spans="2:29" s="28" customFormat="1" ht="71.25">
      <c r="B335" s="85">
        <v>20241084</v>
      </c>
      <c r="C335" s="53" t="s">
        <v>210</v>
      </c>
      <c r="D335" s="129" t="s">
        <v>167</v>
      </c>
      <c r="E335" s="54" t="s">
        <v>568</v>
      </c>
      <c r="F335" s="129" t="s">
        <v>713</v>
      </c>
      <c r="G335" s="129" t="s">
        <v>156</v>
      </c>
      <c r="H335" s="117">
        <v>80111600</v>
      </c>
      <c r="I335" s="130">
        <v>8</v>
      </c>
      <c r="J335" s="130">
        <v>5</v>
      </c>
      <c r="K335" s="56">
        <v>0</v>
      </c>
      <c r="L335" s="57">
        <v>38460800</v>
      </c>
      <c r="M335" s="129" t="s">
        <v>173</v>
      </c>
      <c r="N335" s="57" t="s">
        <v>114</v>
      </c>
      <c r="O335" s="54" t="s">
        <v>228</v>
      </c>
      <c r="P335" s="131" t="str">
        <f>IFERROR(VLOOKUP(C335,TD!$B$32:$F$36,2,0)," ")</f>
        <v>O230117</v>
      </c>
      <c r="Q335" s="131" t="str">
        <f>IFERROR(VLOOKUP(C335,TD!$B$32:$F$36,3,0)," ")</f>
        <v>4503</v>
      </c>
      <c r="R335" s="131">
        <f>IFERROR(VLOOKUP(C335,TD!$B$32:$F$36,4,0)," ")</f>
        <v>20240255</v>
      </c>
      <c r="S335" s="54" t="s">
        <v>186</v>
      </c>
      <c r="T335" s="131" t="str">
        <f>IFERROR(VLOOKUP(S335,TD!$J$33:$K$43,2,0)," ")</f>
        <v>Infraestructura física, mantenimiento y dotación (Sedes construidas, mantenidas reforzadas)</v>
      </c>
      <c r="U335" s="54" t="str">
        <f t="shared" si="20"/>
        <v>08-Infraestructura física, mantenimiento y dotación (Sedes construidas, mantenidas reforzadas)</v>
      </c>
      <c r="V335" s="54" t="s">
        <v>237</v>
      </c>
      <c r="W335" s="131" t="str">
        <f>IFERROR(VLOOKUP(V335,TD!$N$33:$O$45,2,0)," ")</f>
        <v>Estaciones de bomberos adecuadas</v>
      </c>
      <c r="X335" s="54" t="str">
        <f t="shared" si="21"/>
        <v>014_Estaciones de bomberos adecuadas</v>
      </c>
      <c r="Y335" s="54" t="str">
        <f t="shared" si="22"/>
        <v>08-Infraestructura física, mantenimiento y dotación (Sedes construidas, mantenidas reforzadas) 014_Estaciones de bomberos adecuadas</v>
      </c>
      <c r="Z335" s="131" t="str">
        <f t="shared" si="23"/>
        <v>O23011745032024025508014</v>
      </c>
      <c r="AA335" s="131" t="str">
        <f>IFERROR(VLOOKUP(Y335,TD!$K$46:$L$64,2,0)," ")</f>
        <v>PM/0131/0108/45030140255</v>
      </c>
      <c r="AB335" s="57" t="s">
        <v>139</v>
      </c>
      <c r="AC335" s="132" t="s">
        <v>205</v>
      </c>
    </row>
    <row r="336" spans="2:29" s="28" customFormat="1" ht="71.25">
      <c r="B336" s="85">
        <v>20241085</v>
      </c>
      <c r="C336" s="53" t="s">
        <v>210</v>
      </c>
      <c r="D336" s="129" t="s">
        <v>167</v>
      </c>
      <c r="E336" s="54" t="s">
        <v>568</v>
      </c>
      <c r="F336" s="129" t="s">
        <v>713</v>
      </c>
      <c r="G336" s="129" t="s">
        <v>156</v>
      </c>
      <c r="H336" s="117">
        <v>80111600</v>
      </c>
      <c r="I336" s="130">
        <v>7</v>
      </c>
      <c r="J336" s="130">
        <v>5</v>
      </c>
      <c r="K336" s="56">
        <v>0</v>
      </c>
      <c r="L336" s="57">
        <v>38460800</v>
      </c>
      <c r="M336" s="129" t="s">
        <v>173</v>
      </c>
      <c r="N336" s="57" t="s">
        <v>114</v>
      </c>
      <c r="O336" s="54" t="s">
        <v>228</v>
      </c>
      <c r="P336" s="131" t="str">
        <f>IFERROR(VLOOKUP(C336,TD!$B$32:$F$36,2,0)," ")</f>
        <v>O230117</v>
      </c>
      <c r="Q336" s="131" t="str">
        <f>IFERROR(VLOOKUP(C336,TD!$B$32:$F$36,3,0)," ")</f>
        <v>4503</v>
      </c>
      <c r="R336" s="131">
        <f>IFERROR(VLOOKUP(C336,TD!$B$32:$F$36,4,0)," ")</f>
        <v>20240255</v>
      </c>
      <c r="S336" s="54" t="s">
        <v>186</v>
      </c>
      <c r="T336" s="131" t="str">
        <f>IFERROR(VLOOKUP(S336,TD!$J$33:$K$43,2,0)," ")</f>
        <v>Infraestructura física, mantenimiento y dotación (Sedes construidas, mantenidas reforzadas)</v>
      </c>
      <c r="U336" s="54" t="str">
        <f t="shared" si="20"/>
        <v>08-Infraestructura física, mantenimiento y dotación (Sedes construidas, mantenidas reforzadas)</v>
      </c>
      <c r="V336" s="54" t="s">
        <v>237</v>
      </c>
      <c r="W336" s="131" t="str">
        <f>IFERROR(VLOOKUP(V336,TD!$N$33:$O$45,2,0)," ")</f>
        <v>Estaciones de bomberos adecuadas</v>
      </c>
      <c r="X336" s="54" t="str">
        <f t="shared" si="21"/>
        <v>014_Estaciones de bomberos adecuadas</v>
      </c>
      <c r="Y336" s="54" t="str">
        <f t="shared" si="22"/>
        <v>08-Infraestructura física, mantenimiento y dotación (Sedes construidas, mantenidas reforzadas) 014_Estaciones de bomberos adecuadas</v>
      </c>
      <c r="Z336" s="131" t="str">
        <f t="shared" si="23"/>
        <v>O23011745032024025508014</v>
      </c>
      <c r="AA336" s="131" t="str">
        <f>IFERROR(VLOOKUP(Y336,TD!$K$46:$L$64,2,0)," ")</f>
        <v>PM/0131/0108/45030140255</v>
      </c>
      <c r="AB336" s="57" t="s">
        <v>139</v>
      </c>
      <c r="AC336" s="132" t="s">
        <v>205</v>
      </c>
    </row>
    <row r="337" spans="2:29" s="28" customFormat="1" ht="57">
      <c r="B337" s="85">
        <v>20241086</v>
      </c>
      <c r="C337" s="53" t="s">
        <v>209</v>
      </c>
      <c r="D337" s="129" t="s">
        <v>167</v>
      </c>
      <c r="E337" s="54" t="s">
        <v>568</v>
      </c>
      <c r="F337" s="129" t="s">
        <v>714</v>
      </c>
      <c r="G337" s="129" t="s">
        <v>156</v>
      </c>
      <c r="H337" s="117">
        <v>80111600</v>
      </c>
      <c r="I337" s="130">
        <v>8</v>
      </c>
      <c r="J337" s="130">
        <v>5</v>
      </c>
      <c r="K337" s="56">
        <v>0</v>
      </c>
      <c r="L337" s="57">
        <v>30000000</v>
      </c>
      <c r="M337" s="129" t="s">
        <v>173</v>
      </c>
      <c r="N337" s="57" t="s">
        <v>114</v>
      </c>
      <c r="O337" s="54" t="s">
        <v>219</v>
      </c>
      <c r="P337" s="131" t="str">
        <f>IFERROR(VLOOKUP(C337,TD!$B$32:$F$36,2,0)," ")</f>
        <v>O230117</v>
      </c>
      <c r="Q337" s="131" t="str">
        <f>IFERROR(VLOOKUP(C337,TD!$B$32:$F$36,3,0)," ")</f>
        <v>4599</v>
      </c>
      <c r="R337" s="131">
        <f>IFERROR(VLOOKUP(C337,TD!$B$32:$F$36,4,0)," ")</f>
        <v>20240207</v>
      </c>
      <c r="S337" s="54" t="s">
        <v>186</v>
      </c>
      <c r="T337" s="131" t="str">
        <f>IFERROR(VLOOKUP(S337,TD!$J$33:$K$43,2,0)," ")</f>
        <v>Infraestructura física, mantenimiento y dotación (Sedes construidas, mantenidas reforzadas)</v>
      </c>
      <c r="U337" s="54" t="str">
        <f t="shared" si="20"/>
        <v>08-Infraestructura física, mantenimiento y dotación (Sedes construidas, mantenidas reforzadas)</v>
      </c>
      <c r="V337" s="54" t="s">
        <v>239</v>
      </c>
      <c r="W337" s="131" t="str">
        <f>IFERROR(VLOOKUP(V337,TD!$N$33:$O$45,2,0)," ")</f>
        <v>Sedes mantenidas</v>
      </c>
      <c r="X337" s="54" t="str">
        <f t="shared" si="21"/>
        <v>016_Sedes mantenidas</v>
      </c>
      <c r="Y337" s="54" t="str">
        <f t="shared" si="22"/>
        <v>08-Infraestructura física, mantenimiento y dotación (Sedes construidas, mantenidas reforzadas) 016_Sedes mantenidas</v>
      </c>
      <c r="Z337" s="131" t="str">
        <f t="shared" si="23"/>
        <v>O23011745992024020708016</v>
      </c>
      <c r="AA337" s="131" t="str">
        <f>IFERROR(VLOOKUP(Y337,TD!$K$46:$L$64,2,0)," ")</f>
        <v>PM/0131/0108/45990160207</v>
      </c>
      <c r="AB337" s="57" t="s">
        <v>139</v>
      </c>
      <c r="AC337" s="132" t="s">
        <v>205</v>
      </c>
    </row>
    <row r="338" spans="2:29" s="28" customFormat="1" ht="71.25">
      <c r="B338" s="85">
        <v>20241087</v>
      </c>
      <c r="C338" s="53" t="s">
        <v>209</v>
      </c>
      <c r="D338" s="129" t="s">
        <v>167</v>
      </c>
      <c r="E338" s="54" t="s">
        <v>568</v>
      </c>
      <c r="F338" s="129" t="s">
        <v>597</v>
      </c>
      <c r="G338" s="129" t="s">
        <v>156</v>
      </c>
      <c r="H338" s="118" t="s">
        <v>612</v>
      </c>
      <c r="I338" s="130">
        <v>10</v>
      </c>
      <c r="J338" s="130">
        <v>1</v>
      </c>
      <c r="K338" s="56">
        <v>0</v>
      </c>
      <c r="L338" s="57">
        <v>9275840</v>
      </c>
      <c r="M338" s="129" t="s">
        <v>173</v>
      </c>
      <c r="N338" s="57" t="s">
        <v>114</v>
      </c>
      <c r="O338" s="54" t="s">
        <v>219</v>
      </c>
      <c r="P338" s="131" t="str">
        <f>IFERROR(VLOOKUP(C338,TD!$B$32:$F$36,2,0)," ")</f>
        <v>O230117</v>
      </c>
      <c r="Q338" s="131" t="str">
        <f>IFERROR(VLOOKUP(C338,TD!$B$32:$F$36,3,0)," ")</f>
        <v>4599</v>
      </c>
      <c r="R338" s="131">
        <f>IFERROR(VLOOKUP(C338,TD!$B$32:$F$36,4,0)," ")</f>
        <v>20240207</v>
      </c>
      <c r="S338" s="54" t="s">
        <v>186</v>
      </c>
      <c r="T338" s="131" t="str">
        <f>IFERROR(VLOOKUP(S338,TD!$J$33:$K$43,2,0)," ")</f>
        <v>Infraestructura física, mantenimiento y dotación (Sedes construidas, mantenidas reforzadas)</v>
      </c>
      <c r="U338" s="54" t="str">
        <f t="shared" si="20"/>
        <v>08-Infraestructura física, mantenimiento y dotación (Sedes construidas, mantenidas reforzadas)</v>
      </c>
      <c r="V338" s="54" t="s">
        <v>239</v>
      </c>
      <c r="W338" s="131" t="str">
        <f>IFERROR(VLOOKUP(V338,TD!$N$33:$O$45,2,0)," ")</f>
        <v>Sedes mantenidas</v>
      </c>
      <c r="X338" s="54" t="str">
        <f t="shared" si="21"/>
        <v>016_Sedes mantenidas</v>
      </c>
      <c r="Y338" s="54" t="str">
        <f t="shared" si="22"/>
        <v>08-Infraestructura física, mantenimiento y dotación (Sedes construidas, mantenidas reforzadas) 016_Sedes mantenidas</v>
      </c>
      <c r="Z338" s="131" t="str">
        <f t="shared" si="23"/>
        <v>O23011745992024020708016</v>
      </c>
      <c r="AA338" s="131" t="str">
        <f>IFERROR(VLOOKUP(Y338,TD!$K$46:$L$64,2,0)," ")</f>
        <v>PM/0131/0108/45990160207</v>
      </c>
      <c r="AB338" s="57" t="s">
        <v>139</v>
      </c>
      <c r="AC338" s="132" t="s">
        <v>206</v>
      </c>
    </row>
    <row r="339" spans="2:29" s="28" customFormat="1" ht="85.5">
      <c r="B339" s="85">
        <v>20241088</v>
      </c>
      <c r="C339" s="53" t="s">
        <v>210</v>
      </c>
      <c r="D339" s="129" t="s">
        <v>167</v>
      </c>
      <c r="E339" s="54" t="s">
        <v>568</v>
      </c>
      <c r="F339" s="129" t="s">
        <v>598</v>
      </c>
      <c r="G339" s="129" t="s">
        <v>156</v>
      </c>
      <c r="H339" s="118" t="s">
        <v>612</v>
      </c>
      <c r="I339" s="130">
        <v>8</v>
      </c>
      <c r="J339" s="130">
        <v>2</v>
      </c>
      <c r="K339" s="56">
        <v>20</v>
      </c>
      <c r="L339" s="57">
        <v>20933333</v>
      </c>
      <c r="M339" s="129" t="s">
        <v>173</v>
      </c>
      <c r="N339" s="57" t="s">
        <v>114</v>
      </c>
      <c r="O339" s="54" t="s">
        <v>228</v>
      </c>
      <c r="P339" s="131" t="str">
        <f>IFERROR(VLOOKUP(C339,TD!$B$32:$F$36,2,0)," ")</f>
        <v>O230117</v>
      </c>
      <c r="Q339" s="131" t="str">
        <f>IFERROR(VLOOKUP(C339,TD!$B$32:$F$36,3,0)," ")</f>
        <v>4503</v>
      </c>
      <c r="R339" s="131">
        <f>IFERROR(VLOOKUP(C339,TD!$B$32:$F$36,4,0)," ")</f>
        <v>20240255</v>
      </c>
      <c r="S339" s="54" t="s">
        <v>186</v>
      </c>
      <c r="T339" s="131" t="str">
        <f>IFERROR(VLOOKUP(S339,TD!$J$33:$K$43,2,0)," ")</f>
        <v>Infraestructura física, mantenimiento y dotación (Sedes construidas, mantenidas reforzadas)</v>
      </c>
      <c r="U339" s="54" t="str">
        <f t="shared" si="20"/>
        <v>08-Infraestructura física, mantenimiento y dotación (Sedes construidas, mantenidas reforzadas)</v>
      </c>
      <c r="V339" s="54" t="s">
        <v>237</v>
      </c>
      <c r="W339" s="131" t="str">
        <f>IFERROR(VLOOKUP(V339,TD!$N$33:$O$45,2,0)," ")</f>
        <v>Estaciones de bomberos adecuadas</v>
      </c>
      <c r="X339" s="54" t="str">
        <f t="shared" si="21"/>
        <v>014_Estaciones de bomberos adecuadas</v>
      </c>
      <c r="Y339" s="54" t="str">
        <f t="shared" si="22"/>
        <v>08-Infraestructura física, mantenimiento y dotación (Sedes construidas, mantenidas reforzadas) 014_Estaciones de bomberos adecuadas</v>
      </c>
      <c r="Z339" s="131" t="str">
        <f t="shared" si="23"/>
        <v>O23011745032024025508014</v>
      </c>
      <c r="AA339" s="131" t="str">
        <f>IFERROR(VLOOKUP(Y339,TD!$K$46:$L$64,2,0)," ")</f>
        <v>PM/0131/0108/45030140255</v>
      </c>
      <c r="AB339" s="57" t="s">
        <v>139</v>
      </c>
      <c r="AC339" s="132" t="s">
        <v>206</v>
      </c>
    </row>
    <row r="340" spans="2:29" s="28" customFormat="1" ht="57">
      <c r="B340" s="85">
        <v>20241089</v>
      </c>
      <c r="C340" s="53" t="s">
        <v>209</v>
      </c>
      <c r="D340" s="129" t="s">
        <v>167</v>
      </c>
      <c r="E340" s="54" t="s">
        <v>568</v>
      </c>
      <c r="F340" s="129" t="s">
        <v>599</v>
      </c>
      <c r="G340" s="129" t="s">
        <v>156</v>
      </c>
      <c r="H340" s="118" t="s">
        <v>612</v>
      </c>
      <c r="I340" s="130">
        <v>10</v>
      </c>
      <c r="J340" s="130">
        <v>1</v>
      </c>
      <c r="K340" s="56">
        <v>0</v>
      </c>
      <c r="L340" s="57">
        <v>8257760</v>
      </c>
      <c r="M340" s="129" t="s">
        <v>174</v>
      </c>
      <c r="N340" s="57" t="s">
        <v>114</v>
      </c>
      <c r="O340" s="54" t="s">
        <v>219</v>
      </c>
      <c r="P340" s="131" t="str">
        <f>IFERROR(VLOOKUP(C340,TD!$B$32:$F$36,2,0)," ")</f>
        <v>O230117</v>
      </c>
      <c r="Q340" s="131" t="str">
        <f>IFERROR(VLOOKUP(C340,TD!$B$32:$F$36,3,0)," ")</f>
        <v>4599</v>
      </c>
      <c r="R340" s="131">
        <f>IFERROR(VLOOKUP(C340,TD!$B$32:$F$36,4,0)," ")</f>
        <v>20240207</v>
      </c>
      <c r="S340" s="54" t="s">
        <v>186</v>
      </c>
      <c r="T340" s="131" t="str">
        <f>IFERROR(VLOOKUP(S340,TD!$J$33:$K$43,2,0)," ")</f>
        <v>Infraestructura física, mantenimiento y dotación (Sedes construidas, mantenidas reforzadas)</v>
      </c>
      <c r="U340" s="54" t="str">
        <f t="shared" si="20"/>
        <v>08-Infraestructura física, mantenimiento y dotación (Sedes construidas, mantenidas reforzadas)</v>
      </c>
      <c r="V340" s="54" t="s">
        <v>239</v>
      </c>
      <c r="W340" s="131" t="str">
        <f>IFERROR(VLOOKUP(V340,TD!$N$33:$O$45,2,0)," ")</f>
        <v>Sedes mantenidas</v>
      </c>
      <c r="X340" s="54" t="str">
        <f t="shared" si="21"/>
        <v>016_Sedes mantenidas</v>
      </c>
      <c r="Y340" s="54" t="str">
        <f t="shared" si="22"/>
        <v>08-Infraestructura física, mantenimiento y dotación (Sedes construidas, mantenidas reforzadas) 016_Sedes mantenidas</v>
      </c>
      <c r="Z340" s="131" t="str">
        <f t="shared" si="23"/>
        <v>O23011745992024020708016</v>
      </c>
      <c r="AA340" s="131" t="str">
        <f>IFERROR(VLOOKUP(Y340,TD!$K$46:$L$64,2,0)," ")</f>
        <v>PM/0131/0108/45990160207</v>
      </c>
      <c r="AB340" s="57" t="s">
        <v>139</v>
      </c>
      <c r="AC340" s="132" t="s">
        <v>206</v>
      </c>
    </row>
    <row r="341" spans="2:29" s="28" customFormat="1" ht="71.25">
      <c r="B341" s="85">
        <v>20241090</v>
      </c>
      <c r="C341" s="53" t="s">
        <v>210</v>
      </c>
      <c r="D341" s="129" t="s">
        <v>167</v>
      </c>
      <c r="E341" s="54" t="s">
        <v>568</v>
      </c>
      <c r="F341" s="129" t="s">
        <v>715</v>
      </c>
      <c r="G341" s="129" t="s">
        <v>156</v>
      </c>
      <c r="H341" s="117">
        <v>80111600</v>
      </c>
      <c r="I341" s="130">
        <v>8</v>
      </c>
      <c r="J341" s="130">
        <v>5</v>
      </c>
      <c r="K341" s="56">
        <v>0</v>
      </c>
      <c r="L341" s="57">
        <v>30000000</v>
      </c>
      <c r="M341" s="129" t="s">
        <v>173</v>
      </c>
      <c r="N341" s="57" t="s">
        <v>114</v>
      </c>
      <c r="O341" s="54" t="s">
        <v>228</v>
      </c>
      <c r="P341" s="131" t="str">
        <f>IFERROR(VLOOKUP(C341,TD!$B$32:$F$36,2,0)," ")</f>
        <v>O230117</v>
      </c>
      <c r="Q341" s="131" t="str">
        <f>IFERROR(VLOOKUP(C341,TD!$B$32:$F$36,3,0)," ")</f>
        <v>4503</v>
      </c>
      <c r="R341" s="131">
        <f>IFERROR(VLOOKUP(C341,TD!$B$32:$F$36,4,0)," ")</f>
        <v>20240255</v>
      </c>
      <c r="S341" s="54" t="s">
        <v>186</v>
      </c>
      <c r="T341" s="131" t="str">
        <f>IFERROR(VLOOKUP(S341,TD!$J$33:$K$43,2,0)," ")</f>
        <v>Infraestructura física, mantenimiento y dotación (Sedes construidas, mantenidas reforzadas)</v>
      </c>
      <c r="U341" s="54" t="str">
        <f t="shared" si="20"/>
        <v>08-Infraestructura física, mantenimiento y dotación (Sedes construidas, mantenidas reforzadas)</v>
      </c>
      <c r="V341" s="54" t="s">
        <v>237</v>
      </c>
      <c r="W341" s="131" t="str">
        <f>IFERROR(VLOOKUP(V341,TD!$N$33:$O$45,2,0)," ")</f>
        <v>Estaciones de bomberos adecuadas</v>
      </c>
      <c r="X341" s="54" t="str">
        <f t="shared" si="21"/>
        <v>014_Estaciones de bomberos adecuadas</v>
      </c>
      <c r="Y341" s="54" t="str">
        <f t="shared" si="22"/>
        <v>08-Infraestructura física, mantenimiento y dotación (Sedes construidas, mantenidas reforzadas) 014_Estaciones de bomberos adecuadas</v>
      </c>
      <c r="Z341" s="131" t="str">
        <f t="shared" si="23"/>
        <v>O23011745032024025508014</v>
      </c>
      <c r="AA341" s="131" t="str">
        <f>IFERROR(VLOOKUP(Y341,TD!$K$46:$L$64,2,0)," ")</f>
        <v>PM/0131/0108/45030140255</v>
      </c>
      <c r="AB341" s="57" t="s">
        <v>139</v>
      </c>
      <c r="AC341" s="132" t="s">
        <v>205</v>
      </c>
    </row>
    <row r="342" spans="2:29" s="28" customFormat="1" ht="57">
      <c r="B342" s="85">
        <v>20241091</v>
      </c>
      <c r="C342" s="53" t="s">
        <v>209</v>
      </c>
      <c r="D342" s="129" t="s">
        <v>167</v>
      </c>
      <c r="E342" s="54" t="s">
        <v>568</v>
      </c>
      <c r="F342" s="129" t="s">
        <v>716</v>
      </c>
      <c r="G342" s="129" t="s">
        <v>156</v>
      </c>
      <c r="H342" s="117">
        <v>80111600</v>
      </c>
      <c r="I342" s="130">
        <v>8</v>
      </c>
      <c r="J342" s="130">
        <v>4</v>
      </c>
      <c r="K342" s="56">
        <v>0</v>
      </c>
      <c r="L342" s="57">
        <v>21400000</v>
      </c>
      <c r="M342" s="129" t="s">
        <v>173</v>
      </c>
      <c r="N342" s="57" t="s">
        <v>114</v>
      </c>
      <c r="O342" s="54" t="s">
        <v>219</v>
      </c>
      <c r="P342" s="131" t="str">
        <f>IFERROR(VLOOKUP(C342,TD!$B$32:$F$36,2,0)," ")</f>
        <v>O230117</v>
      </c>
      <c r="Q342" s="131" t="str">
        <f>IFERROR(VLOOKUP(C342,TD!$B$32:$F$36,3,0)," ")</f>
        <v>4599</v>
      </c>
      <c r="R342" s="131">
        <f>IFERROR(VLOOKUP(C342,TD!$B$32:$F$36,4,0)," ")</f>
        <v>20240207</v>
      </c>
      <c r="S342" s="54" t="s">
        <v>186</v>
      </c>
      <c r="T342" s="131" t="str">
        <f>IFERROR(VLOOKUP(S342,TD!$J$33:$K$43,2,0)," ")</f>
        <v>Infraestructura física, mantenimiento y dotación (Sedes construidas, mantenidas reforzadas)</v>
      </c>
      <c r="U342" s="54" t="str">
        <f t="shared" si="20"/>
        <v>08-Infraestructura física, mantenimiento y dotación (Sedes construidas, mantenidas reforzadas)</v>
      </c>
      <c r="V342" s="54" t="s">
        <v>239</v>
      </c>
      <c r="W342" s="131" t="str">
        <f>IFERROR(VLOOKUP(V342,TD!$N$33:$O$45,2,0)," ")</f>
        <v>Sedes mantenidas</v>
      </c>
      <c r="X342" s="54" t="str">
        <f t="shared" si="21"/>
        <v>016_Sedes mantenidas</v>
      </c>
      <c r="Y342" s="54" t="str">
        <f t="shared" si="22"/>
        <v>08-Infraestructura física, mantenimiento y dotación (Sedes construidas, mantenidas reforzadas) 016_Sedes mantenidas</v>
      </c>
      <c r="Z342" s="131" t="str">
        <f t="shared" si="23"/>
        <v>O23011745992024020708016</v>
      </c>
      <c r="AA342" s="131" t="str">
        <f>IFERROR(VLOOKUP(Y342,TD!$K$46:$L$64,2,0)," ")</f>
        <v>PM/0131/0108/45990160207</v>
      </c>
      <c r="AB342" s="57" t="s">
        <v>139</v>
      </c>
      <c r="AC342" s="132" t="s">
        <v>205</v>
      </c>
    </row>
    <row r="343" spans="2:29" s="28" customFormat="1" ht="57">
      <c r="B343" s="85">
        <v>20241092</v>
      </c>
      <c r="C343" s="53" t="s">
        <v>209</v>
      </c>
      <c r="D343" s="129" t="s">
        <v>167</v>
      </c>
      <c r="E343" s="54" t="s">
        <v>568</v>
      </c>
      <c r="F343" s="129" t="s">
        <v>717</v>
      </c>
      <c r="G343" s="129" t="s">
        <v>156</v>
      </c>
      <c r="H343" s="117">
        <v>80111600</v>
      </c>
      <c r="I343" s="130">
        <v>8</v>
      </c>
      <c r="J343" s="130">
        <v>4</v>
      </c>
      <c r="K343" s="56">
        <v>0</v>
      </c>
      <c r="L343" s="57">
        <v>27200000</v>
      </c>
      <c r="M343" s="129" t="s">
        <v>173</v>
      </c>
      <c r="N343" s="57" t="s">
        <v>114</v>
      </c>
      <c r="O343" s="54" t="s">
        <v>219</v>
      </c>
      <c r="P343" s="131" t="str">
        <f>IFERROR(VLOOKUP(C343,TD!$B$32:$F$36,2,0)," ")</f>
        <v>O230117</v>
      </c>
      <c r="Q343" s="131" t="str">
        <f>IFERROR(VLOOKUP(C343,TD!$B$32:$F$36,3,0)," ")</f>
        <v>4599</v>
      </c>
      <c r="R343" s="131">
        <f>IFERROR(VLOOKUP(C343,TD!$B$32:$F$36,4,0)," ")</f>
        <v>20240207</v>
      </c>
      <c r="S343" s="54" t="s">
        <v>186</v>
      </c>
      <c r="T343" s="131" t="str">
        <f>IFERROR(VLOOKUP(S343,TD!$J$33:$K$43,2,0)," ")</f>
        <v>Infraestructura física, mantenimiento y dotación (Sedes construidas, mantenidas reforzadas)</v>
      </c>
      <c r="U343" s="54" t="str">
        <f t="shared" si="20"/>
        <v>08-Infraestructura física, mantenimiento y dotación (Sedes construidas, mantenidas reforzadas)</v>
      </c>
      <c r="V343" s="54" t="s">
        <v>239</v>
      </c>
      <c r="W343" s="131" t="str">
        <f>IFERROR(VLOOKUP(V343,TD!$N$33:$O$45,2,0)," ")</f>
        <v>Sedes mantenidas</v>
      </c>
      <c r="X343" s="54" t="str">
        <f t="shared" si="21"/>
        <v>016_Sedes mantenidas</v>
      </c>
      <c r="Y343" s="54" t="str">
        <f t="shared" si="22"/>
        <v>08-Infraestructura física, mantenimiento y dotación (Sedes construidas, mantenidas reforzadas) 016_Sedes mantenidas</v>
      </c>
      <c r="Z343" s="131" t="str">
        <f t="shared" si="23"/>
        <v>O23011745992024020708016</v>
      </c>
      <c r="AA343" s="131" t="str">
        <f>IFERROR(VLOOKUP(Y343,TD!$K$46:$L$64,2,0)," ")</f>
        <v>PM/0131/0108/45990160207</v>
      </c>
      <c r="AB343" s="57" t="s">
        <v>139</v>
      </c>
      <c r="AC343" s="132" t="s">
        <v>205</v>
      </c>
    </row>
    <row r="344" spans="2:29" s="28" customFormat="1" ht="57">
      <c r="B344" s="85">
        <v>20241093</v>
      </c>
      <c r="C344" s="53" t="s">
        <v>209</v>
      </c>
      <c r="D344" s="129" t="s">
        <v>167</v>
      </c>
      <c r="E344" s="54" t="s">
        <v>568</v>
      </c>
      <c r="F344" s="129" t="s">
        <v>718</v>
      </c>
      <c r="G344" s="129" t="s">
        <v>156</v>
      </c>
      <c r="H344" s="117">
        <v>80111600</v>
      </c>
      <c r="I344" s="130">
        <v>8</v>
      </c>
      <c r="J344" s="130">
        <v>4</v>
      </c>
      <c r="K344" s="56">
        <v>0</v>
      </c>
      <c r="L344" s="57">
        <v>24886400</v>
      </c>
      <c r="M344" s="129" t="s">
        <v>173</v>
      </c>
      <c r="N344" s="57" t="s">
        <v>114</v>
      </c>
      <c r="O344" s="54" t="s">
        <v>219</v>
      </c>
      <c r="P344" s="131" t="str">
        <f>IFERROR(VLOOKUP(C344,TD!$B$32:$F$36,2,0)," ")</f>
        <v>O230117</v>
      </c>
      <c r="Q344" s="131" t="str">
        <f>IFERROR(VLOOKUP(C344,TD!$B$32:$F$36,3,0)," ")</f>
        <v>4599</v>
      </c>
      <c r="R344" s="131">
        <f>IFERROR(VLOOKUP(C344,TD!$B$32:$F$36,4,0)," ")</f>
        <v>20240207</v>
      </c>
      <c r="S344" s="54" t="s">
        <v>186</v>
      </c>
      <c r="T344" s="131" t="str">
        <f>IFERROR(VLOOKUP(S344,TD!$J$33:$K$43,2,0)," ")</f>
        <v>Infraestructura física, mantenimiento y dotación (Sedes construidas, mantenidas reforzadas)</v>
      </c>
      <c r="U344" s="54" t="str">
        <f t="shared" si="20"/>
        <v>08-Infraestructura física, mantenimiento y dotación (Sedes construidas, mantenidas reforzadas)</v>
      </c>
      <c r="V344" s="54" t="s">
        <v>239</v>
      </c>
      <c r="W344" s="131" t="str">
        <f>IFERROR(VLOOKUP(V344,TD!$N$33:$O$45,2,0)," ")</f>
        <v>Sedes mantenidas</v>
      </c>
      <c r="X344" s="54" t="str">
        <f t="shared" si="21"/>
        <v>016_Sedes mantenidas</v>
      </c>
      <c r="Y344" s="54" t="str">
        <f t="shared" si="22"/>
        <v>08-Infraestructura física, mantenimiento y dotación (Sedes construidas, mantenidas reforzadas) 016_Sedes mantenidas</v>
      </c>
      <c r="Z344" s="131" t="str">
        <f t="shared" si="23"/>
        <v>O23011745992024020708016</v>
      </c>
      <c r="AA344" s="131" t="str">
        <f>IFERROR(VLOOKUP(Y344,TD!$K$46:$L$64,2,0)," ")</f>
        <v>PM/0131/0108/45990160207</v>
      </c>
      <c r="AB344" s="57" t="s">
        <v>139</v>
      </c>
      <c r="AC344" s="132" t="s">
        <v>205</v>
      </c>
    </row>
    <row r="345" spans="2:29" s="28" customFormat="1" ht="57">
      <c r="B345" s="85">
        <v>20241094</v>
      </c>
      <c r="C345" s="53" t="s">
        <v>209</v>
      </c>
      <c r="D345" s="129" t="s">
        <v>167</v>
      </c>
      <c r="E345" s="54" t="s">
        <v>568</v>
      </c>
      <c r="F345" s="129" t="s">
        <v>719</v>
      </c>
      <c r="G345" s="129" t="s">
        <v>156</v>
      </c>
      <c r="H345" s="117">
        <v>80111600</v>
      </c>
      <c r="I345" s="130">
        <v>8</v>
      </c>
      <c r="J345" s="130">
        <v>1</v>
      </c>
      <c r="K345" s="56">
        <v>0</v>
      </c>
      <c r="L345" s="57">
        <v>9275840</v>
      </c>
      <c r="M345" s="129" t="s">
        <v>173</v>
      </c>
      <c r="N345" s="57" t="s">
        <v>114</v>
      </c>
      <c r="O345" s="54" t="s">
        <v>219</v>
      </c>
      <c r="P345" s="131" t="str">
        <f>IFERROR(VLOOKUP(C345,TD!$B$32:$F$36,2,0)," ")</f>
        <v>O230117</v>
      </c>
      <c r="Q345" s="131" t="str">
        <f>IFERROR(VLOOKUP(C345,TD!$B$32:$F$36,3,0)," ")</f>
        <v>4599</v>
      </c>
      <c r="R345" s="131">
        <f>IFERROR(VLOOKUP(C345,TD!$B$32:$F$36,4,0)," ")</f>
        <v>20240207</v>
      </c>
      <c r="S345" s="54" t="s">
        <v>186</v>
      </c>
      <c r="T345" s="131" t="str">
        <f>IFERROR(VLOOKUP(S345,TD!$J$33:$K$43,2,0)," ")</f>
        <v>Infraestructura física, mantenimiento y dotación (Sedes construidas, mantenidas reforzadas)</v>
      </c>
      <c r="U345" s="54" t="str">
        <f t="shared" si="20"/>
        <v>08-Infraestructura física, mantenimiento y dotación (Sedes construidas, mantenidas reforzadas)</v>
      </c>
      <c r="V345" s="54" t="s">
        <v>239</v>
      </c>
      <c r="W345" s="131" t="str">
        <f>IFERROR(VLOOKUP(V345,TD!$N$33:$O$45,2,0)," ")</f>
        <v>Sedes mantenidas</v>
      </c>
      <c r="X345" s="54" t="str">
        <f t="shared" si="21"/>
        <v>016_Sedes mantenidas</v>
      </c>
      <c r="Y345" s="54" t="str">
        <f t="shared" si="22"/>
        <v>08-Infraestructura física, mantenimiento y dotación (Sedes construidas, mantenidas reforzadas) 016_Sedes mantenidas</v>
      </c>
      <c r="Z345" s="131" t="str">
        <f t="shared" si="23"/>
        <v>O23011745992024020708016</v>
      </c>
      <c r="AA345" s="131" t="str">
        <f>IFERROR(VLOOKUP(Y345,TD!$K$46:$L$64,2,0)," ")</f>
        <v>PM/0131/0108/45990160207</v>
      </c>
      <c r="AB345" s="57" t="s">
        <v>121</v>
      </c>
      <c r="AC345" s="132" t="s">
        <v>205</v>
      </c>
    </row>
    <row r="346" spans="2:29" s="28" customFormat="1" ht="57">
      <c r="B346" s="85">
        <v>20241095</v>
      </c>
      <c r="C346" s="53" t="s">
        <v>209</v>
      </c>
      <c r="D346" s="129" t="s">
        <v>167</v>
      </c>
      <c r="E346" s="54" t="s">
        <v>568</v>
      </c>
      <c r="F346" s="129" t="s">
        <v>720</v>
      </c>
      <c r="G346" s="129" t="s">
        <v>156</v>
      </c>
      <c r="H346" s="117">
        <v>80111600</v>
      </c>
      <c r="I346" s="130">
        <v>8</v>
      </c>
      <c r="J346" s="130">
        <v>5</v>
      </c>
      <c r="K346" s="56">
        <v>0</v>
      </c>
      <c r="L346" s="57">
        <f>25000000+11500000</f>
        <v>36500000</v>
      </c>
      <c r="M346" s="129" t="s">
        <v>173</v>
      </c>
      <c r="N346" s="57" t="s">
        <v>114</v>
      </c>
      <c r="O346" s="54" t="s">
        <v>219</v>
      </c>
      <c r="P346" s="131" t="str">
        <f>IFERROR(VLOOKUP(C346,TD!$B$32:$F$36,2,0)," ")</f>
        <v>O230117</v>
      </c>
      <c r="Q346" s="131" t="str">
        <f>IFERROR(VLOOKUP(C346,TD!$B$32:$F$36,3,0)," ")</f>
        <v>4599</v>
      </c>
      <c r="R346" s="131">
        <f>IFERROR(VLOOKUP(C346,TD!$B$32:$F$36,4,0)," ")</f>
        <v>20240207</v>
      </c>
      <c r="S346" s="54" t="s">
        <v>186</v>
      </c>
      <c r="T346" s="131" t="str">
        <f>IFERROR(VLOOKUP(S346,TD!$J$33:$K$43,2,0)," ")</f>
        <v>Infraestructura física, mantenimiento y dotación (Sedes construidas, mantenidas reforzadas)</v>
      </c>
      <c r="U346" s="54" t="str">
        <f t="shared" si="20"/>
        <v>08-Infraestructura física, mantenimiento y dotación (Sedes construidas, mantenidas reforzadas)</v>
      </c>
      <c r="V346" s="54" t="s">
        <v>239</v>
      </c>
      <c r="W346" s="131" t="str">
        <f>IFERROR(VLOOKUP(V346,TD!$N$33:$O$45,2,0)," ")</f>
        <v>Sedes mantenidas</v>
      </c>
      <c r="X346" s="54" t="str">
        <f t="shared" si="21"/>
        <v>016_Sedes mantenidas</v>
      </c>
      <c r="Y346" s="54" t="str">
        <f t="shared" si="22"/>
        <v>08-Infraestructura física, mantenimiento y dotación (Sedes construidas, mantenidas reforzadas) 016_Sedes mantenidas</v>
      </c>
      <c r="Z346" s="131" t="str">
        <f t="shared" si="23"/>
        <v>O23011745992024020708016</v>
      </c>
      <c r="AA346" s="131" t="str">
        <f>IFERROR(VLOOKUP(Y346,TD!$K$46:$L$64,2,0)," ")</f>
        <v>PM/0131/0108/45990160207</v>
      </c>
      <c r="AB346" s="57" t="s">
        <v>139</v>
      </c>
      <c r="AC346" s="132" t="s">
        <v>205</v>
      </c>
    </row>
    <row r="347" spans="2:29" s="28" customFormat="1" ht="57">
      <c r="B347" s="85">
        <v>20241096</v>
      </c>
      <c r="C347" s="53" t="s">
        <v>209</v>
      </c>
      <c r="D347" s="129" t="s">
        <v>167</v>
      </c>
      <c r="E347" s="54" t="s">
        <v>568</v>
      </c>
      <c r="F347" s="129" t="s">
        <v>721</v>
      </c>
      <c r="G347" s="129" t="s">
        <v>156</v>
      </c>
      <c r="H347" s="117">
        <v>80111600</v>
      </c>
      <c r="I347" s="130">
        <v>8</v>
      </c>
      <c r="J347" s="130">
        <v>5</v>
      </c>
      <c r="K347" s="56">
        <v>0</v>
      </c>
      <c r="L347" s="57">
        <v>24075000</v>
      </c>
      <c r="M347" s="129" t="s">
        <v>173</v>
      </c>
      <c r="N347" s="57" t="s">
        <v>114</v>
      </c>
      <c r="O347" s="54" t="s">
        <v>219</v>
      </c>
      <c r="P347" s="131" t="str">
        <f>IFERROR(VLOOKUP(C347,TD!$B$32:$F$36,2,0)," ")</f>
        <v>O230117</v>
      </c>
      <c r="Q347" s="131" t="str">
        <f>IFERROR(VLOOKUP(C347,TD!$B$32:$F$36,3,0)," ")</f>
        <v>4599</v>
      </c>
      <c r="R347" s="131">
        <f>IFERROR(VLOOKUP(C347,TD!$B$32:$F$36,4,0)," ")</f>
        <v>20240207</v>
      </c>
      <c r="S347" s="54" t="s">
        <v>186</v>
      </c>
      <c r="T347" s="131" t="str">
        <f>IFERROR(VLOOKUP(S347,TD!$J$33:$K$43,2,0)," ")</f>
        <v>Infraestructura física, mantenimiento y dotación (Sedes construidas, mantenidas reforzadas)</v>
      </c>
      <c r="U347" s="54" t="str">
        <f t="shared" si="20"/>
        <v>08-Infraestructura física, mantenimiento y dotación (Sedes construidas, mantenidas reforzadas)</v>
      </c>
      <c r="V347" s="54" t="s">
        <v>239</v>
      </c>
      <c r="W347" s="131" t="str">
        <f>IFERROR(VLOOKUP(V347,TD!$N$33:$O$45,2,0)," ")</f>
        <v>Sedes mantenidas</v>
      </c>
      <c r="X347" s="54" t="str">
        <f t="shared" si="21"/>
        <v>016_Sedes mantenidas</v>
      </c>
      <c r="Y347" s="54" t="str">
        <f t="shared" si="22"/>
        <v>08-Infraestructura física, mantenimiento y dotación (Sedes construidas, mantenidas reforzadas) 016_Sedes mantenidas</v>
      </c>
      <c r="Z347" s="131" t="str">
        <f t="shared" si="23"/>
        <v>O23011745992024020708016</v>
      </c>
      <c r="AA347" s="131" t="str">
        <f>IFERROR(VLOOKUP(Y347,TD!$K$46:$L$64,2,0)," ")</f>
        <v>PM/0131/0108/45990160207</v>
      </c>
      <c r="AB347" s="57" t="s">
        <v>139</v>
      </c>
      <c r="AC347" s="132" t="s">
        <v>205</v>
      </c>
    </row>
    <row r="348" spans="2:29" s="28" customFormat="1" ht="85.5">
      <c r="B348" s="85">
        <v>20241097</v>
      </c>
      <c r="C348" s="53" t="s">
        <v>209</v>
      </c>
      <c r="D348" s="129" t="s">
        <v>167</v>
      </c>
      <c r="E348" s="54" t="s">
        <v>568</v>
      </c>
      <c r="F348" s="129" t="s">
        <v>600</v>
      </c>
      <c r="G348" s="129" t="s">
        <v>157</v>
      </c>
      <c r="H348" s="118" t="s">
        <v>612</v>
      </c>
      <c r="I348" s="130">
        <v>10</v>
      </c>
      <c r="J348" s="130">
        <v>1</v>
      </c>
      <c r="K348" s="56">
        <v>0</v>
      </c>
      <c r="L348" s="57">
        <v>2771440</v>
      </c>
      <c r="M348" s="129" t="s">
        <v>173</v>
      </c>
      <c r="N348" s="57" t="s">
        <v>114</v>
      </c>
      <c r="O348" s="54" t="s">
        <v>219</v>
      </c>
      <c r="P348" s="131" t="str">
        <f>IFERROR(VLOOKUP(C348,TD!$B$32:$F$36,2,0)," ")</f>
        <v>O230117</v>
      </c>
      <c r="Q348" s="131" t="str">
        <f>IFERROR(VLOOKUP(C348,TD!$B$32:$F$36,3,0)," ")</f>
        <v>4599</v>
      </c>
      <c r="R348" s="131">
        <f>IFERROR(VLOOKUP(C348,TD!$B$32:$F$36,4,0)," ")</f>
        <v>20240207</v>
      </c>
      <c r="S348" s="54" t="s">
        <v>186</v>
      </c>
      <c r="T348" s="131" t="str">
        <f>IFERROR(VLOOKUP(S348,TD!$J$33:$K$43,2,0)," ")</f>
        <v>Infraestructura física, mantenimiento y dotación (Sedes construidas, mantenidas reforzadas)</v>
      </c>
      <c r="U348" s="54" t="str">
        <f t="shared" si="20"/>
        <v>08-Infraestructura física, mantenimiento y dotación (Sedes construidas, mantenidas reforzadas)</v>
      </c>
      <c r="V348" s="54" t="s">
        <v>239</v>
      </c>
      <c r="W348" s="131" t="str">
        <f>IFERROR(VLOOKUP(V348,TD!$N$33:$O$45,2,0)," ")</f>
        <v>Sedes mantenidas</v>
      </c>
      <c r="X348" s="54" t="str">
        <f t="shared" si="21"/>
        <v>016_Sedes mantenidas</v>
      </c>
      <c r="Y348" s="54" t="str">
        <f t="shared" si="22"/>
        <v>08-Infraestructura física, mantenimiento y dotación (Sedes construidas, mantenidas reforzadas) 016_Sedes mantenidas</v>
      </c>
      <c r="Z348" s="131" t="str">
        <f t="shared" si="23"/>
        <v>O23011745992024020708016</v>
      </c>
      <c r="AA348" s="131" t="str">
        <f>IFERROR(VLOOKUP(Y348,TD!$K$46:$L$64,2,0)," ")</f>
        <v>PM/0131/0108/45990160207</v>
      </c>
      <c r="AB348" s="57" t="s">
        <v>139</v>
      </c>
      <c r="AC348" s="132" t="s">
        <v>206</v>
      </c>
    </row>
    <row r="349" spans="2:29" s="28" customFormat="1" ht="85.5">
      <c r="B349" s="85">
        <v>20241098</v>
      </c>
      <c r="C349" s="53" t="s">
        <v>209</v>
      </c>
      <c r="D349" s="129" t="s">
        <v>167</v>
      </c>
      <c r="E349" s="54" t="s">
        <v>568</v>
      </c>
      <c r="F349" s="129" t="s">
        <v>601</v>
      </c>
      <c r="G349" s="129" t="s">
        <v>157</v>
      </c>
      <c r="H349" s="118" t="s">
        <v>612</v>
      </c>
      <c r="I349" s="130">
        <v>10</v>
      </c>
      <c r="J349" s="130">
        <v>1</v>
      </c>
      <c r="K349" s="56">
        <v>0</v>
      </c>
      <c r="L349" s="57">
        <v>2771440</v>
      </c>
      <c r="M349" s="129" t="s">
        <v>173</v>
      </c>
      <c r="N349" s="57" t="s">
        <v>114</v>
      </c>
      <c r="O349" s="54" t="s">
        <v>219</v>
      </c>
      <c r="P349" s="131" t="str">
        <f>IFERROR(VLOOKUP(C349,TD!$B$32:$F$36,2,0)," ")</f>
        <v>O230117</v>
      </c>
      <c r="Q349" s="131" t="str">
        <f>IFERROR(VLOOKUP(C349,TD!$B$32:$F$36,3,0)," ")</f>
        <v>4599</v>
      </c>
      <c r="R349" s="131">
        <f>IFERROR(VLOOKUP(C349,TD!$B$32:$F$36,4,0)," ")</f>
        <v>20240207</v>
      </c>
      <c r="S349" s="54" t="s">
        <v>186</v>
      </c>
      <c r="T349" s="131" t="str">
        <f>IFERROR(VLOOKUP(S349,TD!$J$33:$K$43,2,0)," ")</f>
        <v>Infraestructura física, mantenimiento y dotación (Sedes construidas, mantenidas reforzadas)</v>
      </c>
      <c r="U349" s="54" t="str">
        <f t="shared" si="20"/>
        <v>08-Infraestructura física, mantenimiento y dotación (Sedes construidas, mantenidas reforzadas)</v>
      </c>
      <c r="V349" s="54" t="s">
        <v>239</v>
      </c>
      <c r="W349" s="131" t="str">
        <f>IFERROR(VLOOKUP(V349,TD!$N$33:$O$45,2,0)," ")</f>
        <v>Sedes mantenidas</v>
      </c>
      <c r="X349" s="54" t="str">
        <f t="shared" si="21"/>
        <v>016_Sedes mantenidas</v>
      </c>
      <c r="Y349" s="54" t="str">
        <f t="shared" si="22"/>
        <v>08-Infraestructura física, mantenimiento y dotación (Sedes construidas, mantenidas reforzadas) 016_Sedes mantenidas</v>
      </c>
      <c r="Z349" s="131" t="str">
        <f t="shared" si="23"/>
        <v>O23011745992024020708016</v>
      </c>
      <c r="AA349" s="131" t="str">
        <f>IFERROR(VLOOKUP(Y349,TD!$K$46:$L$64,2,0)," ")</f>
        <v>PM/0131/0108/45990160207</v>
      </c>
      <c r="AB349" s="57" t="s">
        <v>139</v>
      </c>
      <c r="AC349" s="132" t="s">
        <v>206</v>
      </c>
    </row>
    <row r="350" spans="2:29" s="28" customFormat="1" ht="85.5">
      <c r="B350" s="85">
        <v>20241099</v>
      </c>
      <c r="C350" s="53" t="s">
        <v>209</v>
      </c>
      <c r="D350" s="129" t="s">
        <v>167</v>
      </c>
      <c r="E350" s="54" t="s">
        <v>568</v>
      </c>
      <c r="F350" s="129" t="s">
        <v>602</v>
      </c>
      <c r="G350" s="129" t="s">
        <v>157</v>
      </c>
      <c r="H350" s="118" t="s">
        <v>612</v>
      </c>
      <c r="I350" s="130">
        <v>10</v>
      </c>
      <c r="J350" s="130">
        <v>1</v>
      </c>
      <c r="K350" s="56">
        <v>0</v>
      </c>
      <c r="L350" s="57">
        <v>2771440</v>
      </c>
      <c r="M350" s="129" t="s">
        <v>173</v>
      </c>
      <c r="N350" s="57" t="s">
        <v>114</v>
      </c>
      <c r="O350" s="54" t="s">
        <v>219</v>
      </c>
      <c r="P350" s="131" t="str">
        <f>IFERROR(VLOOKUP(C350,TD!$B$32:$F$36,2,0)," ")</f>
        <v>O230117</v>
      </c>
      <c r="Q350" s="131" t="str">
        <f>IFERROR(VLOOKUP(C350,TD!$B$32:$F$36,3,0)," ")</f>
        <v>4599</v>
      </c>
      <c r="R350" s="131">
        <f>IFERROR(VLOOKUP(C350,TD!$B$32:$F$36,4,0)," ")</f>
        <v>20240207</v>
      </c>
      <c r="S350" s="54" t="s">
        <v>186</v>
      </c>
      <c r="T350" s="131" t="str">
        <f>IFERROR(VLOOKUP(S350,TD!$J$33:$K$43,2,0)," ")</f>
        <v>Infraestructura física, mantenimiento y dotación (Sedes construidas, mantenidas reforzadas)</v>
      </c>
      <c r="U350" s="54" t="str">
        <f t="shared" si="20"/>
        <v>08-Infraestructura física, mantenimiento y dotación (Sedes construidas, mantenidas reforzadas)</v>
      </c>
      <c r="V350" s="54" t="s">
        <v>239</v>
      </c>
      <c r="W350" s="131" t="str">
        <f>IFERROR(VLOOKUP(V350,TD!$N$33:$O$45,2,0)," ")</f>
        <v>Sedes mantenidas</v>
      </c>
      <c r="X350" s="54" t="str">
        <f t="shared" si="21"/>
        <v>016_Sedes mantenidas</v>
      </c>
      <c r="Y350" s="54" t="str">
        <f t="shared" si="22"/>
        <v>08-Infraestructura física, mantenimiento y dotación (Sedes construidas, mantenidas reforzadas) 016_Sedes mantenidas</v>
      </c>
      <c r="Z350" s="131" t="str">
        <f t="shared" si="23"/>
        <v>O23011745992024020708016</v>
      </c>
      <c r="AA350" s="131" t="str">
        <f>IFERROR(VLOOKUP(Y350,TD!$K$46:$L$64,2,0)," ")</f>
        <v>PM/0131/0108/45990160207</v>
      </c>
      <c r="AB350" s="57" t="s">
        <v>139</v>
      </c>
      <c r="AC350" s="132" t="s">
        <v>206</v>
      </c>
    </row>
    <row r="351" spans="2:29" s="28" customFormat="1" ht="57">
      <c r="B351" s="85">
        <v>20241100</v>
      </c>
      <c r="C351" s="53" t="s">
        <v>209</v>
      </c>
      <c r="D351" s="129" t="s">
        <v>167</v>
      </c>
      <c r="E351" s="54" t="s">
        <v>568</v>
      </c>
      <c r="F351" s="129" t="s">
        <v>603</v>
      </c>
      <c r="G351" s="129" t="s">
        <v>156</v>
      </c>
      <c r="H351" s="118" t="s">
        <v>612</v>
      </c>
      <c r="I351" s="130">
        <v>10</v>
      </c>
      <c r="J351" s="130">
        <v>1</v>
      </c>
      <c r="K351" s="56">
        <v>0</v>
      </c>
      <c r="L351" s="57">
        <v>5000000</v>
      </c>
      <c r="M351" s="129" t="s">
        <v>173</v>
      </c>
      <c r="N351" s="57" t="s">
        <v>114</v>
      </c>
      <c r="O351" s="54" t="s">
        <v>219</v>
      </c>
      <c r="P351" s="131" t="str">
        <f>IFERROR(VLOOKUP(C351,TD!$B$32:$F$36,2,0)," ")</f>
        <v>O230117</v>
      </c>
      <c r="Q351" s="131" t="str">
        <f>IFERROR(VLOOKUP(C351,TD!$B$32:$F$36,3,0)," ")</f>
        <v>4599</v>
      </c>
      <c r="R351" s="131">
        <f>IFERROR(VLOOKUP(C351,TD!$B$32:$F$36,4,0)," ")</f>
        <v>20240207</v>
      </c>
      <c r="S351" s="54" t="s">
        <v>186</v>
      </c>
      <c r="T351" s="131" t="str">
        <f>IFERROR(VLOOKUP(S351,TD!$J$33:$K$43,2,0)," ")</f>
        <v>Infraestructura física, mantenimiento y dotación (Sedes construidas, mantenidas reforzadas)</v>
      </c>
      <c r="U351" s="54" t="str">
        <f t="shared" si="20"/>
        <v>08-Infraestructura física, mantenimiento y dotación (Sedes construidas, mantenidas reforzadas)</v>
      </c>
      <c r="V351" s="54" t="s">
        <v>239</v>
      </c>
      <c r="W351" s="131" t="str">
        <f>IFERROR(VLOOKUP(V351,TD!$N$33:$O$45,2,0)," ")</f>
        <v>Sedes mantenidas</v>
      </c>
      <c r="X351" s="54" t="str">
        <f t="shared" si="21"/>
        <v>016_Sedes mantenidas</v>
      </c>
      <c r="Y351" s="54" t="str">
        <f t="shared" si="22"/>
        <v>08-Infraestructura física, mantenimiento y dotación (Sedes construidas, mantenidas reforzadas) 016_Sedes mantenidas</v>
      </c>
      <c r="Z351" s="131" t="str">
        <f t="shared" si="23"/>
        <v>O23011745992024020708016</v>
      </c>
      <c r="AA351" s="131" t="str">
        <f>IFERROR(VLOOKUP(Y351,TD!$K$46:$L$64,2,0)," ")</f>
        <v>PM/0131/0108/45990160207</v>
      </c>
      <c r="AB351" s="57" t="s">
        <v>139</v>
      </c>
      <c r="AC351" s="132" t="s">
        <v>206</v>
      </c>
    </row>
    <row r="352" spans="2:29" s="28" customFormat="1" ht="85.5">
      <c r="B352" s="85">
        <v>20241101</v>
      </c>
      <c r="C352" s="53" t="s">
        <v>209</v>
      </c>
      <c r="D352" s="129" t="s">
        <v>167</v>
      </c>
      <c r="E352" s="54" t="s">
        <v>568</v>
      </c>
      <c r="F352" s="129" t="s">
        <v>604</v>
      </c>
      <c r="G352" s="129" t="s">
        <v>157</v>
      </c>
      <c r="H352" s="118" t="s">
        <v>612</v>
      </c>
      <c r="I352" s="130">
        <v>10</v>
      </c>
      <c r="J352" s="130">
        <v>1</v>
      </c>
      <c r="K352" s="56">
        <v>0</v>
      </c>
      <c r="L352" s="57">
        <v>2771440</v>
      </c>
      <c r="M352" s="129" t="s">
        <v>173</v>
      </c>
      <c r="N352" s="57" t="s">
        <v>114</v>
      </c>
      <c r="O352" s="54" t="s">
        <v>219</v>
      </c>
      <c r="P352" s="131" t="str">
        <f>IFERROR(VLOOKUP(C352,TD!$B$32:$F$36,2,0)," ")</f>
        <v>O230117</v>
      </c>
      <c r="Q352" s="131" t="str">
        <f>IFERROR(VLOOKUP(C352,TD!$B$32:$F$36,3,0)," ")</f>
        <v>4599</v>
      </c>
      <c r="R352" s="131">
        <f>IFERROR(VLOOKUP(C352,TD!$B$32:$F$36,4,0)," ")</f>
        <v>20240207</v>
      </c>
      <c r="S352" s="54" t="s">
        <v>186</v>
      </c>
      <c r="T352" s="131" t="str">
        <f>IFERROR(VLOOKUP(S352,TD!$J$33:$K$43,2,0)," ")</f>
        <v>Infraestructura física, mantenimiento y dotación (Sedes construidas, mantenidas reforzadas)</v>
      </c>
      <c r="U352" s="54" t="str">
        <f t="shared" si="20"/>
        <v>08-Infraestructura física, mantenimiento y dotación (Sedes construidas, mantenidas reforzadas)</v>
      </c>
      <c r="V352" s="54" t="s">
        <v>239</v>
      </c>
      <c r="W352" s="131" t="str">
        <f>IFERROR(VLOOKUP(V352,TD!$N$33:$O$45,2,0)," ")</f>
        <v>Sedes mantenidas</v>
      </c>
      <c r="X352" s="54" t="str">
        <f t="shared" si="21"/>
        <v>016_Sedes mantenidas</v>
      </c>
      <c r="Y352" s="54" t="str">
        <f t="shared" si="22"/>
        <v>08-Infraestructura física, mantenimiento y dotación (Sedes construidas, mantenidas reforzadas) 016_Sedes mantenidas</v>
      </c>
      <c r="Z352" s="131" t="str">
        <f t="shared" si="23"/>
        <v>O23011745992024020708016</v>
      </c>
      <c r="AA352" s="131" t="str">
        <f>IFERROR(VLOOKUP(Y352,TD!$K$46:$L$64,2,0)," ")</f>
        <v>PM/0131/0108/45990160207</v>
      </c>
      <c r="AB352" s="57" t="s">
        <v>139</v>
      </c>
      <c r="AC352" s="132" t="s">
        <v>206</v>
      </c>
    </row>
    <row r="353" spans="2:29" s="28" customFormat="1" ht="71.25">
      <c r="B353" s="85">
        <v>20241102</v>
      </c>
      <c r="C353" s="53" t="s">
        <v>209</v>
      </c>
      <c r="D353" s="129" t="s">
        <v>167</v>
      </c>
      <c r="E353" s="54" t="s">
        <v>568</v>
      </c>
      <c r="F353" s="129" t="s">
        <v>722</v>
      </c>
      <c r="G353" s="129" t="s">
        <v>157</v>
      </c>
      <c r="H353" s="117">
        <v>80111600</v>
      </c>
      <c r="I353" s="130">
        <v>8</v>
      </c>
      <c r="J353" s="130">
        <v>5</v>
      </c>
      <c r="K353" s="56">
        <v>0</v>
      </c>
      <c r="L353" s="57">
        <v>13857200</v>
      </c>
      <c r="M353" s="129" t="s">
        <v>173</v>
      </c>
      <c r="N353" s="57" t="s">
        <v>114</v>
      </c>
      <c r="O353" s="54" t="s">
        <v>219</v>
      </c>
      <c r="P353" s="131" t="str">
        <f>IFERROR(VLOOKUP(C353,TD!$B$32:$F$36,2,0)," ")</f>
        <v>O230117</v>
      </c>
      <c r="Q353" s="131" t="str">
        <f>IFERROR(VLOOKUP(C353,TD!$B$32:$F$36,3,0)," ")</f>
        <v>4599</v>
      </c>
      <c r="R353" s="131">
        <f>IFERROR(VLOOKUP(C353,TD!$B$32:$F$36,4,0)," ")</f>
        <v>20240207</v>
      </c>
      <c r="S353" s="54" t="s">
        <v>186</v>
      </c>
      <c r="T353" s="131" t="str">
        <f>IFERROR(VLOOKUP(S353,TD!$J$33:$K$43,2,0)," ")</f>
        <v>Infraestructura física, mantenimiento y dotación (Sedes construidas, mantenidas reforzadas)</v>
      </c>
      <c r="U353" s="54" t="str">
        <f t="shared" si="20"/>
        <v>08-Infraestructura física, mantenimiento y dotación (Sedes construidas, mantenidas reforzadas)</v>
      </c>
      <c r="V353" s="54" t="s">
        <v>239</v>
      </c>
      <c r="W353" s="131" t="str">
        <f>IFERROR(VLOOKUP(V353,TD!$N$33:$O$45,2,0)," ")</f>
        <v>Sedes mantenidas</v>
      </c>
      <c r="X353" s="54" t="str">
        <f t="shared" si="21"/>
        <v>016_Sedes mantenidas</v>
      </c>
      <c r="Y353" s="54" t="str">
        <f t="shared" si="22"/>
        <v>08-Infraestructura física, mantenimiento y dotación (Sedes construidas, mantenidas reforzadas) 016_Sedes mantenidas</v>
      </c>
      <c r="Z353" s="131" t="str">
        <f t="shared" si="23"/>
        <v>O23011745992024020708016</v>
      </c>
      <c r="AA353" s="131" t="str">
        <f>IFERROR(VLOOKUP(Y353,TD!$K$46:$L$64,2,0)," ")</f>
        <v>PM/0131/0108/45990160207</v>
      </c>
      <c r="AB353" s="57" t="s">
        <v>139</v>
      </c>
      <c r="AC353" s="132" t="s">
        <v>205</v>
      </c>
    </row>
    <row r="354" spans="2:29" s="28" customFormat="1" ht="71.25">
      <c r="B354" s="85">
        <v>20241103</v>
      </c>
      <c r="C354" s="53" t="s">
        <v>209</v>
      </c>
      <c r="D354" s="129" t="s">
        <v>167</v>
      </c>
      <c r="E354" s="54" t="s">
        <v>568</v>
      </c>
      <c r="F354" s="129" t="s">
        <v>722</v>
      </c>
      <c r="G354" s="129" t="s">
        <v>157</v>
      </c>
      <c r="H354" s="117">
        <v>80111600</v>
      </c>
      <c r="I354" s="130">
        <v>8</v>
      </c>
      <c r="J354" s="130">
        <v>5</v>
      </c>
      <c r="K354" s="56">
        <v>0</v>
      </c>
      <c r="L354" s="57">
        <v>13857200</v>
      </c>
      <c r="M354" s="129" t="s">
        <v>173</v>
      </c>
      <c r="N354" s="57" t="s">
        <v>114</v>
      </c>
      <c r="O354" s="54" t="s">
        <v>219</v>
      </c>
      <c r="P354" s="131" t="str">
        <f>IFERROR(VLOOKUP(C354,TD!$B$32:$F$36,2,0)," ")</f>
        <v>O230117</v>
      </c>
      <c r="Q354" s="131" t="str">
        <f>IFERROR(VLOOKUP(C354,TD!$B$32:$F$36,3,0)," ")</f>
        <v>4599</v>
      </c>
      <c r="R354" s="131">
        <f>IFERROR(VLOOKUP(C354,TD!$B$32:$F$36,4,0)," ")</f>
        <v>20240207</v>
      </c>
      <c r="S354" s="54" t="s">
        <v>186</v>
      </c>
      <c r="T354" s="131" t="str">
        <f>IFERROR(VLOOKUP(S354,TD!$J$33:$K$43,2,0)," ")</f>
        <v>Infraestructura física, mantenimiento y dotación (Sedes construidas, mantenidas reforzadas)</v>
      </c>
      <c r="U354" s="54" t="str">
        <f t="shared" si="20"/>
        <v>08-Infraestructura física, mantenimiento y dotación (Sedes construidas, mantenidas reforzadas)</v>
      </c>
      <c r="V354" s="54" t="s">
        <v>239</v>
      </c>
      <c r="W354" s="131" t="str">
        <f>IFERROR(VLOOKUP(V354,TD!$N$33:$O$45,2,0)," ")</f>
        <v>Sedes mantenidas</v>
      </c>
      <c r="X354" s="54" t="str">
        <f t="shared" si="21"/>
        <v>016_Sedes mantenidas</v>
      </c>
      <c r="Y354" s="54" t="str">
        <f t="shared" si="22"/>
        <v>08-Infraestructura física, mantenimiento y dotación (Sedes construidas, mantenidas reforzadas) 016_Sedes mantenidas</v>
      </c>
      <c r="Z354" s="131" t="str">
        <f t="shared" si="23"/>
        <v>O23011745992024020708016</v>
      </c>
      <c r="AA354" s="131" t="str">
        <f>IFERROR(VLOOKUP(Y354,TD!$K$46:$L$64,2,0)," ")</f>
        <v>PM/0131/0108/45990160207</v>
      </c>
      <c r="AB354" s="57" t="s">
        <v>139</v>
      </c>
      <c r="AC354" s="132" t="s">
        <v>205</v>
      </c>
    </row>
    <row r="355" spans="2:29" s="28" customFormat="1" ht="71.25">
      <c r="B355" s="85">
        <v>20241104</v>
      </c>
      <c r="C355" s="53" t="s">
        <v>209</v>
      </c>
      <c r="D355" s="129" t="s">
        <v>167</v>
      </c>
      <c r="E355" s="54" t="s">
        <v>568</v>
      </c>
      <c r="F355" s="129" t="s">
        <v>722</v>
      </c>
      <c r="G355" s="129" t="s">
        <v>157</v>
      </c>
      <c r="H355" s="117">
        <v>80111600</v>
      </c>
      <c r="I355" s="130">
        <v>8</v>
      </c>
      <c r="J355" s="130">
        <v>5</v>
      </c>
      <c r="K355" s="56">
        <v>0</v>
      </c>
      <c r="L355" s="57">
        <v>13857200</v>
      </c>
      <c r="M355" s="129" t="s">
        <v>173</v>
      </c>
      <c r="N355" s="57" t="s">
        <v>114</v>
      </c>
      <c r="O355" s="54" t="s">
        <v>219</v>
      </c>
      <c r="P355" s="131" t="str">
        <f>IFERROR(VLOOKUP(C355,TD!$B$32:$F$36,2,0)," ")</f>
        <v>O230117</v>
      </c>
      <c r="Q355" s="131" t="str">
        <f>IFERROR(VLOOKUP(C355,TD!$B$32:$F$36,3,0)," ")</f>
        <v>4599</v>
      </c>
      <c r="R355" s="131">
        <f>IFERROR(VLOOKUP(C355,TD!$B$32:$F$36,4,0)," ")</f>
        <v>20240207</v>
      </c>
      <c r="S355" s="54" t="s">
        <v>186</v>
      </c>
      <c r="T355" s="131" t="str">
        <f>IFERROR(VLOOKUP(S355,TD!$J$33:$K$43,2,0)," ")</f>
        <v>Infraestructura física, mantenimiento y dotación (Sedes construidas, mantenidas reforzadas)</v>
      </c>
      <c r="U355" s="54" t="str">
        <f t="shared" si="20"/>
        <v>08-Infraestructura física, mantenimiento y dotación (Sedes construidas, mantenidas reforzadas)</v>
      </c>
      <c r="V355" s="54" t="s">
        <v>239</v>
      </c>
      <c r="W355" s="131" t="str">
        <f>IFERROR(VLOOKUP(V355,TD!$N$33:$O$45,2,0)," ")</f>
        <v>Sedes mantenidas</v>
      </c>
      <c r="X355" s="54" t="str">
        <f t="shared" si="21"/>
        <v>016_Sedes mantenidas</v>
      </c>
      <c r="Y355" s="54" t="str">
        <f t="shared" si="22"/>
        <v>08-Infraestructura física, mantenimiento y dotación (Sedes construidas, mantenidas reforzadas) 016_Sedes mantenidas</v>
      </c>
      <c r="Z355" s="131" t="str">
        <f t="shared" si="23"/>
        <v>O23011745992024020708016</v>
      </c>
      <c r="AA355" s="131" t="str">
        <f>IFERROR(VLOOKUP(Y355,TD!$K$46:$L$64,2,0)," ")</f>
        <v>PM/0131/0108/45990160207</v>
      </c>
      <c r="AB355" s="57" t="s">
        <v>139</v>
      </c>
      <c r="AC355" s="132" t="s">
        <v>205</v>
      </c>
    </row>
    <row r="356" spans="2:29" s="28" customFormat="1" ht="42.75">
      <c r="B356" s="85">
        <v>20241105</v>
      </c>
      <c r="C356" s="53" t="s">
        <v>347</v>
      </c>
      <c r="D356" s="129" t="s">
        <v>167</v>
      </c>
      <c r="E356" s="54" t="s">
        <v>568</v>
      </c>
      <c r="F356" s="129" t="s">
        <v>570</v>
      </c>
      <c r="G356" s="129" t="s">
        <v>97</v>
      </c>
      <c r="H356" s="118" t="s">
        <v>611</v>
      </c>
      <c r="I356" s="130">
        <v>8</v>
      </c>
      <c r="J356" s="130">
        <v>4</v>
      </c>
      <c r="K356" s="56">
        <v>0</v>
      </c>
      <c r="L356" s="57">
        <v>79836411</v>
      </c>
      <c r="M356" s="129" t="s">
        <v>173</v>
      </c>
      <c r="N356" s="57" t="s">
        <v>124</v>
      </c>
      <c r="O356" s="54" t="s">
        <v>348</v>
      </c>
      <c r="P356" s="131" t="str">
        <f>IFERROR(VLOOKUP(C356,TD!$B$32:$F$36,2,0)," ")</f>
        <v>NA</v>
      </c>
      <c r="Q356" s="131" t="str">
        <f>IFERROR(VLOOKUP(C356,TD!$B$32:$F$36,3,0)," ")</f>
        <v>NA</v>
      </c>
      <c r="R356" s="131" t="str">
        <f>IFERROR(VLOOKUP(C356,TD!$B$32:$F$36,4,0)," ")</f>
        <v>NA</v>
      </c>
      <c r="S356" s="54" t="s">
        <v>567</v>
      </c>
      <c r="T356" s="131" t="str">
        <f>IFERROR(VLOOKUP(S356,TD!$J$33:$K$43,2,0)," ")</f>
        <v>N/A</v>
      </c>
      <c r="U356" s="54" t="str">
        <f t="shared" si="20"/>
        <v>N/A-N/A</v>
      </c>
      <c r="V356" s="54" t="s">
        <v>567</v>
      </c>
      <c r="W356" s="131" t="str">
        <f>IFERROR(VLOOKUP(V356,TD!$N$33:$O$45,2,0)," ")</f>
        <v>N/A</v>
      </c>
      <c r="X356" s="54" t="str">
        <f t="shared" si="21"/>
        <v>N/A_N/A</v>
      </c>
      <c r="Y356" s="54" t="str">
        <f t="shared" si="22"/>
        <v>N/A-N/A N/A_N/A</v>
      </c>
      <c r="Z356" s="131" t="str">
        <f t="shared" si="23"/>
        <v>NANANAN/AN/A</v>
      </c>
      <c r="AA356" s="131" t="str">
        <f>IFERROR(VLOOKUP(Y356,TD!$K$46:$L$64,2,0)," ")</f>
        <v>N/A</v>
      </c>
      <c r="AB356" s="57" t="s">
        <v>349</v>
      </c>
      <c r="AC356" s="132" t="s">
        <v>206</v>
      </c>
    </row>
    <row r="357" spans="2:29" s="28" customFormat="1" ht="42.75">
      <c r="B357" s="85">
        <v>20241106</v>
      </c>
      <c r="C357" s="53" t="s">
        <v>347</v>
      </c>
      <c r="D357" s="129" t="s">
        <v>167</v>
      </c>
      <c r="E357" s="54" t="s">
        <v>568</v>
      </c>
      <c r="F357" s="129" t="s">
        <v>570</v>
      </c>
      <c r="G357" s="129" t="s">
        <v>97</v>
      </c>
      <c r="H357" s="118" t="s">
        <v>611</v>
      </c>
      <c r="I357" s="130">
        <v>8</v>
      </c>
      <c r="J357" s="130">
        <v>4</v>
      </c>
      <c r="K357" s="56">
        <v>0</v>
      </c>
      <c r="L357" s="57">
        <v>83951483</v>
      </c>
      <c r="M357" s="129" t="s">
        <v>173</v>
      </c>
      <c r="N357" s="57" t="s">
        <v>124</v>
      </c>
      <c r="O357" s="54" t="s">
        <v>348</v>
      </c>
      <c r="P357" s="131" t="str">
        <f>IFERROR(VLOOKUP(C357,TD!$B$32:$F$36,2,0)," ")</f>
        <v>NA</v>
      </c>
      <c r="Q357" s="131" t="str">
        <f>IFERROR(VLOOKUP(C357,TD!$B$32:$F$36,3,0)," ")</f>
        <v>NA</v>
      </c>
      <c r="R357" s="131" t="str">
        <f>IFERROR(VLOOKUP(C357,TD!$B$32:$F$36,4,0)," ")</f>
        <v>NA</v>
      </c>
      <c r="S357" s="54" t="s">
        <v>567</v>
      </c>
      <c r="T357" s="131" t="str">
        <f>IFERROR(VLOOKUP(S357,TD!$J$33:$K$43,2,0)," ")</f>
        <v>N/A</v>
      </c>
      <c r="U357" s="54" t="str">
        <f t="shared" si="20"/>
        <v>N/A-N/A</v>
      </c>
      <c r="V357" s="54" t="s">
        <v>567</v>
      </c>
      <c r="W357" s="131" t="str">
        <f>IFERROR(VLOOKUP(V357,TD!$N$33:$O$45,2,0)," ")</f>
        <v>N/A</v>
      </c>
      <c r="X357" s="54" t="str">
        <f t="shared" si="21"/>
        <v>N/A_N/A</v>
      </c>
      <c r="Y357" s="54" t="str">
        <f t="shared" si="22"/>
        <v>N/A-N/A N/A_N/A</v>
      </c>
      <c r="Z357" s="131" t="str">
        <f t="shared" si="23"/>
        <v>NANANAN/AN/A</v>
      </c>
      <c r="AA357" s="131" t="str">
        <f>IFERROR(VLOOKUP(Y357,TD!$K$46:$L$64,2,0)," ")</f>
        <v>N/A</v>
      </c>
      <c r="AB357" s="57" t="s">
        <v>349</v>
      </c>
      <c r="AC357" s="132" t="s">
        <v>206</v>
      </c>
    </row>
    <row r="358" spans="2:29" s="28" customFormat="1" ht="28.5">
      <c r="B358" s="85">
        <v>20241107</v>
      </c>
      <c r="C358" s="53" t="s">
        <v>347</v>
      </c>
      <c r="D358" s="129" t="s">
        <v>167</v>
      </c>
      <c r="E358" s="54" t="s">
        <v>568</v>
      </c>
      <c r="F358" s="129" t="s">
        <v>605</v>
      </c>
      <c r="G358" s="129" t="s">
        <v>115</v>
      </c>
      <c r="H358" s="118" t="s">
        <v>623</v>
      </c>
      <c r="I358" s="130">
        <v>10</v>
      </c>
      <c r="J358" s="130">
        <v>1</v>
      </c>
      <c r="K358" s="56">
        <v>0</v>
      </c>
      <c r="L358" s="57">
        <v>11470000</v>
      </c>
      <c r="M358" s="129" t="s">
        <v>173</v>
      </c>
      <c r="N358" s="57" t="s">
        <v>114</v>
      </c>
      <c r="O358" s="54" t="s">
        <v>348</v>
      </c>
      <c r="P358" s="131" t="str">
        <f>IFERROR(VLOOKUP(C358,TD!$B$32:$F$36,2,0)," ")</f>
        <v>NA</v>
      </c>
      <c r="Q358" s="131" t="str">
        <f>IFERROR(VLOOKUP(C358,TD!$B$32:$F$36,3,0)," ")</f>
        <v>NA</v>
      </c>
      <c r="R358" s="131" t="str">
        <f>IFERROR(VLOOKUP(C358,TD!$B$32:$F$36,4,0)," ")</f>
        <v>NA</v>
      </c>
      <c r="S358" s="54" t="s">
        <v>567</v>
      </c>
      <c r="T358" s="131" t="str">
        <f>IFERROR(VLOOKUP(S358,TD!$J$33:$K$43,2,0)," ")</f>
        <v>N/A</v>
      </c>
      <c r="U358" s="54" t="str">
        <f t="shared" si="20"/>
        <v>N/A-N/A</v>
      </c>
      <c r="V358" s="54" t="s">
        <v>567</v>
      </c>
      <c r="W358" s="131" t="str">
        <f>IFERROR(VLOOKUP(V358,TD!$N$33:$O$45,2,0)," ")</f>
        <v>N/A</v>
      </c>
      <c r="X358" s="54" t="str">
        <f t="shared" si="21"/>
        <v>N/A_N/A</v>
      </c>
      <c r="Y358" s="54" t="str">
        <f t="shared" si="22"/>
        <v>N/A-N/A N/A_N/A</v>
      </c>
      <c r="Z358" s="131" t="str">
        <f t="shared" si="23"/>
        <v>NANANAN/AN/A</v>
      </c>
      <c r="AA358" s="131" t="str">
        <f>IFERROR(VLOOKUP(Y358,TD!$K$46:$L$64,2,0)," ")</f>
        <v>N/A</v>
      </c>
      <c r="AB358" s="57" t="s">
        <v>349</v>
      </c>
      <c r="AC358" s="132" t="s">
        <v>206</v>
      </c>
    </row>
    <row r="359" spans="2:29" s="28" customFormat="1" ht="128.25">
      <c r="B359" s="85">
        <v>20241108</v>
      </c>
      <c r="C359" s="53" t="s">
        <v>347</v>
      </c>
      <c r="D359" s="129" t="s">
        <v>167</v>
      </c>
      <c r="E359" s="54" t="s">
        <v>568</v>
      </c>
      <c r="F359" s="129" t="s">
        <v>606</v>
      </c>
      <c r="G359" s="129" t="s">
        <v>97</v>
      </c>
      <c r="H359" s="118" t="s">
        <v>624</v>
      </c>
      <c r="I359" s="130">
        <v>10</v>
      </c>
      <c r="J359" s="130">
        <v>3</v>
      </c>
      <c r="K359" s="56">
        <v>0</v>
      </c>
      <c r="L359" s="57">
        <v>29886690</v>
      </c>
      <c r="M359" s="129" t="s">
        <v>173</v>
      </c>
      <c r="N359" s="57" t="s">
        <v>114</v>
      </c>
      <c r="O359" s="54" t="s">
        <v>348</v>
      </c>
      <c r="P359" s="131" t="str">
        <f>IFERROR(VLOOKUP(C359,TD!$B$32:$F$36,2,0)," ")</f>
        <v>NA</v>
      </c>
      <c r="Q359" s="131" t="str">
        <f>IFERROR(VLOOKUP(C359,TD!$B$32:$F$36,3,0)," ")</f>
        <v>NA</v>
      </c>
      <c r="R359" s="131" t="str">
        <f>IFERROR(VLOOKUP(C359,TD!$B$32:$F$36,4,0)," ")</f>
        <v>NA</v>
      </c>
      <c r="S359" s="54" t="s">
        <v>567</v>
      </c>
      <c r="T359" s="131" t="str">
        <f>IFERROR(VLOOKUP(S359,TD!$J$33:$K$43,2,0)," ")</f>
        <v>N/A</v>
      </c>
      <c r="U359" s="54" t="str">
        <f t="shared" si="20"/>
        <v>N/A-N/A</v>
      </c>
      <c r="V359" s="54" t="s">
        <v>567</v>
      </c>
      <c r="W359" s="131" t="str">
        <f>IFERROR(VLOOKUP(V359,TD!$N$33:$O$45,2,0)," ")</f>
        <v>N/A</v>
      </c>
      <c r="X359" s="54" t="str">
        <f t="shared" si="21"/>
        <v>N/A_N/A</v>
      </c>
      <c r="Y359" s="54" t="str">
        <f t="shared" si="22"/>
        <v>N/A-N/A N/A_N/A</v>
      </c>
      <c r="Z359" s="131" t="str">
        <f t="shared" si="23"/>
        <v>NANANAN/AN/A</v>
      </c>
      <c r="AA359" s="131" t="str">
        <f>IFERROR(VLOOKUP(Y359,TD!$K$46:$L$64,2,0)," ")</f>
        <v>N/A</v>
      </c>
      <c r="AB359" s="57" t="s">
        <v>349</v>
      </c>
      <c r="AC359" s="132" t="s">
        <v>206</v>
      </c>
    </row>
    <row r="360" spans="2:29" s="28" customFormat="1" ht="57">
      <c r="B360" s="85">
        <v>20241109</v>
      </c>
      <c r="C360" s="53" t="s">
        <v>347</v>
      </c>
      <c r="D360" s="129" t="s">
        <v>167</v>
      </c>
      <c r="E360" s="54" t="s">
        <v>568</v>
      </c>
      <c r="F360" s="129" t="s">
        <v>607</v>
      </c>
      <c r="G360" s="129" t="s">
        <v>156</v>
      </c>
      <c r="H360" s="118" t="s">
        <v>612</v>
      </c>
      <c r="I360" s="130">
        <v>8</v>
      </c>
      <c r="J360" s="130">
        <v>5</v>
      </c>
      <c r="K360" s="56">
        <v>0</v>
      </c>
      <c r="L360" s="57">
        <v>21775600</v>
      </c>
      <c r="M360" s="129" t="s">
        <v>173</v>
      </c>
      <c r="N360" s="57" t="s">
        <v>114</v>
      </c>
      <c r="O360" s="54" t="s">
        <v>348</v>
      </c>
      <c r="P360" s="131" t="str">
        <f>IFERROR(VLOOKUP(C360,TD!$B$32:$F$36,2,0)," ")</f>
        <v>NA</v>
      </c>
      <c r="Q360" s="131" t="str">
        <f>IFERROR(VLOOKUP(C360,TD!$B$32:$F$36,3,0)," ")</f>
        <v>NA</v>
      </c>
      <c r="R360" s="131" t="str">
        <f>IFERROR(VLOOKUP(C360,TD!$B$32:$F$36,4,0)," ")</f>
        <v>NA</v>
      </c>
      <c r="S360" s="54" t="s">
        <v>567</v>
      </c>
      <c r="T360" s="131" t="str">
        <f>IFERROR(VLOOKUP(S360,TD!$J$33:$K$43,2,0)," ")</f>
        <v>N/A</v>
      </c>
      <c r="U360" s="54" t="str">
        <f t="shared" si="20"/>
        <v>N/A-N/A</v>
      </c>
      <c r="V360" s="54" t="s">
        <v>567</v>
      </c>
      <c r="W360" s="131" t="str">
        <f>IFERROR(VLOOKUP(V360,TD!$N$33:$O$45,2,0)," ")</f>
        <v>N/A</v>
      </c>
      <c r="X360" s="54" t="str">
        <f t="shared" si="21"/>
        <v>N/A_N/A</v>
      </c>
      <c r="Y360" s="54" t="str">
        <f t="shared" si="22"/>
        <v>N/A-N/A N/A_N/A</v>
      </c>
      <c r="Z360" s="131" t="str">
        <f t="shared" si="23"/>
        <v>NANANAN/AN/A</v>
      </c>
      <c r="AA360" s="131" t="str">
        <f>IFERROR(VLOOKUP(Y360,TD!$K$46:$L$64,2,0)," ")</f>
        <v>N/A</v>
      </c>
      <c r="AB360" s="57" t="s">
        <v>349</v>
      </c>
      <c r="AC360" s="132" t="s">
        <v>205</v>
      </c>
    </row>
    <row r="361" spans="2:29" s="28" customFormat="1" ht="57">
      <c r="B361" s="85">
        <v>20241110</v>
      </c>
      <c r="C361" s="53" t="s">
        <v>347</v>
      </c>
      <c r="D361" s="129" t="s">
        <v>167</v>
      </c>
      <c r="E361" s="54" t="s">
        <v>568</v>
      </c>
      <c r="F361" s="129" t="s">
        <v>607</v>
      </c>
      <c r="G361" s="129" t="s">
        <v>156</v>
      </c>
      <c r="H361" s="118" t="s">
        <v>612</v>
      </c>
      <c r="I361" s="130">
        <v>8</v>
      </c>
      <c r="J361" s="130">
        <v>5</v>
      </c>
      <c r="K361" s="56">
        <v>0</v>
      </c>
      <c r="L361" s="57">
        <v>25452000</v>
      </c>
      <c r="M361" s="129" t="s">
        <v>173</v>
      </c>
      <c r="N361" s="57" t="s">
        <v>114</v>
      </c>
      <c r="O361" s="54" t="s">
        <v>348</v>
      </c>
      <c r="P361" s="131" t="str">
        <f>IFERROR(VLOOKUP(C361,TD!$B$32:$F$36,2,0)," ")</f>
        <v>NA</v>
      </c>
      <c r="Q361" s="131" t="str">
        <f>IFERROR(VLOOKUP(C361,TD!$B$32:$F$36,3,0)," ")</f>
        <v>NA</v>
      </c>
      <c r="R361" s="131" t="str">
        <f>IFERROR(VLOOKUP(C361,TD!$B$32:$F$36,4,0)," ")</f>
        <v>NA</v>
      </c>
      <c r="S361" s="54" t="s">
        <v>567</v>
      </c>
      <c r="T361" s="131" t="str">
        <f>IFERROR(VLOOKUP(S361,TD!$J$33:$K$43,2,0)," ")</f>
        <v>N/A</v>
      </c>
      <c r="U361" s="54" t="str">
        <f t="shared" si="20"/>
        <v>N/A-N/A</v>
      </c>
      <c r="V361" s="54" t="s">
        <v>567</v>
      </c>
      <c r="W361" s="131" t="str">
        <f>IFERROR(VLOOKUP(V361,TD!$N$33:$O$45,2,0)," ")</f>
        <v>N/A</v>
      </c>
      <c r="X361" s="54" t="str">
        <f t="shared" si="21"/>
        <v>N/A_N/A</v>
      </c>
      <c r="Y361" s="54" t="str">
        <f t="shared" si="22"/>
        <v>N/A-N/A N/A_N/A</v>
      </c>
      <c r="Z361" s="131" t="str">
        <f t="shared" si="23"/>
        <v>NANANAN/AN/A</v>
      </c>
      <c r="AA361" s="131" t="str">
        <f>IFERROR(VLOOKUP(Y361,TD!$K$46:$L$64,2,0)," ")</f>
        <v>N/A</v>
      </c>
      <c r="AB361" s="57" t="s">
        <v>349</v>
      </c>
      <c r="AC361" s="132" t="s">
        <v>205</v>
      </c>
    </row>
    <row r="362" spans="2:29" s="28" customFormat="1" ht="71.25">
      <c r="B362" s="85">
        <v>20241111</v>
      </c>
      <c r="C362" s="53" t="s">
        <v>347</v>
      </c>
      <c r="D362" s="129" t="s">
        <v>167</v>
      </c>
      <c r="E362" s="54" t="s">
        <v>568</v>
      </c>
      <c r="F362" s="129" t="s">
        <v>608</v>
      </c>
      <c r="G362" s="129" t="s">
        <v>157</v>
      </c>
      <c r="H362" s="118" t="s">
        <v>612</v>
      </c>
      <c r="I362" s="130">
        <v>8</v>
      </c>
      <c r="J362" s="130">
        <v>5</v>
      </c>
      <c r="K362" s="56">
        <v>0</v>
      </c>
      <c r="L362" s="57">
        <v>18947600</v>
      </c>
      <c r="M362" s="129" t="s">
        <v>173</v>
      </c>
      <c r="N362" s="57" t="s">
        <v>114</v>
      </c>
      <c r="O362" s="54" t="s">
        <v>348</v>
      </c>
      <c r="P362" s="131" t="str">
        <f>IFERROR(VLOOKUP(C362,TD!$B$32:$F$36,2,0)," ")</f>
        <v>NA</v>
      </c>
      <c r="Q362" s="131" t="str">
        <f>IFERROR(VLOOKUP(C362,TD!$B$32:$F$36,3,0)," ")</f>
        <v>NA</v>
      </c>
      <c r="R362" s="131" t="str">
        <f>IFERROR(VLOOKUP(C362,TD!$B$32:$F$36,4,0)," ")</f>
        <v>NA</v>
      </c>
      <c r="S362" s="54" t="s">
        <v>567</v>
      </c>
      <c r="T362" s="131" t="str">
        <f>IFERROR(VLOOKUP(S362,TD!$J$33:$K$43,2,0)," ")</f>
        <v>N/A</v>
      </c>
      <c r="U362" s="54" t="str">
        <f t="shared" si="20"/>
        <v>N/A-N/A</v>
      </c>
      <c r="V362" s="54" t="s">
        <v>567</v>
      </c>
      <c r="W362" s="131" t="str">
        <f>IFERROR(VLOOKUP(V362,TD!$N$33:$O$45,2,0)," ")</f>
        <v>N/A</v>
      </c>
      <c r="X362" s="54" t="str">
        <f t="shared" si="21"/>
        <v>N/A_N/A</v>
      </c>
      <c r="Y362" s="54" t="str">
        <f t="shared" si="22"/>
        <v>N/A-N/A N/A_N/A</v>
      </c>
      <c r="Z362" s="131" t="str">
        <f t="shared" si="23"/>
        <v>NANANAN/AN/A</v>
      </c>
      <c r="AA362" s="131" t="str">
        <f>IFERROR(VLOOKUP(Y362,TD!$K$46:$L$64,2,0)," ")</f>
        <v>N/A</v>
      </c>
      <c r="AB362" s="57" t="s">
        <v>349</v>
      </c>
      <c r="AC362" s="132" t="s">
        <v>205</v>
      </c>
    </row>
    <row r="363" spans="2:29" s="28" customFormat="1" ht="57">
      <c r="B363" s="85">
        <v>20241112</v>
      </c>
      <c r="C363" s="53" t="s">
        <v>347</v>
      </c>
      <c r="D363" s="129" t="s">
        <v>167</v>
      </c>
      <c r="E363" s="54" t="s">
        <v>568</v>
      </c>
      <c r="F363" s="129" t="s">
        <v>588</v>
      </c>
      <c r="G363" s="129" t="s">
        <v>156</v>
      </c>
      <c r="H363" s="118" t="s">
        <v>612</v>
      </c>
      <c r="I363" s="130">
        <v>8</v>
      </c>
      <c r="J363" s="130">
        <v>5</v>
      </c>
      <c r="K363" s="56">
        <v>0</v>
      </c>
      <c r="L363" s="57">
        <v>31108000</v>
      </c>
      <c r="M363" s="129" t="s">
        <v>173</v>
      </c>
      <c r="N363" s="57" t="s">
        <v>114</v>
      </c>
      <c r="O363" s="54" t="s">
        <v>348</v>
      </c>
      <c r="P363" s="131" t="str">
        <f>IFERROR(VLOOKUP(C363,TD!$B$32:$F$36,2,0)," ")</f>
        <v>NA</v>
      </c>
      <c r="Q363" s="131" t="str">
        <f>IFERROR(VLOOKUP(C363,TD!$B$32:$F$36,3,0)," ")</f>
        <v>NA</v>
      </c>
      <c r="R363" s="131" t="str">
        <f>IFERROR(VLOOKUP(C363,TD!$B$32:$F$36,4,0)," ")</f>
        <v>NA</v>
      </c>
      <c r="S363" s="54" t="s">
        <v>567</v>
      </c>
      <c r="T363" s="131" t="str">
        <f>IFERROR(VLOOKUP(S363,TD!$J$33:$K$43,2,0)," ")</f>
        <v>N/A</v>
      </c>
      <c r="U363" s="54" t="str">
        <f t="shared" si="20"/>
        <v>N/A-N/A</v>
      </c>
      <c r="V363" s="54" t="s">
        <v>567</v>
      </c>
      <c r="W363" s="131" t="str">
        <f>IFERROR(VLOOKUP(V363,TD!$N$33:$O$45,2,0)," ")</f>
        <v>N/A</v>
      </c>
      <c r="X363" s="54" t="str">
        <f t="shared" si="21"/>
        <v>N/A_N/A</v>
      </c>
      <c r="Y363" s="54" t="str">
        <f t="shared" si="22"/>
        <v>N/A-N/A N/A_N/A</v>
      </c>
      <c r="Z363" s="131" t="str">
        <f t="shared" si="23"/>
        <v>NANANAN/AN/A</v>
      </c>
      <c r="AA363" s="131" t="str">
        <f>IFERROR(VLOOKUP(Y363,TD!$K$46:$L$64,2,0)," ")</f>
        <v>N/A</v>
      </c>
      <c r="AB363" s="57" t="s">
        <v>349</v>
      </c>
      <c r="AC363" s="132" t="s">
        <v>205</v>
      </c>
    </row>
    <row r="364" spans="2:29" s="28" customFormat="1" ht="42.75">
      <c r="B364" s="85">
        <v>20241113</v>
      </c>
      <c r="C364" s="53" t="s">
        <v>347</v>
      </c>
      <c r="D364" s="129" t="s">
        <v>167</v>
      </c>
      <c r="E364" s="54" t="s">
        <v>568</v>
      </c>
      <c r="F364" s="129" t="s">
        <v>609</v>
      </c>
      <c r="G364" s="129" t="s">
        <v>97</v>
      </c>
      <c r="H364" s="118" t="s">
        <v>625</v>
      </c>
      <c r="I364" s="130">
        <v>9</v>
      </c>
      <c r="J364" s="130">
        <v>5</v>
      </c>
      <c r="K364" s="56">
        <v>0</v>
      </c>
      <c r="L364" s="57">
        <f>55180050-27890100</f>
        <v>27289950</v>
      </c>
      <c r="M364" s="129" t="s">
        <v>173</v>
      </c>
      <c r="N364" s="57" t="s">
        <v>101</v>
      </c>
      <c r="O364" s="54" t="s">
        <v>348</v>
      </c>
      <c r="P364" s="131" t="str">
        <f>IFERROR(VLOOKUP(C364,TD!$B$32:$F$36,2,0)," ")</f>
        <v>NA</v>
      </c>
      <c r="Q364" s="131" t="str">
        <f>IFERROR(VLOOKUP(C364,TD!$B$32:$F$36,3,0)," ")</f>
        <v>NA</v>
      </c>
      <c r="R364" s="131" t="str">
        <f>IFERROR(VLOOKUP(C364,TD!$B$32:$F$36,4,0)," ")</f>
        <v>NA</v>
      </c>
      <c r="S364" s="54" t="s">
        <v>567</v>
      </c>
      <c r="T364" s="131" t="str">
        <f>IFERROR(VLOOKUP(S364,TD!$J$33:$K$43,2,0)," ")</f>
        <v>N/A</v>
      </c>
      <c r="U364" s="54" t="str">
        <f t="shared" si="20"/>
        <v>N/A-N/A</v>
      </c>
      <c r="V364" s="54" t="s">
        <v>567</v>
      </c>
      <c r="W364" s="131" t="str">
        <f>IFERROR(VLOOKUP(V364,TD!$N$33:$O$45,2,0)," ")</f>
        <v>N/A</v>
      </c>
      <c r="X364" s="54" t="str">
        <f t="shared" si="21"/>
        <v>N/A_N/A</v>
      </c>
      <c r="Y364" s="54" t="str">
        <f t="shared" si="22"/>
        <v>N/A-N/A N/A_N/A</v>
      </c>
      <c r="Z364" s="131" t="str">
        <f t="shared" si="23"/>
        <v>NANANAN/AN/A</v>
      </c>
      <c r="AA364" s="131" t="str">
        <f>IFERROR(VLOOKUP(Y364,TD!$K$46:$L$64,2,0)," ")</f>
        <v>N/A</v>
      </c>
      <c r="AB364" s="57" t="s">
        <v>349</v>
      </c>
      <c r="AC364" s="132" t="s">
        <v>205</v>
      </c>
    </row>
    <row r="365" spans="2:29" s="28" customFormat="1" ht="57">
      <c r="B365" s="85">
        <v>20241114</v>
      </c>
      <c r="C365" s="53" t="s">
        <v>347</v>
      </c>
      <c r="D365" s="129" t="s">
        <v>167</v>
      </c>
      <c r="E365" s="54" t="s">
        <v>568</v>
      </c>
      <c r="F365" s="129" t="s">
        <v>610</v>
      </c>
      <c r="G365" s="129" t="s">
        <v>97</v>
      </c>
      <c r="H365" s="118" t="s">
        <v>626</v>
      </c>
      <c r="I365" s="130">
        <v>10</v>
      </c>
      <c r="J365" s="130">
        <v>2</v>
      </c>
      <c r="K365" s="56">
        <v>0</v>
      </c>
      <c r="L365" s="57">
        <v>38000000</v>
      </c>
      <c r="M365" s="129" t="s">
        <v>173</v>
      </c>
      <c r="N365" s="57" t="s">
        <v>91</v>
      </c>
      <c r="O365" s="54" t="s">
        <v>348</v>
      </c>
      <c r="P365" s="131" t="str">
        <f>IFERROR(VLOOKUP(C365,TD!$B$32:$F$36,2,0)," ")</f>
        <v>NA</v>
      </c>
      <c r="Q365" s="131" t="str">
        <f>IFERROR(VLOOKUP(C365,TD!$B$32:$F$36,3,0)," ")</f>
        <v>NA</v>
      </c>
      <c r="R365" s="131" t="str">
        <f>IFERROR(VLOOKUP(C365,TD!$B$32:$F$36,4,0)," ")</f>
        <v>NA</v>
      </c>
      <c r="S365" s="54" t="s">
        <v>567</v>
      </c>
      <c r="T365" s="131" t="str">
        <f>IFERROR(VLOOKUP(S365,TD!$J$33:$K$43,2,0)," ")</f>
        <v>N/A</v>
      </c>
      <c r="U365" s="54" t="str">
        <f t="shared" si="20"/>
        <v>N/A-N/A</v>
      </c>
      <c r="V365" s="54" t="s">
        <v>567</v>
      </c>
      <c r="W365" s="131" t="str">
        <f>IFERROR(VLOOKUP(V365,TD!$N$33:$O$45,2,0)," ")</f>
        <v>N/A</v>
      </c>
      <c r="X365" s="54" t="str">
        <f t="shared" si="21"/>
        <v>N/A_N/A</v>
      </c>
      <c r="Y365" s="54" t="str">
        <f t="shared" si="22"/>
        <v>N/A-N/A N/A_N/A</v>
      </c>
      <c r="Z365" s="131" t="str">
        <f t="shared" si="23"/>
        <v>NANANAN/AN/A</v>
      </c>
      <c r="AA365" s="131" t="str">
        <f>IFERROR(VLOOKUP(Y365,TD!$K$46:$L$64,2,0)," ")</f>
        <v>N/A</v>
      </c>
      <c r="AB365" s="57" t="s">
        <v>349</v>
      </c>
      <c r="AC365" s="132" t="s">
        <v>206</v>
      </c>
    </row>
    <row r="366" spans="2:29" s="28" customFormat="1" ht="71.25">
      <c r="B366" s="85">
        <v>20241115</v>
      </c>
      <c r="C366" s="53" t="s">
        <v>210</v>
      </c>
      <c r="D366" s="129" t="s">
        <v>169</v>
      </c>
      <c r="E366" s="54" t="s">
        <v>423</v>
      </c>
      <c r="F366" s="129" t="s">
        <v>728</v>
      </c>
      <c r="G366" s="129" t="s">
        <v>156</v>
      </c>
      <c r="H366" s="117">
        <v>80111600</v>
      </c>
      <c r="I366" s="130">
        <v>8</v>
      </c>
      <c r="J366" s="130">
        <v>3</v>
      </c>
      <c r="K366" s="56">
        <v>0</v>
      </c>
      <c r="L366" s="57">
        <v>12660000</v>
      </c>
      <c r="M366" s="129" t="s">
        <v>173</v>
      </c>
      <c r="N366" s="57" t="s">
        <v>114</v>
      </c>
      <c r="O366" s="54" t="s">
        <v>225</v>
      </c>
      <c r="P366" s="131" t="str">
        <f>IFERROR(VLOOKUP(C366,TD!$B$32:$F$36,2,0)," ")</f>
        <v>O230117</v>
      </c>
      <c r="Q366" s="131" t="str">
        <f>IFERROR(VLOOKUP(C366,TD!$B$32:$F$36,3,0)," ")</f>
        <v>4503</v>
      </c>
      <c r="R366" s="131">
        <f>IFERROR(VLOOKUP(C366,TD!$B$32:$F$36,4,0)," ")</f>
        <v>20240255</v>
      </c>
      <c r="S366" s="54" t="s">
        <v>188</v>
      </c>
      <c r="T366" s="131" t="str">
        <f>IFERROR(VLOOKUP(S366,TD!$J$33:$K$43,2,0)," ")</f>
        <v>Servicio de mantenimiento, dotación (HEA´s y equipo menor) y adquisición de vehiculos   especializados para la atención de emergencias.</v>
      </c>
      <c r="U366" s="54" t="str">
        <f t="shared" si="20"/>
        <v>09-Servicio de mantenimiento, dotación (HEA´s y equipo menor) y adquisición de vehiculos   especializados para la atención de emergencias.</v>
      </c>
      <c r="V366" s="54" t="s">
        <v>233</v>
      </c>
      <c r="W366" s="131" t="str">
        <f>IFERROR(VLOOKUP(V366,TD!$N$33:$O$45,2,0)," ")</f>
        <v>Servicio de atención a emergencias y desastres</v>
      </c>
      <c r="X366" s="54" t="str">
        <f t="shared" si="21"/>
        <v>004_Servicio de atención a emergencias y desastres</v>
      </c>
      <c r="Y366" s="54" t="str">
        <f t="shared" si="22"/>
        <v>09-Servicio de mantenimiento, dotación (HEA´s y equipo menor) y adquisición de vehiculos   especializados para la atención de emergencias. 004_Servicio de atención a emergencias y desastres</v>
      </c>
      <c r="Z366" s="131" t="str">
        <f t="shared" si="23"/>
        <v>O23011745032024025509004</v>
      </c>
      <c r="AA366" s="131" t="str">
        <f>IFERROR(VLOOKUP(Y366,TD!$K$46:$L$64,2,0)," ")</f>
        <v>PM/0131/0109/45030040255</v>
      </c>
      <c r="AB366" s="57" t="s">
        <v>139</v>
      </c>
      <c r="AC366" s="132" t="s">
        <v>205</v>
      </c>
    </row>
    <row r="367" spans="2:29" s="28" customFormat="1" ht="42.75">
      <c r="B367" s="85">
        <v>20241116</v>
      </c>
      <c r="C367" s="53" t="s">
        <v>209</v>
      </c>
      <c r="D367" s="129" t="s">
        <v>163</v>
      </c>
      <c r="E367" s="54" t="s">
        <v>364</v>
      </c>
      <c r="F367" s="129" t="s">
        <v>629</v>
      </c>
      <c r="G367" s="129" t="s">
        <v>155</v>
      </c>
      <c r="H367" s="117" t="s">
        <v>670</v>
      </c>
      <c r="I367" s="130">
        <v>10</v>
      </c>
      <c r="J367" s="130">
        <v>7</v>
      </c>
      <c r="K367" s="56">
        <v>0</v>
      </c>
      <c r="L367" s="57">
        <f>40000000+31795333+4833492-12855658-20000000</f>
        <v>43773167</v>
      </c>
      <c r="M367" s="129" t="s">
        <v>173</v>
      </c>
      <c r="N367" s="57" t="s">
        <v>101</v>
      </c>
      <c r="O367" s="54" t="s">
        <v>217</v>
      </c>
      <c r="P367" s="131" t="str">
        <f>IFERROR(VLOOKUP(C367,TD!$B$32:$F$36,2,0)," ")</f>
        <v>O230117</v>
      </c>
      <c r="Q367" s="131" t="str">
        <f>IFERROR(VLOOKUP(C367,TD!$B$32:$F$36,3,0)," ")</f>
        <v>4599</v>
      </c>
      <c r="R367" s="131">
        <f>IFERROR(VLOOKUP(C367,TD!$B$32:$F$36,4,0)," ")</f>
        <v>20240207</v>
      </c>
      <c r="S367" s="54" t="s">
        <v>180</v>
      </c>
      <c r="T367" s="131" t="str">
        <f>IFERROR(VLOOKUP(S367,TD!$J$33:$K$43,2,0)," ")</f>
        <v>Infraestructura Tecnológica   (Sistemas de Información y Tecnologia)</v>
      </c>
      <c r="U367" s="54" t="str">
        <f t="shared" si="20"/>
        <v>11-Infraestructura Tecnológica   (Sistemas de Información y Tecnologia)</v>
      </c>
      <c r="V367" s="54" t="s">
        <v>240</v>
      </c>
      <c r="W367" s="131" t="str">
        <f>IFERROR(VLOOKUP(V367,TD!$N$33:$O$45,2,0)," ")</f>
        <v>Servicios tecnológicos</v>
      </c>
      <c r="X367" s="54" t="str">
        <f t="shared" si="21"/>
        <v>007_Servicios tecnológicos</v>
      </c>
      <c r="Y367" s="54" t="str">
        <f t="shared" si="22"/>
        <v>11-Infraestructura Tecnológica   (Sistemas de Información y Tecnologia) 007_Servicios tecnológicos</v>
      </c>
      <c r="Z367" s="131" t="str">
        <f t="shared" si="23"/>
        <v>O23011745992024020711007</v>
      </c>
      <c r="AA367" s="131" t="str">
        <f>IFERROR(VLOOKUP(Y367,TD!$K$46:$L$64,2,0)," ")</f>
        <v>PM/0131/0111/45990070207</v>
      </c>
      <c r="AB367" s="57" t="s">
        <v>126</v>
      </c>
      <c r="AC367" s="132" t="s">
        <v>205</v>
      </c>
    </row>
    <row r="368" spans="2:29" s="28" customFormat="1" ht="42.75">
      <c r="B368" s="85">
        <v>20241117</v>
      </c>
      <c r="C368" s="53" t="s">
        <v>209</v>
      </c>
      <c r="D368" s="129" t="s">
        <v>163</v>
      </c>
      <c r="E368" s="54" t="s">
        <v>364</v>
      </c>
      <c r="F368" s="129" t="s">
        <v>630</v>
      </c>
      <c r="G368" s="129" t="s">
        <v>155</v>
      </c>
      <c r="H368" s="117" t="s">
        <v>671</v>
      </c>
      <c r="I368" s="130">
        <v>9</v>
      </c>
      <c r="J368" s="130">
        <v>7</v>
      </c>
      <c r="K368" s="56">
        <v>0</v>
      </c>
      <c r="L368" s="57">
        <f>10000000-10000000</f>
        <v>0</v>
      </c>
      <c r="M368" s="129" t="s">
        <v>173</v>
      </c>
      <c r="N368" s="57" t="s">
        <v>101</v>
      </c>
      <c r="O368" s="54" t="s">
        <v>216</v>
      </c>
      <c r="P368" s="131" t="str">
        <f>IFERROR(VLOOKUP(C368,TD!$B$32:$F$36,2,0)," ")</f>
        <v>O230117</v>
      </c>
      <c r="Q368" s="131" t="str">
        <f>IFERROR(VLOOKUP(C368,TD!$B$32:$F$36,3,0)," ")</f>
        <v>4599</v>
      </c>
      <c r="R368" s="131">
        <f>IFERROR(VLOOKUP(C368,TD!$B$32:$F$36,4,0)," ")</f>
        <v>20240207</v>
      </c>
      <c r="S368" s="54" t="s">
        <v>180</v>
      </c>
      <c r="T368" s="131" t="str">
        <f>IFERROR(VLOOKUP(S368,TD!$J$33:$K$43,2,0)," ")</f>
        <v>Infraestructura Tecnológica   (Sistemas de Información y Tecnologia)</v>
      </c>
      <c r="U368" s="54" t="str">
        <f t="shared" si="20"/>
        <v>11-Infraestructura Tecnológica   (Sistemas de Información y Tecnologia)</v>
      </c>
      <c r="V368" s="54" t="s">
        <v>240</v>
      </c>
      <c r="W368" s="131" t="str">
        <f>IFERROR(VLOOKUP(V368,TD!$N$33:$O$45,2,0)," ")</f>
        <v>Servicios tecnológicos</v>
      </c>
      <c r="X368" s="54" t="str">
        <f t="shared" si="21"/>
        <v>007_Servicios tecnológicos</v>
      </c>
      <c r="Y368" s="54" t="str">
        <f t="shared" si="22"/>
        <v>11-Infraestructura Tecnológica   (Sistemas de Información y Tecnologia) 007_Servicios tecnológicos</v>
      </c>
      <c r="Z368" s="131" t="str">
        <f t="shared" si="23"/>
        <v>O23011745992024020711007</v>
      </c>
      <c r="AA368" s="131" t="str">
        <f>IFERROR(VLOOKUP(Y368,TD!$K$46:$L$64,2,0)," ")</f>
        <v>PM/0131/0111/45990070207</v>
      </c>
      <c r="AB368" s="57" t="s">
        <v>126</v>
      </c>
      <c r="AC368" s="132" t="s">
        <v>205</v>
      </c>
    </row>
    <row r="369" spans="2:29" s="28" customFormat="1" ht="71.25">
      <c r="B369" s="85">
        <v>20241118</v>
      </c>
      <c r="C369" s="53" t="s">
        <v>209</v>
      </c>
      <c r="D369" s="129" t="s">
        <v>163</v>
      </c>
      <c r="E369" s="54" t="s">
        <v>364</v>
      </c>
      <c r="F369" s="129" t="s">
        <v>631</v>
      </c>
      <c r="G369" s="129" t="s">
        <v>153</v>
      </c>
      <c r="H369" s="117" t="s">
        <v>672</v>
      </c>
      <c r="I369" s="130">
        <v>10</v>
      </c>
      <c r="J369" s="130">
        <v>2</v>
      </c>
      <c r="K369" s="56">
        <v>0</v>
      </c>
      <c r="L369" s="57">
        <f>20503732-15503732-5000000</f>
        <v>0</v>
      </c>
      <c r="M369" s="129" t="s">
        <v>173</v>
      </c>
      <c r="N369" s="57" t="s">
        <v>96</v>
      </c>
      <c r="O369" s="54" t="s">
        <v>218</v>
      </c>
      <c r="P369" s="131" t="str">
        <f>IFERROR(VLOOKUP(C369,TD!$B$32:$F$36,2,0)," ")</f>
        <v>O230117</v>
      </c>
      <c r="Q369" s="131" t="str">
        <f>IFERROR(VLOOKUP(C369,TD!$B$32:$F$36,3,0)," ")</f>
        <v>4599</v>
      </c>
      <c r="R369" s="131">
        <f>IFERROR(VLOOKUP(C369,TD!$B$32:$F$36,4,0)," ")</f>
        <v>20240207</v>
      </c>
      <c r="S369" s="54" t="s">
        <v>180</v>
      </c>
      <c r="T369" s="131" t="str">
        <f>IFERROR(VLOOKUP(S369,TD!$J$33:$K$43,2,0)," ")</f>
        <v>Infraestructura Tecnológica   (Sistemas de Información y Tecnologia)</v>
      </c>
      <c r="U369" s="54" t="str">
        <f t="shared" si="20"/>
        <v>11-Infraestructura Tecnológica   (Sistemas de Información y Tecnologia)</v>
      </c>
      <c r="V369" s="54" t="s">
        <v>240</v>
      </c>
      <c r="W369" s="131" t="str">
        <f>IFERROR(VLOOKUP(V369,TD!$N$33:$O$45,2,0)," ")</f>
        <v>Servicios tecnológicos</v>
      </c>
      <c r="X369" s="54" t="str">
        <f t="shared" si="21"/>
        <v>007_Servicios tecnológicos</v>
      </c>
      <c r="Y369" s="54" t="str">
        <f t="shared" si="22"/>
        <v>11-Infraestructura Tecnológica   (Sistemas de Información y Tecnologia) 007_Servicios tecnológicos</v>
      </c>
      <c r="Z369" s="131" t="str">
        <f t="shared" si="23"/>
        <v>O23011745992024020711007</v>
      </c>
      <c r="AA369" s="131" t="str">
        <f>IFERROR(VLOOKUP(Y369,TD!$K$46:$L$64,2,0)," ")</f>
        <v>PM/0131/0111/45990070207</v>
      </c>
      <c r="AB369" s="57" t="s">
        <v>126</v>
      </c>
      <c r="AC369" s="132" t="s">
        <v>206</v>
      </c>
    </row>
    <row r="370" spans="2:29" s="28" customFormat="1" ht="71.25">
      <c r="B370" s="85">
        <v>20241119</v>
      </c>
      <c r="C370" s="53" t="s">
        <v>209</v>
      </c>
      <c r="D370" s="129" t="s">
        <v>169</v>
      </c>
      <c r="E370" s="54" t="s">
        <v>423</v>
      </c>
      <c r="F370" s="129" t="s">
        <v>729</v>
      </c>
      <c r="G370" s="129" t="s">
        <v>156</v>
      </c>
      <c r="H370" s="117">
        <v>80111600</v>
      </c>
      <c r="I370" s="130">
        <v>8</v>
      </c>
      <c r="J370" s="130">
        <v>4</v>
      </c>
      <c r="K370" s="56">
        <v>0</v>
      </c>
      <c r="L370" s="57">
        <v>24000000</v>
      </c>
      <c r="M370" s="129" t="s">
        <v>173</v>
      </c>
      <c r="N370" s="57" t="s">
        <v>114</v>
      </c>
      <c r="O370" s="54" t="s">
        <v>212</v>
      </c>
      <c r="P370" s="131" t="str">
        <f>IFERROR(VLOOKUP(C370,TD!$B$32:$F$36,2,0)," ")</f>
        <v>O230117</v>
      </c>
      <c r="Q370" s="131" t="str">
        <f>IFERROR(VLOOKUP(C370,TD!$B$32:$F$36,3,0)," ")</f>
        <v>4599</v>
      </c>
      <c r="R370" s="131">
        <f>IFERROR(VLOOKUP(C370,TD!$B$32:$F$36,4,0)," ")</f>
        <v>20240207</v>
      </c>
      <c r="S370" s="54" t="s">
        <v>194</v>
      </c>
      <c r="T370" s="131" t="str">
        <f>IFERROR(VLOOKUP(S370,TD!$J$33:$K$43,2,0)," ")</f>
        <v>Servicios para la planeación y sistemas de gestión y comunicación estratégica</v>
      </c>
      <c r="U370" s="54" t="str">
        <f t="shared" si="20"/>
        <v>13-Servicios para la planeación y sistemas de gestión y comunicación estratégica</v>
      </c>
      <c r="V370" s="54" t="s">
        <v>241</v>
      </c>
      <c r="W370" s="131" t="str">
        <f>IFERROR(VLOOKUP(V370,TD!$N$33:$O$45,2,0)," ")</f>
        <v>Servicio de asistencia técnica</v>
      </c>
      <c r="X370" s="54" t="str">
        <f t="shared" si="21"/>
        <v>031_Servicio de asistencia técnica</v>
      </c>
      <c r="Y370" s="54" t="str">
        <f t="shared" si="22"/>
        <v>13-Servicios para la planeación y sistemas de gestión y comunicación estratégica 031_Servicio de asistencia técnica</v>
      </c>
      <c r="Z370" s="131" t="str">
        <f t="shared" si="23"/>
        <v>O23011745992024020713031</v>
      </c>
      <c r="AA370" s="131" t="str">
        <f>IFERROR(VLOOKUP(Y370,TD!$K$46:$L$64,2,0)," ")</f>
        <v>PM/0131/0113/45990310207</v>
      </c>
      <c r="AB370" s="57" t="s">
        <v>139</v>
      </c>
      <c r="AC370" s="132" t="s">
        <v>205</v>
      </c>
    </row>
    <row r="371" spans="2:29" s="28" customFormat="1" ht="57">
      <c r="B371" s="85">
        <v>20241120</v>
      </c>
      <c r="C371" s="53" t="s">
        <v>209</v>
      </c>
      <c r="D371" s="129" t="s">
        <v>163</v>
      </c>
      <c r="E371" s="54" t="s">
        <v>364</v>
      </c>
      <c r="F371" s="129" t="s">
        <v>633</v>
      </c>
      <c r="G371" s="129" t="s">
        <v>154</v>
      </c>
      <c r="H371" s="117">
        <v>81112401</v>
      </c>
      <c r="I371" s="130">
        <v>12</v>
      </c>
      <c r="J371" s="130">
        <v>3</v>
      </c>
      <c r="K371" s="56">
        <v>0</v>
      </c>
      <c r="L371" s="57">
        <f>35000000-35000000</f>
        <v>0</v>
      </c>
      <c r="M371" s="129" t="s">
        <v>173</v>
      </c>
      <c r="N371" s="57" t="s">
        <v>124</v>
      </c>
      <c r="O371" s="54" t="s">
        <v>216</v>
      </c>
      <c r="P371" s="131" t="str">
        <f>IFERROR(VLOOKUP(C371,TD!$B$32:$F$36,2,0)," ")</f>
        <v>O230117</v>
      </c>
      <c r="Q371" s="131" t="str">
        <f>IFERROR(VLOOKUP(C371,TD!$B$32:$F$36,3,0)," ")</f>
        <v>4599</v>
      </c>
      <c r="R371" s="131">
        <f>IFERROR(VLOOKUP(C371,TD!$B$32:$F$36,4,0)," ")</f>
        <v>20240207</v>
      </c>
      <c r="S371" s="54" t="s">
        <v>180</v>
      </c>
      <c r="T371" s="131" t="str">
        <f>IFERROR(VLOOKUP(S371,TD!$J$33:$K$43,2,0)," ")</f>
        <v>Infraestructura Tecnológica   (Sistemas de Información y Tecnologia)</v>
      </c>
      <c r="U371" s="54" t="str">
        <f t="shared" si="20"/>
        <v>11-Infraestructura Tecnológica   (Sistemas de Información y Tecnologia)</v>
      </c>
      <c r="V371" s="54" t="s">
        <v>240</v>
      </c>
      <c r="W371" s="131" t="str">
        <f>IFERROR(VLOOKUP(V371,TD!$N$33:$O$45,2,0)," ")</f>
        <v>Servicios tecnológicos</v>
      </c>
      <c r="X371" s="54" t="str">
        <f t="shared" si="21"/>
        <v>007_Servicios tecnológicos</v>
      </c>
      <c r="Y371" s="54" t="str">
        <f t="shared" si="22"/>
        <v>11-Infraestructura Tecnológica   (Sistemas de Información y Tecnologia) 007_Servicios tecnológicos</v>
      </c>
      <c r="Z371" s="131" t="str">
        <f t="shared" si="23"/>
        <v>O23011745992024020711007</v>
      </c>
      <c r="AA371" s="131" t="str">
        <f>IFERROR(VLOOKUP(Y371,TD!$K$46:$L$64,2,0)," ")</f>
        <v>PM/0131/0111/45990070207</v>
      </c>
      <c r="AB371" s="57" t="s">
        <v>131</v>
      </c>
      <c r="AC371" s="132" t="s">
        <v>206</v>
      </c>
    </row>
    <row r="372" spans="2:29" s="28" customFormat="1" ht="57">
      <c r="B372" s="85">
        <v>20241121</v>
      </c>
      <c r="C372" s="53" t="s">
        <v>209</v>
      </c>
      <c r="D372" s="129" t="s">
        <v>163</v>
      </c>
      <c r="E372" s="54" t="s">
        <v>364</v>
      </c>
      <c r="F372" s="129" t="s">
        <v>634</v>
      </c>
      <c r="G372" s="129" t="s">
        <v>140</v>
      </c>
      <c r="H372" s="117" t="s">
        <v>673</v>
      </c>
      <c r="I372" s="130">
        <v>11</v>
      </c>
      <c r="J372" s="130">
        <v>3</v>
      </c>
      <c r="K372" s="56">
        <v>15</v>
      </c>
      <c r="L372" s="57">
        <f>38336572+11663428-50000000</f>
        <v>0</v>
      </c>
      <c r="M372" s="129" t="s">
        <v>173</v>
      </c>
      <c r="N372" s="57" t="s">
        <v>114</v>
      </c>
      <c r="O372" s="54" t="s">
        <v>215</v>
      </c>
      <c r="P372" s="131" t="str">
        <f>IFERROR(VLOOKUP(C372,TD!$B$32:$F$36,2,0)," ")</f>
        <v>O230117</v>
      </c>
      <c r="Q372" s="131" t="str">
        <f>IFERROR(VLOOKUP(C372,TD!$B$32:$F$36,3,0)," ")</f>
        <v>4599</v>
      </c>
      <c r="R372" s="131">
        <f>IFERROR(VLOOKUP(C372,TD!$B$32:$F$36,4,0)," ")</f>
        <v>20240207</v>
      </c>
      <c r="S372" s="54" t="s">
        <v>180</v>
      </c>
      <c r="T372" s="131" t="str">
        <f>IFERROR(VLOOKUP(S372,TD!$J$33:$K$43,2,0)," ")</f>
        <v>Infraestructura Tecnológica   (Sistemas de Información y Tecnologia)</v>
      </c>
      <c r="U372" s="54" t="str">
        <f t="shared" si="20"/>
        <v>11-Infraestructura Tecnológica   (Sistemas de Información y Tecnologia)</v>
      </c>
      <c r="V372" s="54" t="s">
        <v>240</v>
      </c>
      <c r="W372" s="131" t="str">
        <f>IFERROR(VLOOKUP(V372,TD!$N$33:$O$45,2,0)," ")</f>
        <v>Servicios tecnológicos</v>
      </c>
      <c r="X372" s="54" t="str">
        <f t="shared" si="21"/>
        <v>007_Servicios tecnológicos</v>
      </c>
      <c r="Y372" s="54" t="str">
        <f t="shared" si="22"/>
        <v>11-Infraestructura Tecnológica   (Sistemas de Información y Tecnologia) 007_Servicios tecnológicos</v>
      </c>
      <c r="Z372" s="131" t="str">
        <f t="shared" si="23"/>
        <v>O23011745992024020711007</v>
      </c>
      <c r="AA372" s="131" t="str">
        <f>IFERROR(VLOOKUP(Y372,TD!$K$46:$L$64,2,0)," ")</f>
        <v>PM/0131/0111/45990070207</v>
      </c>
      <c r="AB372" s="57" t="s">
        <v>126</v>
      </c>
      <c r="AC372" s="132" t="s">
        <v>206</v>
      </c>
    </row>
    <row r="373" spans="2:29" s="28" customFormat="1" ht="42.75">
      <c r="B373" s="85">
        <v>20241122</v>
      </c>
      <c r="C373" s="53" t="s">
        <v>209</v>
      </c>
      <c r="D373" s="129" t="s">
        <v>163</v>
      </c>
      <c r="E373" s="54" t="s">
        <v>364</v>
      </c>
      <c r="F373" s="129" t="s">
        <v>635</v>
      </c>
      <c r="G373" s="129" t="s">
        <v>155</v>
      </c>
      <c r="H373" s="117">
        <v>46171619</v>
      </c>
      <c r="I373" s="130">
        <v>10</v>
      </c>
      <c r="J373" s="130">
        <v>7</v>
      </c>
      <c r="K373" s="56">
        <v>0</v>
      </c>
      <c r="L373" s="57">
        <f>32000000-32000000</f>
        <v>0</v>
      </c>
      <c r="M373" s="129" t="s">
        <v>173</v>
      </c>
      <c r="N373" s="57" t="s">
        <v>101</v>
      </c>
      <c r="O373" s="54" t="s">
        <v>215</v>
      </c>
      <c r="P373" s="131" t="str">
        <f>IFERROR(VLOOKUP(C373,TD!$B$32:$F$36,2,0)," ")</f>
        <v>O230117</v>
      </c>
      <c r="Q373" s="131" t="str">
        <f>IFERROR(VLOOKUP(C373,TD!$B$32:$F$36,3,0)," ")</f>
        <v>4599</v>
      </c>
      <c r="R373" s="131">
        <f>IFERROR(VLOOKUP(C373,TD!$B$32:$F$36,4,0)," ")</f>
        <v>20240207</v>
      </c>
      <c r="S373" s="54" t="s">
        <v>180</v>
      </c>
      <c r="T373" s="131" t="str">
        <f>IFERROR(VLOOKUP(S373,TD!$J$33:$K$43,2,0)," ")</f>
        <v>Infraestructura Tecnológica   (Sistemas de Información y Tecnologia)</v>
      </c>
      <c r="U373" s="54" t="str">
        <f t="shared" si="20"/>
        <v>11-Infraestructura Tecnológica   (Sistemas de Información y Tecnologia)</v>
      </c>
      <c r="V373" s="54" t="s">
        <v>240</v>
      </c>
      <c r="W373" s="131" t="str">
        <f>IFERROR(VLOOKUP(V373,TD!$N$33:$O$45,2,0)," ")</f>
        <v>Servicios tecnológicos</v>
      </c>
      <c r="X373" s="54" t="str">
        <f t="shared" si="21"/>
        <v>007_Servicios tecnológicos</v>
      </c>
      <c r="Y373" s="54" t="str">
        <f t="shared" si="22"/>
        <v>11-Infraestructura Tecnológica   (Sistemas de Información y Tecnologia) 007_Servicios tecnológicos</v>
      </c>
      <c r="Z373" s="131" t="str">
        <f t="shared" si="23"/>
        <v>O23011745992024020711007</v>
      </c>
      <c r="AA373" s="131" t="str">
        <f>IFERROR(VLOOKUP(Y373,TD!$K$46:$L$64,2,0)," ")</f>
        <v>PM/0131/0111/45990070207</v>
      </c>
      <c r="AB373" s="57" t="s">
        <v>126</v>
      </c>
      <c r="AC373" s="132" t="s">
        <v>205</v>
      </c>
    </row>
    <row r="374" spans="2:29" s="28" customFormat="1" ht="42.75">
      <c r="B374" s="85">
        <v>20241123</v>
      </c>
      <c r="C374" s="53" t="s">
        <v>209</v>
      </c>
      <c r="D374" s="129" t="s">
        <v>163</v>
      </c>
      <c r="E374" s="54" t="s">
        <v>364</v>
      </c>
      <c r="F374" s="129" t="s">
        <v>636</v>
      </c>
      <c r="G374" s="129" t="s">
        <v>155</v>
      </c>
      <c r="H374" s="117">
        <v>81112006</v>
      </c>
      <c r="I374" s="130">
        <v>10</v>
      </c>
      <c r="J374" s="130">
        <v>12</v>
      </c>
      <c r="K374" s="56">
        <v>0</v>
      </c>
      <c r="L374" s="57">
        <f>20000000-10000000-10000000</f>
        <v>0</v>
      </c>
      <c r="M374" s="129" t="s">
        <v>173</v>
      </c>
      <c r="N374" s="57" t="s">
        <v>124</v>
      </c>
      <c r="O374" s="54" t="s">
        <v>215</v>
      </c>
      <c r="P374" s="131" t="str">
        <f>IFERROR(VLOOKUP(C374,TD!$B$32:$F$36,2,0)," ")</f>
        <v>O230117</v>
      </c>
      <c r="Q374" s="131" t="str">
        <f>IFERROR(VLOOKUP(C374,TD!$B$32:$F$36,3,0)," ")</f>
        <v>4599</v>
      </c>
      <c r="R374" s="131">
        <f>IFERROR(VLOOKUP(C374,TD!$B$32:$F$36,4,0)," ")</f>
        <v>20240207</v>
      </c>
      <c r="S374" s="54" t="s">
        <v>180</v>
      </c>
      <c r="T374" s="131" t="str">
        <f>IFERROR(VLOOKUP(S374,TD!$J$33:$K$43,2,0)," ")</f>
        <v>Infraestructura Tecnológica   (Sistemas de Información y Tecnologia)</v>
      </c>
      <c r="U374" s="54" t="str">
        <f t="shared" si="20"/>
        <v>11-Infraestructura Tecnológica   (Sistemas de Información y Tecnologia)</v>
      </c>
      <c r="V374" s="54" t="s">
        <v>240</v>
      </c>
      <c r="W374" s="131" t="str">
        <f>IFERROR(VLOOKUP(V374,TD!$N$33:$O$45,2,0)," ")</f>
        <v>Servicios tecnológicos</v>
      </c>
      <c r="X374" s="54" t="str">
        <f t="shared" si="21"/>
        <v>007_Servicios tecnológicos</v>
      </c>
      <c r="Y374" s="54" t="str">
        <f t="shared" si="22"/>
        <v>11-Infraestructura Tecnológica   (Sistemas de Información y Tecnologia) 007_Servicios tecnológicos</v>
      </c>
      <c r="Z374" s="131" t="str">
        <f t="shared" si="23"/>
        <v>O23011745992024020711007</v>
      </c>
      <c r="AA374" s="131" t="str">
        <f>IFERROR(VLOOKUP(Y374,TD!$K$46:$L$64,2,0)," ")</f>
        <v>PM/0131/0111/45990070207</v>
      </c>
      <c r="AB374" s="57" t="s">
        <v>126</v>
      </c>
      <c r="AC374" s="132" t="s">
        <v>205</v>
      </c>
    </row>
    <row r="375" spans="2:29" s="28" customFormat="1" ht="71.25">
      <c r="B375" s="85">
        <v>20241124</v>
      </c>
      <c r="C375" s="53" t="s">
        <v>209</v>
      </c>
      <c r="D375" s="129" t="s">
        <v>169</v>
      </c>
      <c r="E375" s="54" t="s">
        <v>423</v>
      </c>
      <c r="F375" s="129" t="s">
        <v>730</v>
      </c>
      <c r="G375" s="129" t="s">
        <v>156</v>
      </c>
      <c r="H375" s="117">
        <v>80111600</v>
      </c>
      <c r="I375" s="130">
        <v>8</v>
      </c>
      <c r="J375" s="130">
        <v>3</v>
      </c>
      <c r="K375" s="56">
        <v>0</v>
      </c>
      <c r="L375" s="57">
        <v>16500000</v>
      </c>
      <c r="M375" s="129" t="s">
        <v>173</v>
      </c>
      <c r="N375" s="57" t="s">
        <v>114</v>
      </c>
      <c r="O375" s="54" t="s">
        <v>212</v>
      </c>
      <c r="P375" s="131" t="str">
        <f>IFERROR(VLOOKUP(C375,TD!$B$32:$F$36,2,0)," ")</f>
        <v>O230117</v>
      </c>
      <c r="Q375" s="131" t="str">
        <f>IFERROR(VLOOKUP(C375,TD!$B$32:$F$36,3,0)," ")</f>
        <v>4599</v>
      </c>
      <c r="R375" s="131">
        <f>IFERROR(VLOOKUP(C375,TD!$B$32:$F$36,4,0)," ")</f>
        <v>20240207</v>
      </c>
      <c r="S375" s="54" t="s">
        <v>194</v>
      </c>
      <c r="T375" s="131" t="str">
        <f>IFERROR(VLOOKUP(S375,TD!$J$33:$K$43,2,0)," ")</f>
        <v>Servicios para la planeación y sistemas de gestión y comunicación estratégica</v>
      </c>
      <c r="U375" s="54" t="str">
        <f t="shared" si="20"/>
        <v>13-Servicios para la planeación y sistemas de gestión y comunicación estratégica</v>
      </c>
      <c r="V375" s="54" t="s">
        <v>241</v>
      </c>
      <c r="W375" s="131" t="str">
        <f>IFERROR(VLOOKUP(V375,TD!$N$33:$O$45,2,0)," ")</f>
        <v>Servicio de asistencia técnica</v>
      </c>
      <c r="X375" s="54" t="str">
        <f t="shared" si="21"/>
        <v>031_Servicio de asistencia técnica</v>
      </c>
      <c r="Y375" s="54" t="str">
        <f t="shared" si="22"/>
        <v>13-Servicios para la planeación y sistemas de gestión y comunicación estratégica 031_Servicio de asistencia técnica</v>
      </c>
      <c r="Z375" s="131" t="str">
        <f t="shared" si="23"/>
        <v>O23011745992024020713031</v>
      </c>
      <c r="AA375" s="131" t="str">
        <f>IFERROR(VLOOKUP(Y375,TD!$K$46:$L$64,2,0)," ")</f>
        <v>PM/0131/0113/45990310207</v>
      </c>
      <c r="AB375" s="57" t="s">
        <v>139</v>
      </c>
      <c r="AC375" s="132" t="s">
        <v>205</v>
      </c>
    </row>
    <row r="376" spans="2:29" s="28" customFormat="1" ht="57">
      <c r="B376" s="85">
        <v>20241125</v>
      </c>
      <c r="C376" s="53" t="s">
        <v>209</v>
      </c>
      <c r="D376" s="129" t="s">
        <v>163</v>
      </c>
      <c r="E376" s="54" t="s">
        <v>364</v>
      </c>
      <c r="F376" s="129" t="s">
        <v>638</v>
      </c>
      <c r="G376" s="129" t="s">
        <v>158</v>
      </c>
      <c r="H376" s="117" t="s">
        <v>675</v>
      </c>
      <c r="I376" s="130">
        <v>7</v>
      </c>
      <c r="J376" s="130">
        <v>12</v>
      </c>
      <c r="K376" s="56">
        <v>0</v>
      </c>
      <c r="L376" s="57">
        <v>5000000</v>
      </c>
      <c r="M376" s="129" t="s">
        <v>173</v>
      </c>
      <c r="N376" s="57" t="s">
        <v>114</v>
      </c>
      <c r="O376" s="54" t="s">
        <v>216</v>
      </c>
      <c r="P376" s="131" t="str">
        <f>IFERROR(VLOOKUP(C376,TD!$B$32:$F$36,2,0)," ")</f>
        <v>O230117</v>
      </c>
      <c r="Q376" s="131" t="str">
        <f>IFERROR(VLOOKUP(C376,TD!$B$32:$F$36,3,0)," ")</f>
        <v>4599</v>
      </c>
      <c r="R376" s="131">
        <f>IFERROR(VLOOKUP(C376,TD!$B$32:$F$36,4,0)," ")</f>
        <v>20240207</v>
      </c>
      <c r="S376" s="54" t="s">
        <v>180</v>
      </c>
      <c r="T376" s="131" t="str">
        <f>IFERROR(VLOOKUP(S376,TD!$J$33:$K$43,2,0)," ")</f>
        <v>Infraestructura Tecnológica   (Sistemas de Información y Tecnologia)</v>
      </c>
      <c r="U376" s="54" t="str">
        <f t="shared" si="20"/>
        <v>11-Infraestructura Tecnológica   (Sistemas de Información y Tecnologia)</v>
      </c>
      <c r="V376" s="54" t="s">
        <v>240</v>
      </c>
      <c r="W376" s="131" t="str">
        <f>IFERROR(VLOOKUP(V376,TD!$N$33:$O$45,2,0)," ")</f>
        <v>Servicios tecnológicos</v>
      </c>
      <c r="X376" s="54" t="str">
        <f t="shared" si="21"/>
        <v>007_Servicios tecnológicos</v>
      </c>
      <c r="Y376" s="54" t="str">
        <f t="shared" si="22"/>
        <v>11-Infraestructura Tecnológica   (Sistemas de Información y Tecnologia) 007_Servicios tecnológicos</v>
      </c>
      <c r="Z376" s="131" t="str">
        <f t="shared" si="23"/>
        <v>O23011745992024020711007</v>
      </c>
      <c r="AA376" s="131" t="str">
        <f>IFERROR(VLOOKUP(Y376,TD!$K$46:$L$64,2,0)," ")</f>
        <v>PM/0131/0111/45990070207</v>
      </c>
      <c r="AB376" s="57" t="s">
        <v>126</v>
      </c>
      <c r="AC376" s="132" t="s">
        <v>205</v>
      </c>
    </row>
    <row r="377" spans="2:29" s="28" customFormat="1" ht="57">
      <c r="B377" s="85">
        <v>20241126</v>
      </c>
      <c r="C377" s="53" t="s">
        <v>209</v>
      </c>
      <c r="D377" s="129" t="s">
        <v>163</v>
      </c>
      <c r="E377" s="54" t="s">
        <v>364</v>
      </c>
      <c r="F377" s="129" t="s">
        <v>639</v>
      </c>
      <c r="G377" s="129" t="s">
        <v>130</v>
      </c>
      <c r="H377" s="117" t="s">
        <v>676</v>
      </c>
      <c r="I377" s="130">
        <v>9</v>
      </c>
      <c r="J377" s="130">
        <v>5</v>
      </c>
      <c r="K377" s="56">
        <v>0</v>
      </c>
      <c r="L377" s="57">
        <f>30800000-30800000</f>
        <v>0</v>
      </c>
      <c r="M377" s="129" t="s">
        <v>173</v>
      </c>
      <c r="N377" s="57" t="s">
        <v>114</v>
      </c>
      <c r="O377" s="54" t="s">
        <v>216</v>
      </c>
      <c r="P377" s="131" t="str">
        <f>IFERROR(VLOOKUP(C377,TD!$B$32:$F$36,2,0)," ")</f>
        <v>O230117</v>
      </c>
      <c r="Q377" s="131" t="str">
        <f>IFERROR(VLOOKUP(C377,TD!$B$32:$F$36,3,0)," ")</f>
        <v>4599</v>
      </c>
      <c r="R377" s="131">
        <f>IFERROR(VLOOKUP(C377,TD!$B$32:$F$36,4,0)," ")</f>
        <v>20240207</v>
      </c>
      <c r="S377" s="54" t="s">
        <v>180</v>
      </c>
      <c r="T377" s="131" t="str">
        <f>IFERROR(VLOOKUP(S377,TD!$J$33:$K$43,2,0)," ")</f>
        <v>Infraestructura Tecnológica   (Sistemas de Información y Tecnologia)</v>
      </c>
      <c r="U377" s="54" t="str">
        <f t="shared" si="20"/>
        <v>11-Infraestructura Tecnológica   (Sistemas de Información y Tecnologia)</v>
      </c>
      <c r="V377" s="54" t="s">
        <v>240</v>
      </c>
      <c r="W377" s="131" t="str">
        <f>IFERROR(VLOOKUP(V377,TD!$N$33:$O$45,2,0)," ")</f>
        <v>Servicios tecnológicos</v>
      </c>
      <c r="X377" s="54" t="str">
        <f t="shared" si="21"/>
        <v>007_Servicios tecnológicos</v>
      </c>
      <c r="Y377" s="54" t="str">
        <f t="shared" si="22"/>
        <v>11-Infraestructura Tecnológica   (Sistemas de Información y Tecnologia) 007_Servicios tecnológicos</v>
      </c>
      <c r="Z377" s="131" t="str">
        <f t="shared" si="23"/>
        <v>O23011745992024020711007</v>
      </c>
      <c r="AA377" s="131" t="str">
        <f>IFERROR(VLOOKUP(Y377,TD!$K$46:$L$64,2,0)," ")</f>
        <v>PM/0131/0111/45990070207</v>
      </c>
      <c r="AB377" s="57" t="s">
        <v>126</v>
      </c>
      <c r="AC377" s="132" t="s">
        <v>206</v>
      </c>
    </row>
    <row r="378" spans="2:29" s="28" customFormat="1" ht="71.25">
      <c r="B378" s="85">
        <v>20241127</v>
      </c>
      <c r="C378" s="53" t="s">
        <v>209</v>
      </c>
      <c r="D378" s="129" t="s">
        <v>163</v>
      </c>
      <c r="E378" s="54" t="s">
        <v>364</v>
      </c>
      <c r="F378" s="129" t="s">
        <v>640</v>
      </c>
      <c r="G378" s="129" t="s">
        <v>155</v>
      </c>
      <c r="H378" s="117">
        <v>43233200</v>
      </c>
      <c r="I378" s="130">
        <v>9</v>
      </c>
      <c r="J378" s="130">
        <v>3</v>
      </c>
      <c r="K378" s="56">
        <v>0</v>
      </c>
      <c r="L378" s="57">
        <f>12000000-12000000</f>
        <v>0</v>
      </c>
      <c r="M378" s="129" t="s">
        <v>173</v>
      </c>
      <c r="N378" s="57" t="s">
        <v>96</v>
      </c>
      <c r="O378" s="54" t="s">
        <v>216</v>
      </c>
      <c r="P378" s="131" t="str">
        <f>IFERROR(VLOOKUP(C378,TD!$B$32:$F$36,2,0)," ")</f>
        <v>O230117</v>
      </c>
      <c r="Q378" s="131" t="str">
        <f>IFERROR(VLOOKUP(C378,TD!$B$32:$F$36,3,0)," ")</f>
        <v>4599</v>
      </c>
      <c r="R378" s="131">
        <f>IFERROR(VLOOKUP(C378,TD!$B$32:$F$36,4,0)," ")</f>
        <v>20240207</v>
      </c>
      <c r="S378" s="54" t="s">
        <v>180</v>
      </c>
      <c r="T378" s="131" t="str">
        <f>IFERROR(VLOOKUP(S378,TD!$J$33:$K$43,2,0)," ")</f>
        <v>Infraestructura Tecnológica   (Sistemas de Información y Tecnologia)</v>
      </c>
      <c r="U378" s="54" t="str">
        <f t="shared" si="20"/>
        <v>11-Infraestructura Tecnológica   (Sistemas de Información y Tecnologia)</v>
      </c>
      <c r="V378" s="54" t="s">
        <v>240</v>
      </c>
      <c r="W378" s="131" t="str">
        <f>IFERROR(VLOOKUP(V378,TD!$N$33:$O$45,2,0)," ")</f>
        <v>Servicios tecnológicos</v>
      </c>
      <c r="X378" s="54" t="str">
        <f t="shared" si="21"/>
        <v>007_Servicios tecnológicos</v>
      </c>
      <c r="Y378" s="54" t="str">
        <f t="shared" si="22"/>
        <v>11-Infraestructura Tecnológica   (Sistemas de Información y Tecnologia) 007_Servicios tecnológicos</v>
      </c>
      <c r="Z378" s="131" t="str">
        <f t="shared" si="23"/>
        <v>O23011745992024020711007</v>
      </c>
      <c r="AA378" s="131" t="str">
        <f>IFERROR(VLOOKUP(Y378,TD!$K$46:$L$64,2,0)," ")</f>
        <v>PM/0131/0111/45990070207</v>
      </c>
      <c r="AB378" s="57" t="s">
        <v>126</v>
      </c>
      <c r="AC378" s="132" t="s">
        <v>206</v>
      </c>
    </row>
    <row r="379" spans="2:29" s="28" customFormat="1" ht="57">
      <c r="B379" s="85">
        <v>20241128</v>
      </c>
      <c r="C379" s="53" t="s">
        <v>209</v>
      </c>
      <c r="D379" s="129" t="s">
        <v>163</v>
      </c>
      <c r="E379" s="54" t="s">
        <v>364</v>
      </c>
      <c r="F379" s="129" t="s">
        <v>641</v>
      </c>
      <c r="G379" s="129" t="s">
        <v>158</v>
      </c>
      <c r="H379" s="117" t="s">
        <v>677</v>
      </c>
      <c r="I379" s="130">
        <v>10</v>
      </c>
      <c r="J379" s="130">
        <v>3</v>
      </c>
      <c r="K379" s="56">
        <v>0</v>
      </c>
      <c r="L379" s="57">
        <f>20000000-20000000</f>
        <v>0</v>
      </c>
      <c r="M379" s="129" t="s">
        <v>173</v>
      </c>
      <c r="N379" s="57" t="s">
        <v>96</v>
      </c>
      <c r="O379" s="54" t="s">
        <v>216</v>
      </c>
      <c r="P379" s="131" t="str">
        <f>IFERROR(VLOOKUP(C379,TD!$B$32:$F$36,2,0)," ")</f>
        <v>O230117</v>
      </c>
      <c r="Q379" s="131" t="str">
        <f>IFERROR(VLOOKUP(C379,TD!$B$32:$F$36,3,0)," ")</f>
        <v>4599</v>
      </c>
      <c r="R379" s="131">
        <f>IFERROR(VLOOKUP(C379,TD!$B$32:$F$36,4,0)," ")</f>
        <v>20240207</v>
      </c>
      <c r="S379" s="54" t="s">
        <v>180</v>
      </c>
      <c r="T379" s="131" t="str">
        <f>IFERROR(VLOOKUP(S379,TD!$J$33:$K$43,2,0)," ")</f>
        <v>Infraestructura Tecnológica   (Sistemas de Información y Tecnologia)</v>
      </c>
      <c r="U379" s="54" t="str">
        <f t="shared" si="20"/>
        <v>11-Infraestructura Tecnológica   (Sistemas de Información y Tecnologia)</v>
      </c>
      <c r="V379" s="54" t="s">
        <v>240</v>
      </c>
      <c r="W379" s="131" t="str">
        <f>IFERROR(VLOOKUP(V379,TD!$N$33:$O$45,2,0)," ")</f>
        <v>Servicios tecnológicos</v>
      </c>
      <c r="X379" s="54" t="str">
        <f t="shared" si="21"/>
        <v>007_Servicios tecnológicos</v>
      </c>
      <c r="Y379" s="54" t="str">
        <f t="shared" si="22"/>
        <v>11-Infraestructura Tecnológica   (Sistemas de Información y Tecnologia) 007_Servicios tecnológicos</v>
      </c>
      <c r="Z379" s="131" t="str">
        <f t="shared" si="23"/>
        <v>O23011745992024020711007</v>
      </c>
      <c r="AA379" s="131" t="str">
        <f>IFERROR(VLOOKUP(Y379,TD!$K$46:$L$64,2,0)," ")</f>
        <v>PM/0131/0111/45990070207</v>
      </c>
      <c r="AB379" s="57" t="s">
        <v>126</v>
      </c>
      <c r="AC379" s="132" t="s">
        <v>206</v>
      </c>
    </row>
    <row r="380" spans="2:29" s="28" customFormat="1" ht="42.75">
      <c r="B380" s="85">
        <v>20241129</v>
      </c>
      <c r="C380" s="53" t="s">
        <v>209</v>
      </c>
      <c r="D380" s="129" t="s">
        <v>163</v>
      </c>
      <c r="E380" s="54" t="s">
        <v>364</v>
      </c>
      <c r="F380" s="129" t="s">
        <v>642</v>
      </c>
      <c r="G380" s="129" t="s">
        <v>150</v>
      </c>
      <c r="H380" s="117">
        <v>81112217</v>
      </c>
      <c r="I380" s="130">
        <v>10</v>
      </c>
      <c r="J380" s="130">
        <v>12</v>
      </c>
      <c r="K380" s="56">
        <v>0</v>
      </c>
      <c r="L380" s="57">
        <f>29516217-1516217+1516217</f>
        <v>29516217</v>
      </c>
      <c r="M380" s="129" t="s">
        <v>173</v>
      </c>
      <c r="N380" s="57" t="s">
        <v>114</v>
      </c>
      <c r="O380" s="54" t="s">
        <v>215</v>
      </c>
      <c r="P380" s="131" t="str">
        <f>IFERROR(VLOOKUP(C380,TD!$B$32:$F$36,2,0)," ")</f>
        <v>O230117</v>
      </c>
      <c r="Q380" s="131" t="str">
        <f>IFERROR(VLOOKUP(C380,TD!$B$32:$F$36,3,0)," ")</f>
        <v>4599</v>
      </c>
      <c r="R380" s="131">
        <f>IFERROR(VLOOKUP(C380,TD!$B$32:$F$36,4,0)," ")</f>
        <v>20240207</v>
      </c>
      <c r="S380" s="54" t="s">
        <v>180</v>
      </c>
      <c r="T380" s="131" t="str">
        <f>IFERROR(VLOOKUP(S380,TD!$J$33:$K$43,2,0)," ")</f>
        <v>Infraestructura Tecnológica   (Sistemas de Información y Tecnologia)</v>
      </c>
      <c r="U380" s="54" t="str">
        <f t="shared" si="20"/>
        <v>11-Infraestructura Tecnológica   (Sistemas de Información y Tecnologia)</v>
      </c>
      <c r="V380" s="54" t="s">
        <v>240</v>
      </c>
      <c r="W380" s="131" t="str">
        <f>IFERROR(VLOOKUP(V380,TD!$N$33:$O$45,2,0)," ")</f>
        <v>Servicios tecnológicos</v>
      </c>
      <c r="X380" s="54" t="str">
        <f t="shared" si="21"/>
        <v>007_Servicios tecnológicos</v>
      </c>
      <c r="Y380" s="54" t="str">
        <f t="shared" si="22"/>
        <v>11-Infraestructura Tecnológica   (Sistemas de Información y Tecnologia) 007_Servicios tecnológicos</v>
      </c>
      <c r="Z380" s="131" t="str">
        <f t="shared" si="23"/>
        <v>O23011745992024020711007</v>
      </c>
      <c r="AA380" s="131" t="str">
        <f>IFERROR(VLOOKUP(Y380,TD!$K$46:$L$64,2,0)," ")</f>
        <v>PM/0131/0111/45990070207</v>
      </c>
      <c r="AB380" s="57" t="s">
        <v>126</v>
      </c>
      <c r="AC380" s="132" t="s">
        <v>205</v>
      </c>
    </row>
    <row r="381" spans="2:29" s="28" customFormat="1" ht="42.75">
      <c r="B381" s="85">
        <v>20241130</v>
      </c>
      <c r="C381" s="53" t="s">
        <v>209</v>
      </c>
      <c r="D381" s="129" t="s">
        <v>163</v>
      </c>
      <c r="E381" s="54" t="s">
        <v>364</v>
      </c>
      <c r="F381" s="129" t="s">
        <v>643</v>
      </c>
      <c r="G381" s="129" t="s">
        <v>97</v>
      </c>
      <c r="H381" s="117" t="s">
        <v>678</v>
      </c>
      <c r="I381" s="130">
        <v>8</v>
      </c>
      <c r="J381" s="130">
        <v>7</v>
      </c>
      <c r="K381" s="56">
        <v>0</v>
      </c>
      <c r="L381" s="57">
        <f>30000000-10000000-4555560</f>
        <v>15444440</v>
      </c>
      <c r="M381" s="129" t="s">
        <v>173</v>
      </c>
      <c r="N381" s="57" t="s">
        <v>124</v>
      </c>
      <c r="O381" s="54" t="s">
        <v>216</v>
      </c>
      <c r="P381" s="131" t="str">
        <f>IFERROR(VLOOKUP(C381,TD!$B$32:$F$36,2,0)," ")</f>
        <v>O230117</v>
      </c>
      <c r="Q381" s="131" t="str">
        <f>IFERROR(VLOOKUP(C381,TD!$B$32:$F$36,3,0)," ")</f>
        <v>4599</v>
      </c>
      <c r="R381" s="131">
        <f>IFERROR(VLOOKUP(C381,TD!$B$32:$F$36,4,0)," ")</f>
        <v>20240207</v>
      </c>
      <c r="S381" s="54" t="s">
        <v>180</v>
      </c>
      <c r="T381" s="131" t="str">
        <f>IFERROR(VLOOKUP(S381,TD!$J$33:$K$43,2,0)," ")</f>
        <v>Infraestructura Tecnológica   (Sistemas de Información y Tecnologia)</v>
      </c>
      <c r="U381" s="54" t="str">
        <f t="shared" si="20"/>
        <v>11-Infraestructura Tecnológica   (Sistemas de Información y Tecnologia)</v>
      </c>
      <c r="V381" s="54" t="s">
        <v>240</v>
      </c>
      <c r="W381" s="131" t="str">
        <f>IFERROR(VLOOKUP(V381,TD!$N$33:$O$45,2,0)," ")</f>
        <v>Servicios tecnológicos</v>
      </c>
      <c r="X381" s="54" t="str">
        <f t="shared" si="21"/>
        <v>007_Servicios tecnológicos</v>
      </c>
      <c r="Y381" s="54" t="str">
        <f t="shared" si="22"/>
        <v>11-Infraestructura Tecnológica   (Sistemas de Información y Tecnologia) 007_Servicios tecnológicos</v>
      </c>
      <c r="Z381" s="131" t="str">
        <f t="shared" si="23"/>
        <v>O23011745992024020711007</v>
      </c>
      <c r="AA381" s="131" t="str">
        <f>IFERROR(VLOOKUP(Y381,TD!$K$46:$L$64,2,0)," ")</f>
        <v>PM/0131/0111/45990070207</v>
      </c>
      <c r="AB381" s="57" t="s">
        <v>126</v>
      </c>
      <c r="AC381" s="132" t="s">
        <v>205</v>
      </c>
    </row>
    <row r="382" spans="2:29" s="28" customFormat="1" ht="57">
      <c r="B382" s="85">
        <v>20241131</v>
      </c>
      <c r="C382" s="53" t="s">
        <v>209</v>
      </c>
      <c r="D382" s="129" t="s">
        <v>163</v>
      </c>
      <c r="E382" s="54" t="s">
        <v>364</v>
      </c>
      <c r="F382" s="129" t="s">
        <v>644</v>
      </c>
      <c r="G382" s="129" t="s">
        <v>155</v>
      </c>
      <c r="H382" s="117" t="s">
        <v>679</v>
      </c>
      <c r="I382" s="130">
        <v>10</v>
      </c>
      <c r="J382" s="130">
        <v>7</v>
      </c>
      <c r="K382" s="56">
        <v>0</v>
      </c>
      <c r="L382" s="57">
        <f>21612000-21612000</f>
        <v>0</v>
      </c>
      <c r="M382" s="129" t="s">
        <v>173</v>
      </c>
      <c r="N382" s="57" t="s">
        <v>101</v>
      </c>
      <c r="O382" s="54" t="s">
        <v>216</v>
      </c>
      <c r="P382" s="131" t="str">
        <f>IFERROR(VLOOKUP(C382,TD!$B$32:$F$36,2,0)," ")</f>
        <v>O230117</v>
      </c>
      <c r="Q382" s="131" t="str">
        <f>IFERROR(VLOOKUP(C382,TD!$B$32:$F$36,3,0)," ")</f>
        <v>4599</v>
      </c>
      <c r="R382" s="131">
        <f>IFERROR(VLOOKUP(C382,TD!$B$32:$F$36,4,0)," ")</f>
        <v>20240207</v>
      </c>
      <c r="S382" s="54" t="s">
        <v>180</v>
      </c>
      <c r="T382" s="131" t="str">
        <f>IFERROR(VLOOKUP(S382,TD!$J$33:$K$43,2,0)," ")</f>
        <v>Infraestructura Tecnológica   (Sistemas de Información y Tecnologia)</v>
      </c>
      <c r="U382" s="54" t="str">
        <f t="shared" si="20"/>
        <v>11-Infraestructura Tecnológica   (Sistemas de Información y Tecnologia)</v>
      </c>
      <c r="V382" s="54" t="s">
        <v>240</v>
      </c>
      <c r="W382" s="131" t="str">
        <f>IFERROR(VLOOKUP(V382,TD!$N$33:$O$45,2,0)," ")</f>
        <v>Servicios tecnológicos</v>
      </c>
      <c r="X382" s="54" t="str">
        <f t="shared" si="21"/>
        <v>007_Servicios tecnológicos</v>
      </c>
      <c r="Y382" s="54" t="str">
        <f t="shared" si="22"/>
        <v>11-Infraestructura Tecnológica   (Sistemas de Información y Tecnologia) 007_Servicios tecnológicos</v>
      </c>
      <c r="Z382" s="131" t="str">
        <f t="shared" si="23"/>
        <v>O23011745992024020711007</v>
      </c>
      <c r="AA382" s="131" t="str">
        <f>IFERROR(VLOOKUP(Y382,TD!$K$46:$L$64,2,0)," ")</f>
        <v>PM/0131/0111/45990070207</v>
      </c>
      <c r="AB382" s="57" t="s">
        <v>126</v>
      </c>
      <c r="AC382" s="132" t="s">
        <v>205</v>
      </c>
    </row>
    <row r="383" spans="2:29" s="28" customFormat="1" ht="57">
      <c r="B383" s="85">
        <v>20241132</v>
      </c>
      <c r="C383" s="53" t="s">
        <v>209</v>
      </c>
      <c r="D383" s="129" t="s">
        <v>163</v>
      </c>
      <c r="E383" s="54" t="s">
        <v>364</v>
      </c>
      <c r="F383" s="129" t="s">
        <v>645</v>
      </c>
      <c r="G383" s="129" t="s">
        <v>156</v>
      </c>
      <c r="H383" s="117">
        <v>80111600</v>
      </c>
      <c r="I383" s="130">
        <v>9</v>
      </c>
      <c r="J383" s="130">
        <v>4</v>
      </c>
      <c r="K383" s="56">
        <v>20</v>
      </c>
      <c r="L383" s="57">
        <f>45000000-3000000</f>
        <v>42000000</v>
      </c>
      <c r="M383" s="129" t="s">
        <v>173</v>
      </c>
      <c r="N383" s="57" t="s">
        <v>114</v>
      </c>
      <c r="O383" s="54" t="s">
        <v>217</v>
      </c>
      <c r="P383" s="131" t="str">
        <f>IFERROR(VLOOKUP(C383,TD!$B$32:$F$36,2,0)," ")</f>
        <v>O230117</v>
      </c>
      <c r="Q383" s="131" t="str">
        <f>IFERROR(VLOOKUP(C383,TD!$B$32:$F$36,3,0)," ")</f>
        <v>4599</v>
      </c>
      <c r="R383" s="131">
        <f>IFERROR(VLOOKUP(C383,TD!$B$32:$F$36,4,0)," ")</f>
        <v>20240207</v>
      </c>
      <c r="S383" s="54" t="s">
        <v>180</v>
      </c>
      <c r="T383" s="131" t="str">
        <f>IFERROR(VLOOKUP(S383,TD!$J$33:$K$43,2,0)," ")</f>
        <v>Infraestructura Tecnológica   (Sistemas de Información y Tecnologia)</v>
      </c>
      <c r="U383" s="54" t="str">
        <f t="shared" si="20"/>
        <v>11-Infraestructura Tecnológica   (Sistemas de Información y Tecnologia)</v>
      </c>
      <c r="V383" s="54" t="s">
        <v>240</v>
      </c>
      <c r="W383" s="131" t="str">
        <f>IFERROR(VLOOKUP(V383,TD!$N$33:$O$45,2,0)," ")</f>
        <v>Servicios tecnológicos</v>
      </c>
      <c r="X383" s="54" t="str">
        <f t="shared" si="21"/>
        <v>007_Servicios tecnológicos</v>
      </c>
      <c r="Y383" s="54" t="str">
        <f t="shared" si="22"/>
        <v>11-Infraestructura Tecnológica   (Sistemas de Información y Tecnologia) 007_Servicios tecnológicos</v>
      </c>
      <c r="Z383" s="131" t="str">
        <f t="shared" si="23"/>
        <v>O23011745992024020711007</v>
      </c>
      <c r="AA383" s="131" t="str">
        <f>IFERROR(VLOOKUP(Y383,TD!$K$46:$L$64,2,0)," ")</f>
        <v>PM/0131/0111/45990070207</v>
      </c>
      <c r="AB383" s="57" t="s">
        <v>139</v>
      </c>
      <c r="AC383" s="132" t="s">
        <v>205</v>
      </c>
    </row>
    <row r="384" spans="2:29" s="28" customFormat="1" ht="57">
      <c r="B384" s="85">
        <v>20241133</v>
      </c>
      <c r="C384" s="53" t="s">
        <v>209</v>
      </c>
      <c r="D384" s="129" t="s">
        <v>163</v>
      </c>
      <c r="E384" s="54" t="s">
        <v>364</v>
      </c>
      <c r="F384" s="129" t="s">
        <v>646</v>
      </c>
      <c r="G384" s="129" t="s">
        <v>156</v>
      </c>
      <c r="H384" s="117">
        <v>80111600</v>
      </c>
      <c r="I384" s="130">
        <v>8</v>
      </c>
      <c r="J384" s="130">
        <v>5</v>
      </c>
      <c r="K384" s="56">
        <v>0</v>
      </c>
      <c r="L384" s="57">
        <v>37500000</v>
      </c>
      <c r="M384" s="129" t="s">
        <v>173</v>
      </c>
      <c r="N384" s="57" t="s">
        <v>114</v>
      </c>
      <c r="O384" s="54" t="s">
        <v>217</v>
      </c>
      <c r="P384" s="131" t="str">
        <f>IFERROR(VLOOKUP(C384,TD!$B$32:$F$36,2,0)," ")</f>
        <v>O230117</v>
      </c>
      <c r="Q384" s="131" t="str">
        <f>IFERROR(VLOOKUP(C384,TD!$B$32:$F$36,3,0)," ")</f>
        <v>4599</v>
      </c>
      <c r="R384" s="131">
        <f>IFERROR(VLOOKUP(C384,TD!$B$32:$F$36,4,0)," ")</f>
        <v>20240207</v>
      </c>
      <c r="S384" s="54" t="s">
        <v>180</v>
      </c>
      <c r="T384" s="131" t="str">
        <f>IFERROR(VLOOKUP(S384,TD!$J$33:$K$43,2,0)," ")</f>
        <v>Infraestructura Tecnológica   (Sistemas de Información y Tecnologia)</v>
      </c>
      <c r="U384" s="54" t="str">
        <f t="shared" si="20"/>
        <v>11-Infraestructura Tecnológica   (Sistemas de Información y Tecnologia)</v>
      </c>
      <c r="V384" s="54" t="s">
        <v>240</v>
      </c>
      <c r="W384" s="131" t="str">
        <f>IFERROR(VLOOKUP(V384,TD!$N$33:$O$45,2,0)," ")</f>
        <v>Servicios tecnológicos</v>
      </c>
      <c r="X384" s="54" t="str">
        <f t="shared" si="21"/>
        <v>007_Servicios tecnológicos</v>
      </c>
      <c r="Y384" s="54" t="str">
        <f t="shared" si="22"/>
        <v>11-Infraestructura Tecnológica   (Sistemas de Información y Tecnologia) 007_Servicios tecnológicos</v>
      </c>
      <c r="Z384" s="131" t="str">
        <f t="shared" si="23"/>
        <v>O23011745992024020711007</v>
      </c>
      <c r="AA384" s="131" t="str">
        <f>IFERROR(VLOOKUP(Y384,TD!$K$46:$L$64,2,0)," ")</f>
        <v>PM/0131/0111/45990070207</v>
      </c>
      <c r="AB384" s="57" t="s">
        <v>139</v>
      </c>
      <c r="AC384" s="132" t="s">
        <v>205</v>
      </c>
    </row>
    <row r="385" spans="2:29" s="28" customFormat="1" ht="57">
      <c r="B385" s="85">
        <v>20241134</v>
      </c>
      <c r="C385" s="53" t="s">
        <v>209</v>
      </c>
      <c r="D385" s="129" t="s">
        <v>163</v>
      </c>
      <c r="E385" s="54" t="s">
        <v>364</v>
      </c>
      <c r="F385" s="129" t="s">
        <v>647</v>
      </c>
      <c r="G385" s="129" t="s">
        <v>156</v>
      </c>
      <c r="H385" s="117">
        <v>80111600</v>
      </c>
      <c r="I385" s="130">
        <v>8</v>
      </c>
      <c r="J385" s="130">
        <v>5</v>
      </c>
      <c r="K385" s="56">
        <v>0</v>
      </c>
      <c r="L385" s="57">
        <f>49000000-7000000-7000000</f>
        <v>35000000</v>
      </c>
      <c r="M385" s="129" t="s">
        <v>173</v>
      </c>
      <c r="N385" s="57" t="s">
        <v>114</v>
      </c>
      <c r="O385" s="54" t="s">
        <v>216</v>
      </c>
      <c r="P385" s="131" t="str">
        <f>IFERROR(VLOOKUP(C385,TD!$B$32:$F$36,2,0)," ")</f>
        <v>O230117</v>
      </c>
      <c r="Q385" s="131" t="str">
        <f>IFERROR(VLOOKUP(C385,TD!$B$32:$F$36,3,0)," ")</f>
        <v>4599</v>
      </c>
      <c r="R385" s="131">
        <f>IFERROR(VLOOKUP(C385,TD!$B$32:$F$36,4,0)," ")</f>
        <v>20240207</v>
      </c>
      <c r="S385" s="54" t="s">
        <v>180</v>
      </c>
      <c r="T385" s="131" t="str">
        <f>IFERROR(VLOOKUP(S385,TD!$J$33:$K$43,2,0)," ")</f>
        <v>Infraestructura Tecnológica   (Sistemas de Información y Tecnologia)</v>
      </c>
      <c r="U385" s="54" t="str">
        <f t="shared" si="20"/>
        <v>11-Infraestructura Tecnológica   (Sistemas de Información y Tecnologia)</v>
      </c>
      <c r="V385" s="54" t="s">
        <v>240</v>
      </c>
      <c r="W385" s="131" t="str">
        <f>IFERROR(VLOOKUP(V385,TD!$N$33:$O$45,2,0)," ")</f>
        <v>Servicios tecnológicos</v>
      </c>
      <c r="X385" s="54" t="str">
        <f t="shared" si="21"/>
        <v>007_Servicios tecnológicos</v>
      </c>
      <c r="Y385" s="54" t="str">
        <f t="shared" si="22"/>
        <v>11-Infraestructura Tecnológica   (Sistemas de Información y Tecnologia) 007_Servicios tecnológicos</v>
      </c>
      <c r="Z385" s="131" t="str">
        <f t="shared" si="23"/>
        <v>O23011745992024020711007</v>
      </c>
      <c r="AA385" s="131" t="str">
        <f>IFERROR(VLOOKUP(Y385,TD!$K$46:$L$64,2,0)," ")</f>
        <v>PM/0131/0111/45990070207</v>
      </c>
      <c r="AB385" s="57" t="s">
        <v>139</v>
      </c>
      <c r="AC385" s="132" t="s">
        <v>205</v>
      </c>
    </row>
    <row r="386" spans="2:29" s="28" customFormat="1" ht="57">
      <c r="B386" s="85">
        <v>20241135</v>
      </c>
      <c r="C386" s="53" t="s">
        <v>209</v>
      </c>
      <c r="D386" s="129" t="s">
        <v>163</v>
      </c>
      <c r="E386" s="54" t="s">
        <v>364</v>
      </c>
      <c r="F386" s="129" t="s">
        <v>648</v>
      </c>
      <c r="G386" s="129" t="s">
        <v>156</v>
      </c>
      <c r="H386" s="117">
        <v>80111600</v>
      </c>
      <c r="I386" s="130">
        <v>8</v>
      </c>
      <c r="J386" s="130">
        <v>5</v>
      </c>
      <c r="K386" s="56">
        <v>0</v>
      </c>
      <c r="L386" s="57">
        <f>43200000-7200000</f>
        <v>36000000</v>
      </c>
      <c r="M386" s="129" t="s">
        <v>173</v>
      </c>
      <c r="N386" s="57" t="s">
        <v>114</v>
      </c>
      <c r="O386" s="54" t="s">
        <v>215</v>
      </c>
      <c r="P386" s="131" t="str">
        <f>IFERROR(VLOOKUP(C386,TD!$B$32:$F$36,2,0)," ")</f>
        <v>O230117</v>
      </c>
      <c r="Q386" s="131" t="str">
        <f>IFERROR(VLOOKUP(C386,TD!$B$32:$F$36,3,0)," ")</f>
        <v>4599</v>
      </c>
      <c r="R386" s="131">
        <f>IFERROR(VLOOKUP(C386,TD!$B$32:$F$36,4,0)," ")</f>
        <v>20240207</v>
      </c>
      <c r="S386" s="54" t="s">
        <v>180</v>
      </c>
      <c r="T386" s="131" t="str">
        <f>IFERROR(VLOOKUP(S386,TD!$J$33:$K$43,2,0)," ")</f>
        <v>Infraestructura Tecnológica   (Sistemas de Información y Tecnologia)</v>
      </c>
      <c r="U386" s="54" t="str">
        <f t="shared" si="20"/>
        <v>11-Infraestructura Tecnológica   (Sistemas de Información y Tecnologia)</v>
      </c>
      <c r="V386" s="54" t="s">
        <v>240</v>
      </c>
      <c r="W386" s="131" t="str">
        <f>IFERROR(VLOOKUP(V386,TD!$N$33:$O$45,2,0)," ")</f>
        <v>Servicios tecnológicos</v>
      </c>
      <c r="X386" s="54" t="str">
        <f t="shared" si="21"/>
        <v>007_Servicios tecnológicos</v>
      </c>
      <c r="Y386" s="54" t="str">
        <f t="shared" si="22"/>
        <v>11-Infraestructura Tecnológica   (Sistemas de Información y Tecnologia) 007_Servicios tecnológicos</v>
      </c>
      <c r="Z386" s="131" t="str">
        <f t="shared" si="23"/>
        <v>O23011745992024020711007</v>
      </c>
      <c r="AA386" s="131" t="str">
        <f>IFERROR(VLOOKUP(Y386,TD!$K$46:$L$64,2,0)," ")</f>
        <v>PM/0131/0111/45990070207</v>
      </c>
      <c r="AB386" s="57" t="s">
        <v>139</v>
      </c>
      <c r="AC386" s="132" t="s">
        <v>205</v>
      </c>
    </row>
    <row r="387" spans="2:29" s="28" customFormat="1" ht="57">
      <c r="B387" s="85">
        <v>20241136</v>
      </c>
      <c r="C387" s="53" t="s">
        <v>209</v>
      </c>
      <c r="D387" s="129" t="s">
        <v>163</v>
      </c>
      <c r="E387" s="54" t="s">
        <v>364</v>
      </c>
      <c r="F387" s="129" t="s">
        <v>649</v>
      </c>
      <c r="G387" s="129" t="s">
        <v>156</v>
      </c>
      <c r="H387" s="117">
        <v>80111600</v>
      </c>
      <c r="I387" s="130">
        <v>8</v>
      </c>
      <c r="J387" s="130">
        <v>5</v>
      </c>
      <c r="K387" s="56">
        <v>0</v>
      </c>
      <c r="L387" s="57">
        <f>48000000-8000000</f>
        <v>40000000</v>
      </c>
      <c r="M387" s="129" t="s">
        <v>173</v>
      </c>
      <c r="N387" s="57" t="s">
        <v>114</v>
      </c>
      <c r="O387" s="54" t="s">
        <v>216</v>
      </c>
      <c r="P387" s="131" t="str">
        <f>IFERROR(VLOOKUP(C387,TD!$B$32:$F$36,2,0)," ")</f>
        <v>O230117</v>
      </c>
      <c r="Q387" s="131" t="str">
        <f>IFERROR(VLOOKUP(C387,TD!$B$32:$F$36,3,0)," ")</f>
        <v>4599</v>
      </c>
      <c r="R387" s="131">
        <f>IFERROR(VLOOKUP(C387,TD!$B$32:$F$36,4,0)," ")</f>
        <v>20240207</v>
      </c>
      <c r="S387" s="54" t="s">
        <v>180</v>
      </c>
      <c r="T387" s="131" t="str">
        <f>IFERROR(VLOOKUP(S387,TD!$J$33:$K$43,2,0)," ")</f>
        <v>Infraestructura Tecnológica   (Sistemas de Información y Tecnologia)</v>
      </c>
      <c r="U387" s="54" t="str">
        <f t="shared" si="20"/>
        <v>11-Infraestructura Tecnológica   (Sistemas de Información y Tecnologia)</v>
      </c>
      <c r="V387" s="54" t="s">
        <v>240</v>
      </c>
      <c r="W387" s="131" t="str">
        <f>IFERROR(VLOOKUP(V387,TD!$N$33:$O$45,2,0)," ")</f>
        <v>Servicios tecnológicos</v>
      </c>
      <c r="X387" s="54" t="str">
        <f t="shared" si="21"/>
        <v>007_Servicios tecnológicos</v>
      </c>
      <c r="Y387" s="54" t="str">
        <f t="shared" si="22"/>
        <v>11-Infraestructura Tecnológica   (Sistemas de Información y Tecnologia) 007_Servicios tecnológicos</v>
      </c>
      <c r="Z387" s="131" t="str">
        <f t="shared" si="23"/>
        <v>O23011745992024020711007</v>
      </c>
      <c r="AA387" s="131" t="str">
        <f>IFERROR(VLOOKUP(Y387,TD!$K$46:$L$64,2,0)," ")</f>
        <v>PM/0131/0111/45990070207</v>
      </c>
      <c r="AB387" s="57" t="s">
        <v>139</v>
      </c>
      <c r="AC387" s="132" t="s">
        <v>205</v>
      </c>
    </row>
    <row r="388" spans="2:29" s="28" customFormat="1" ht="57">
      <c r="B388" s="85">
        <v>20241137</v>
      </c>
      <c r="C388" s="53" t="s">
        <v>209</v>
      </c>
      <c r="D388" s="129" t="s">
        <v>163</v>
      </c>
      <c r="E388" s="54" t="s">
        <v>364</v>
      </c>
      <c r="F388" s="129" t="s">
        <v>650</v>
      </c>
      <c r="G388" s="129" t="s">
        <v>156</v>
      </c>
      <c r="H388" s="117">
        <v>80111600</v>
      </c>
      <c r="I388" s="130">
        <v>8</v>
      </c>
      <c r="J388" s="130">
        <v>4</v>
      </c>
      <c r="K388" s="56">
        <v>20</v>
      </c>
      <c r="L388" s="57">
        <f>43200000-23133000</f>
        <v>20067000</v>
      </c>
      <c r="M388" s="129" t="s">
        <v>173</v>
      </c>
      <c r="N388" s="57" t="s">
        <v>114</v>
      </c>
      <c r="O388" s="54" t="s">
        <v>216</v>
      </c>
      <c r="P388" s="131" t="str">
        <f>IFERROR(VLOOKUP(C388,TD!$B$32:$F$36,2,0)," ")</f>
        <v>O230117</v>
      </c>
      <c r="Q388" s="131" t="str">
        <f>IFERROR(VLOOKUP(C388,TD!$B$32:$F$36,3,0)," ")</f>
        <v>4599</v>
      </c>
      <c r="R388" s="131">
        <f>IFERROR(VLOOKUP(C388,TD!$B$32:$F$36,4,0)," ")</f>
        <v>20240207</v>
      </c>
      <c r="S388" s="54" t="s">
        <v>180</v>
      </c>
      <c r="T388" s="131" t="str">
        <f>IFERROR(VLOOKUP(S388,TD!$J$33:$K$43,2,0)," ")</f>
        <v>Infraestructura Tecnológica   (Sistemas de Información y Tecnologia)</v>
      </c>
      <c r="U388" s="54" t="str">
        <f t="shared" si="20"/>
        <v>11-Infraestructura Tecnológica   (Sistemas de Información y Tecnologia)</v>
      </c>
      <c r="V388" s="54" t="s">
        <v>240</v>
      </c>
      <c r="W388" s="131" t="str">
        <f>IFERROR(VLOOKUP(V388,TD!$N$33:$O$45,2,0)," ")</f>
        <v>Servicios tecnológicos</v>
      </c>
      <c r="X388" s="54" t="str">
        <f t="shared" si="21"/>
        <v>007_Servicios tecnológicos</v>
      </c>
      <c r="Y388" s="54" t="str">
        <f t="shared" si="22"/>
        <v>11-Infraestructura Tecnológica   (Sistemas de Información y Tecnologia) 007_Servicios tecnológicos</v>
      </c>
      <c r="Z388" s="131" t="str">
        <f t="shared" si="23"/>
        <v>O23011745992024020711007</v>
      </c>
      <c r="AA388" s="131" t="str">
        <f>IFERROR(VLOOKUP(Y388,TD!$K$46:$L$64,2,0)," ")</f>
        <v>PM/0131/0111/45990070207</v>
      </c>
      <c r="AB388" s="57" t="s">
        <v>139</v>
      </c>
      <c r="AC388" s="132" t="s">
        <v>205</v>
      </c>
    </row>
    <row r="389" spans="2:29" s="28" customFormat="1" ht="57">
      <c r="B389" s="85">
        <v>20241138</v>
      </c>
      <c r="C389" s="53" t="s">
        <v>209</v>
      </c>
      <c r="D389" s="129" t="s">
        <v>163</v>
      </c>
      <c r="E389" s="54" t="s">
        <v>364</v>
      </c>
      <c r="F389" s="129" t="s">
        <v>651</v>
      </c>
      <c r="G389" s="129" t="s">
        <v>156</v>
      </c>
      <c r="H389" s="117">
        <v>80111600</v>
      </c>
      <c r="I389" s="130">
        <v>8</v>
      </c>
      <c r="J389" s="130">
        <v>4</v>
      </c>
      <c r="K389" s="56">
        <v>20</v>
      </c>
      <c r="L389" s="57">
        <f>43200000-9600000</f>
        <v>33600000</v>
      </c>
      <c r="M389" s="129" t="s">
        <v>173</v>
      </c>
      <c r="N389" s="57" t="s">
        <v>114</v>
      </c>
      <c r="O389" s="54" t="s">
        <v>216</v>
      </c>
      <c r="P389" s="131" t="str">
        <f>IFERROR(VLOOKUP(C389,TD!$B$32:$F$36,2,0)," ")</f>
        <v>O230117</v>
      </c>
      <c r="Q389" s="131" t="str">
        <f>IFERROR(VLOOKUP(C389,TD!$B$32:$F$36,3,0)," ")</f>
        <v>4599</v>
      </c>
      <c r="R389" s="131">
        <f>IFERROR(VLOOKUP(C389,TD!$B$32:$F$36,4,0)," ")</f>
        <v>20240207</v>
      </c>
      <c r="S389" s="54" t="s">
        <v>180</v>
      </c>
      <c r="T389" s="131" t="str">
        <f>IFERROR(VLOOKUP(S389,TD!$J$33:$K$43,2,0)," ")</f>
        <v>Infraestructura Tecnológica   (Sistemas de Información y Tecnologia)</v>
      </c>
      <c r="U389" s="54" t="str">
        <f t="shared" si="20"/>
        <v>11-Infraestructura Tecnológica   (Sistemas de Información y Tecnologia)</v>
      </c>
      <c r="V389" s="54" t="s">
        <v>240</v>
      </c>
      <c r="W389" s="131" t="str">
        <f>IFERROR(VLOOKUP(V389,TD!$N$33:$O$45,2,0)," ")</f>
        <v>Servicios tecnológicos</v>
      </c>
      <c r="X389" s="54" t="str">
        <f t="shared" si="21"/>
        <v>007_Servicios tecnológicos</v>
      </c>
      <c r="Y389" s="54" t="str">
        <f t="shared" si="22"/>
        <v>11-Infraestructura Tecnológica   (Sistemas de Información y Tecnologia) 007_Servicios tecnológicos</v>
      </c>
      <c r="Z389" s="131" t="str">
        <f t="shared" si="23"/>
        <v>O23011745992024020711007</v>
      </c>
      <c r="AA389" s="131" t="str">
        <f>IFERROR(VLOOKUP(Y389,TD!$K$46:$L$64,2,0)," ")</f>
        <v>PM/0131/0111/45990070207</v>
      </c>
      <c r="AB389" s="57" t="s">
        <v>139</v>
      </c>
      <c r="AC389" s="132" t="s">
        <v>205</v>
      </c>
    </row>
    <row r="390" spans="2:29" s="28" customFormat="1" ht="57">
      <c r="B390" s="85">
        <v>20241139</v>
      </c>
      <c r="C390" s="53" t="s">
        <v>209</v>
      </c>
      <c r="D390" s="129" t="s">
        <v>163</v>
      </c>
      <c r="E390" s="54" t="s">
        <v>364</v>
      </c>
      <c r="F390" s="129" t="s">
        <v>652</v>
      </c>
      <c r="G390" s="129" t="s">
        <v>156</v>
      </c>
      <c r="H390" s="117">
        <v>80111600</v>
      </c>
      <c r="I390" s="130">
        <v>8</v>
      </c>
      <c r="J390" s="130">
        <v>5</v>
      </c>
      <c r="K390" s="56">
        <v>0</v>
      </c>
      <c r="L390" s="57">
        <f>39000000-3000000</f>
        <v>36000000</v>
      </c>
      <c r="M390" s="129" t="s">
        <v>173</v>
      </c>
      <c r="N390" s="57" t="s">
        <v>114</v>
      </c>
      <c r="O390" s="54" t="s">
        <v>215</v>
      </c>
      <c r="P390" s="131" t="str">
        <f>IFERROR(VLOOKUP(C390,TD!$B$32:$F$36,2,0)," ")</f>
        <v>O230117</v>
      </c>
      <c r="Q390" s="131" t="str">
        <f>IFERROR(VLOOKUP(C390,TD!$B$32:$F$36,3,0)," ")</f>
        <v>4599</v>
      </c>
      <c r="R390" s="131">
        <f>IFERROR(VLOOKUP(C390,TD!$B$32:$F$36,4,0)," ")</f>
        <v>20240207</v>
      </c>
      <c r="S390" s="54" t="s">
        <v>180</v>
      </c>
      <c r="T390" s="131" t="str">
        <f>IFERROR(VLOOKUP(S390,TD!$J$33:$K$43,2,0)," ")</f>
        <v>Infraestructura Tecnológica   (Sistemas de Información y Tecnologia)</v>
      </c>
      <c r="U390" s="54" t="str">
        <f t="shared" si="20"/>
        <v>11-Infraestructura Tecnológica   (Sistemas de Información y Tecnologia)</v>
      </c>
      <c r="V390" s="54" t="s">
        <v>240</v>
      </c>
      <c r="W390" s="131" t="str">
        <f>IFERROR(VLOOKUP(V390,TD!$N$33:$O$45,2,0)," ")</f>
        <v>Servicios tecnológicos</v>
      </c>
      <c r="X390" s="54" t="str">
        <f t="shared" si="21"/>
        <v>007_Servicios tecnológicos</v>
      </c>
      <c r="Y390" s="54" t="str">
        <f t="shared" si="22"/>
        <v>11-Infraestructura Tecnológica   (Sistemas de Información y Tecnologia) 007_Servicios tecnológicos</v>
      </c>
      <c r="Z390" s="131" t="str">
        <f t="shared" si="23"/>
        <v>O23011745992024020711007</v>
      </c>
      <c r="AA390" s="131" t="str">
        <f>IFERROR(VLOOKUP(Y390,TD!$K$46:$L$64,2,0)," ")</f>
        <v>PM/0131/0111/45990070207</v>
      </c>
      <c r="AB390" s="57" t="s">
        <v>139</v>
      </c>
      <c r="AC390" s="132" t="s">
        <v>205</v>
      </c>
    </row>
    <row r="391" spans="2:29" s="28" customFormat="1" ht="57">
      <c r="B391" s="85">
        <v>20241140</v>
      </c>
      <c r="C391" s="53" t="s">
        <v>209</v>
      </c>
      <c r="D391" s="129" t="s">
        <v>163</v>
      </c>
      <c r="E391" s="54" t="s">
        <v>364</v>
      </c>
      <c r="F391" s="129" t="s">
        <v>653</v>
      </c>
      <c r="G391" s="129" t="s">
        <v>156</v>
      </c>
      <c r="H391" s="117">
        <v>80111600</v>
      </c>
      <c r="I391" s="130">
        <v>8</v>
      </c>
      <c r="J391" s="130">
        <v>5</v>
      </c>
      <c r="K391" s="56">
        <v>0</v>
      </c>
      <c r="L391" s="57">
        <f>50400000-7200000-7200000</f>
        <v>36000000</v>
      </c>
      <c r="M391" s="129" t="s">
        <v>173</v>
      </c>
      <c r="N391" s="57" t="s">
        <v>114</v>
      </c>
      <c r="O391" s="54" t="s">
        <v>218</v>
      </c>
      <c r="P391" s="131" t="str">
        <f>IFERROR(VLOOKUP(C391,TD!$B$32:$F$36,2,0)," ")</f>
        <v>O230117</v>
      </c>
      <c r="Q391" s="131" t="str">
        <f>IFERROR(VLOOKUP(C391,TD!$B$32:$F$36,3,0)," ")</f>
        <v>4599</v>
      </c>
      <c r="R391" s="131">
        <f>IFERROR(VLOOKUP(C391,TD!$B$32:$F$36,4,0)," ")</f>
        <v>20240207</v>
      </c>
      <c r="S391" s="54" t="s">
        <v>180</v>
      </c>
      <c r="T391" s="131" t="str">
        <f>IFERROR(VLOOKUP(S391,TD!$J$33:$K$43,2,0)," ")</f>
        <v>Infraestructura Tecnológica   (Sistemas de Información y Tecnologia)</v>
      </c>
      <c r="U391" s="54" t="str">
        <f t="shared" si="20"/>
        <v>11-Infraestructura Tecnológica   (Sistemas de Información y Tecnologia)</v>
      </c>
      <c r="V391" s="54" t="s">
        <v>240</v>
      </c>
      <c r="W391" s="131" t="str">
        <f>IFERROR(VLOOKUP(V391,TD!$N$33:$O$45,2,0)," ")</f>
        <v>Servicios tecnológicos</v>
      </c>
      <c r="X391" s="54" t="str">
        <f t="shared" si="21"/>
        <v>007_Servicios tecnológicos</v>
      </c>
      <c r="Y391" s="54" t="str">
        <f t="shared" si="22"/>
        <v>11-Infraestructura Tecnológica   (Sistemas de Información y Tecnologia) 007_Servicios tecnológicos</v>
      </c>
      <c r="Z391" s="131" t="str">
        <f t="shared" si="23"/>
        <v>O23011745992024020711007</v>
      </c>
      <c r="AA391" s="131" t="str">
        <f>IFERROR(VLOOKUP(Y391,TD!$K$46:$L$64,2,0)," ")</f>
        <v>PM/0131/0111/45990070207</v>
      </c>
      <c r="AB391" s="57" t="s">
        <v>139</v>
      </c>
      <c r="AC391" s="132" t="s">
        <v>205</v>
      </c>
    </row>
    <row r="392" spans="2:29" s="28" customFormat="1" ht="57">
      <c r="B392" s="85">
        <v>20241141</v>
      </c>
      <c r="C392" s="53" t="s">
        <v>209</v>
      </c>
      <c r="D392" s="129" t="s">
        <v>163</v>
      </c>
      <c r="E392" s="54" t="s">
        <v>364</v>
      </c>
      <c r="F392" s="129" t="s">
        <v>654</v>
      </c>
      <c r="G392" s="129" t="s">
        <v>156</v>
      </c>
      <c r="H392" s="117">
        <v>80111600</v>
      </c>
      <c r="I392" s="130">
        <v>9</v>
      </c>
      <c r="J392" s="130">
        <v>4</v>
      </c>
      <c r="K392" s="56">
        <v>20</v>
      </c>
      <c r="L392" s="57">
        <f>35000000-2333000</f>
        <v>32667000</v>
      </c>
      <c r="M392" s="129" t="s">
        <v>173</v>
      </c>
      <c r="N392" s="57" t="s">
        <v>114</v>
      </c>
      <c r="O392" s="54" t="s">
        <v>216</v>
      </c>
      <c r="P392" s="131" t="str">
        <f>IFERROR(VLOOKUP(C392,TD!$B$32:$F$36,2,0)," ")</f>
        <v>O230117</v>
      </c>
      <c r="Q392" s="131" t="str">
        <f>IFERROR(VLOOKUP(C392,TD!$B$32:$F$36,3,0)," ")</f>
        <v>4599</v>
      </c>
      <c r="R392" s="131">
        <f>IFERROR(VLOOKUP(C392,TD!$B$32:$F$36,4,0)," ")</f>
        <v>20240207</v>
      </c>
      <c r="S392" s="54" t="s">
        <v>180</v>
      </c>
      <c r="T392" s="131" t="str">
        <f>IFERROR(VLOOKUP(S392,TD!$J$33:$K$43,2,0)," ")</f>
        <v>Infraestructura Tecnológica   (Sistemas de Información y Tecnologia)</v>
      </c>
      <c r="U392" s="54" t="str">
        <f t="shared" si="20"/>
        <v>11-Infraestructura Tecnológica   (Sistemas de Información y Tecnologia)</v>
      </c>
      <c r="V392" s="54" t="s">
        <v>240</v>
      </c>
      <c r="W392" s="131" t="str">
        <f>IFERROR(VLOOKUP(V392,TD!$N$33:$O$45,2,0)," ")</f>
        <v>Servicios tecnológicos</v>
      </c>
      <c r="X392" s="54" t="str">
        <f t="shared" si="21"/>
        <v>007_Servicios tecnológicos</v>
      </c>
      <c r="Y392" s="54" t="str">
        <f t="shared" si="22"/>
        <v>11-Infraestructura Tecnológica   (Sistemas de Información y Tecnologia) 007_Servicios tecnológicos</v>
      </c>
      <c r="Z392" s="131" t="str">
        <f t="shared" si="23"/>
        <v>O23011745992024020711007</v>
      </c>
      <c r="AA392" s="131" t="str">
        <f>IFERROR(VLOOKUP(Y392,TD!$K$46:$L$64,2,0)," ")</f>
        <v>PM/0131/0111/45990070207</v>
      </c>
      <c r="AB392" s="57" t="s">
        <v>139</v>
      </c>
      <c r="AC392" s="132" t="s">
        <v>205</v>
      </c>
    </row>
    <row r="393" spans="2:29" s="28" customFormat="1" ht="57">
      <c r="B393" s="85">
        <v>20241142</v>
      </c>
      <c r="C393" s="53" t="s">
        <v>209</v>
      </c>
      <c r="D393" s="129" t="s">
        <v>163</v>
      </c>
      <c r="E393" s="54" t="s">
        <v>364</v>
      </c>
      <c r="F393" s="129" t="s">
        <v>655</v>
      </c>
      <c r="G393" s="129" t="s">
        <v>156</v>
      </c>
      <c r="H393" s="117">
        <v>80111600</v>
      </c>
      <c r="I393" s="130">
        <v>8</v>
      </c>
      <c r="J393" s="130">
        <v>5</v>
      </c>
      <c r="K393" s="56">
        <v>0</v>
      </c>
      <c r="L393" s="57">
        <v>36000000</v>
      </c>
      <c r="M393" s="129" t="s">
        <v>173</v>
      </c>
      <c r="N393" s="57" t="s">
        <v>114</v>
      </c>
      <c r="O393" s="54" t="s">
        <v>216</v>
      </c>
      <c r="P393" s="131" t="str">
        <f>IFERROR(VLOOKUP(C393,TD!$B$32:$F$36,2,0)," ")</f>
        <v>O230117</v>
      </c>
      <c r="Q393" s="131" t="str">
        <f>IFERROR(VLOOKUP(C393,TD!$B$32:$F$36,3,0)," ")</f>
        <v>4599</v>
      </c>
      <c r="R393" s="131">
        <f>IFERROR(VLOOKUP(C393,TD!$B$32:$F$36,4,0)," ")</f>
        <v>20240207</v>
      </c>
      <c r="S393" s="54" t="s">
        <v>180</v>
      </c>
      <c r="T393" s="131" t="str">
        <f>IFERROR(VLOOKUP(S393,TD!$J$33:$K$43,2,0)," ")</f>
        <v>Infraestructura Tecnológica   (Sistemas de Información y Tecnologia)</v>
      </c>
      <c r="U393" s="54" t="str">
        <f t="shared" si="20"/>
        <v>11-Infraestructura Tecnológica   (Sistemas de Información y Tecnologia)</v>
      </c>
      <c r="V393" s="54" t="s">
        <v>240</v>
      </c>
      <c r="W393" s="131" t="str">
        <f>IFERROR(VLOOKUP(V393,TD!$N$33:$O$45,2,0)," ")</f>
        <v>Servicios tecnológicos</v>
      </c>
      <c r="X393" s="54" t="str">
        <f t="shared" si="21"/>
        <v>007_Servicios tecnológicos</v>
      </c>
      <c r="Y393" s="54" t="str">
        <f t="shared" si="22"/>
        <v>11-Infraestructura Tecnológica   (Sistemas de Información y Tecnologia) 007_Servicios tecnológicos</v>
      </c>
      <c r="Z393" s="131" t="str">
        <f t="shared" si="23"/>
        <v>O23011745992024020711007</v>
      </c>
      <c r="AA393" s="131" t="str">
        <f>IFERROR(VLOOKUP(Y393,TD!$K$46:$L$64,2,0)," ")</f>
        <v>PM/0131/0111/45990070207</v>
      </c>
      <c r="AB393" s="57" t="s">
        <v>139</v>
      </c>
      <c r="AC393" s="132" t="s">
        <v>205</v>
      </c>
    </row>
    <row r="394" spans="2:29" s="28" customFormat="1" ht="57">
      <c r="B394" s="85">
        <v>20241143</v>
      </c>
      <c r="C394" s="53" t="s">
        <v>209</v>
      </c>
      <c r="D394" s="129" t="s">
        <v>163</v>
      </c>
      <c r="E394" s="54" t="s">
        <v>364</v>
      </c>
      <c r="F394" s="129" t="s">
        <v>656</v>
      </c>
      <c r="G394" s="129" t="s">
        <v>156</v>
      </c>
      <c r="H394" s="117">
        <v>80111600</v>
      </c>
      <c r="I394" s="130">
        <v>8</v>
      </c>
      <c r="J394" s="130">
        <v>5</v>
      </c>
      <c r="K394" s="56">
        <v>0</v>
      </c>
      <c r="L394" s="57">
        <f>47400000-7900000</f>
        <v>39500000</v>
      </c>
      <c r="M394" s="129" t="s">
        <v>173</v>
      </c>
      <c r="N394" s="57" t="s">
        <v>114</v>
      </c>
      <c r="O394" s="54" t="s">
        <v>216</v>
      </c>
      <c r="P394" s="131" t="str">
        <f>IFERROR(VLOOKUP(C394,TD!$B$32:$F$36,2,0)," ")</f>
        <v>O230117</v>
      </c>
      <c r="Q394" s="131" t="str">
        <f>IFERROR(VLOOKUP(C394,TD!$B$32:$F$36,3,0)," ")</f>
        <v>4599</v>
      </c>
      <c r="R394" s="131">
        <f>IFERROR(VLOOKUP(C394,TD!$B$32:$F$36,4,0)," ")</f>
        <v>20240207</v>
      </c>
      <c r="S394" s="54" t="s">
        <v>180</v>
      </c>
      <c r="T394" s="131" t="str">
        <f>IFERROR(VLOOKUP(S394,TD!$J$33:$K$43,2,0)," ")</f>
        <v>Infraestructura Tecnológica   (Sistemas de Información y Tecnologia)</v>
      </c>
      <c r="U394" s="54" t="str">
        <f t="shared" si="20"/>
        <v>11-Infraestructura Tecnológica   (Sistemas de Información y Tecnologia)</v>
      </c>
      <c r="V394" s="54" t="s">
        <v>240</v>
      </c>
      <c r="W394" s="131" t="str">
        <f>IFERROR(VLOOKUP(V394,TD!$N$33:$O$45,2,0)," ")</f>
        <v>Servicios tecnológicos</v>
      </c>
      <c r="X394" s="54" t="str">
        <f t="shared" si="21"/>
        <v>007_Servicios tecnológicos</v>
      </c>
      <c r="Y394" s="54" t="str">
        <f t="shared" si="22"/>
        <v>11-Infraestructura Tecnológica   (Sistemas de Información y Tecnologia) 007_Servicios tecnológicos</v>
      </c>
      <c r="Z394" s="131" t="str">
        <f t="shared" si="23"/>
        <v>O23011745992024020711007</v>
      </c>
      <c r="AA394" s="131" t="str">
        <f>IFERROR(VLOOKUP(Y394,TD!$K$46:$L$64,2,0)," ")</f>
        <v>PM/0131/0111/45990070207</v>
      </c>
      <c r="AB394" s="57" t="s">
        <v>139</v>
      </c>
      <c r="AC394" s="132" t="s">
        <v>205</v>
      </c>
    </row>
    <row r="395" spans="2:29" s="28" customFormat="1" ht="57">
      <c r="B395" s="85">
        <v>20241144</v>
      </c>
      <c r="C395" s="53" t="s">
        <v>209</v>
      </c>
      <c r="D395" s="129" t="s">
        <v>163</v>
      </c>
      <c r="E395" s="54" t="s">
        <v>364</v>
      </c>
      <c r="F395" s="129" t="s">
        <v>657</v>
      </c>
      <c r="G395" s="129" t="s">
        <v>156</v>
      </c>
      <c r="H395" s="117">
        <v>80111600</v>
      </c>
      <c r="I395" s="130">
        <v>8</v>
      </c>
      <c r="J395" s="130">
        <v>5</v>
      </c>
      <c r="K395" s="56">
        <v>0</v>
      </c>
      <c r="L395" s="57">
        <v>30000000</v>
      </c>
      <c r="M395" s="129" t="s">
        <v>173</v>
      </c>
      <c r="N395" s="57" t="s">
        <v>114</v>
      </c>
      <c r="O395" s="54" t="s">
        <v>215</v>
      </c>
      <c r="P395" s="131" t="str">
        <f>IFERROR(VLOOKUP(C395,TD!$B$32:$F$36,2,0)," ")</f>
        <v>O230117</v>
      </c>
      <c r="Q395" s="131" t="str">
        <f>IFERROR(VLOOKUP(C395,TD!$B$32:$F$36,3,0)," ")</f>
        <v>4599</v>
      </c>
      <c r="R395" s="131">
        <f>IFERROR(VLOOKUP(C395,TD!$B$32:$F$36,4,0)," ")</f>
        <v>20240207</v>
      </c>
      <c r="S395" s="54" t="s">
        <v>180</v>
      </c>
      <c r="T395" s="131" t="str">
        <f>IFERROR(VLOOKUP(S395,TD!$J$33:$K$43,2,0)," ")</f>
        <v>Infraestructura Tecnológica   (Sistemas de Información y Tecnologia)</v>
      </c>
      <c r="U395" s="54" t="str">
        <f t="shared" ref="U395:U458" si="24">CONCATENATE(S395,"-",T395)</f>
        <v>11-Infraestructura Tecnológica   (Sistemas de Información y Tecnologia)</v>
      </c>
      <c r="V395" s="54" t="s">
        <v>240</v>
      </c>
      <c r="W395" s="131" t="str">
        <f>IFERROR(VLOOKUP(V395,TD!$N$33:$O$45,2,0)," ")</f>
        <v>Servicios tecnológicos</v>
      </c>
      <c r="X395" s="54" t="str">
        <f t="shared" ref="X395:X458" si="25">CONCATENATE(V395,"_",W395)</f>
        <v>007_Servicios tecnológicos</v>
      </c>
      <c r="Y395" s="54" t="str">
        <f t="shared" ref="Y395:Y458" si="26">CONCATENATE(U395," ",X395)</f>
        <v>11-Infraestructura Tecnológica   (Sistemas de Información y Tecnologia) 007_Servicios tecnológicos</v>
      </c>
      <c r="Z395" s="131" t="str">
        <f t="shared" ref="Z395:Z458" si="27">CONCATENATE(P395,Q395,R395,S395,V395)</f>
        <v>O23011745992024020711007</v>
      </c>
      <c r="AA395" s="131" t="str">
        <f>IFERROR(VLOOKUP(Y395,TD!$K$46:$L$64,2,0)," ")</f>
        <v>PM/0131/0111/45990070207</v>
      </c>
      <c r="AB395" s="57" t="s">
        <v>139</v>
      </c>
      <c r="AC395" s="132" t="s">
        <v>205</v>
      </c>
    </row>
    <row r="396" spans="2:29" s="28" customFormat="1" ht="71.25">
      <c r="B396" s="85">
        <v>20241145</v>
      </c>
      <c r="C396" s="53" t="s">
        <v>209</v>
      </c>
      <c r="D396" s="129" t="s">
        <v>163</v>
      </c>
      <c r="E396" s="54" t="s">
        <v>364</v>
      </c>
      <c r="F396" s="129" t="s">
        <v>658</v>
      </c>
      <c r="G396" s="129" t="s">
        <v>156</v>
      </c>
      <c r="H396" s="117">
        <v>80111600</v>
      </c>
      <c r="I396" s="130">
        <v>9</v>
      </c>
      <c r="J396" s="130">
        <v>4</v>
      </c>
      <c r="K396" s="56">
        <v>0</v>
      </c>
      <c r="L396" s="57">
        <f>25000000-1000000</f>
        <v>24000000</v>
      </c>
      <c r="M396" s="129" t="s">
        <v>173</v>
      </c>
      <c r="N396" s="57" t="s">
        <v>114</v>
      </c>
      <c r="O396" s="54" t="s">
        <v>216</v>
      </c>
      <c r="P396" s="131" t="str">
        <f>IFERROR(VLOOKUP(C396,TD!$B$32:$F$36,2,0)," ")</f>
        <v>O230117</v>
      </c>
      <c r="Q396" s="131" t="str">
        <f>IFERROR(VLOOKUP(C396,TD!$B$32:$F$36,3,0)," ")</f>
        <v>4599</v>
      </c>
      <c r="R396" s="131">
        <f>IFERROR(VLOOKUP(C396,TD!$B$32:$F$36,4,0)," ")</f>
        <v>20240207</v>
      </c>
      <c r="S396" s="54" t="s">
        <v>180</v>
      </c>
      <c r="T396" s="131" t="str">
        <f>IFERROR(VLOOKUP(S396,TD!$J$33:$K$43,2,0)," ")</f>
        <v>Infraestructura Tecnológica   (Sistemas de Información y Tecnologia)</v>
      </c>
      <c r="U396" s="54" t="str">
        <f t="shared" si="24"/>
        <v>11-Infraestructura Tecnológica   (Sistemas de Información y Tecnologia)</v>
      </c>
      <c r="V396" s="54" t="s">
        <v>240</v>
      </c>
      <c r="W396" s="131" t="str">
        <f>IFERROR(VLOOKUP(V396,TD!$N$33:$O$45,2,0)," ")</f>
        <v>Servicios tecnológicos</v>
      </c>
      <c r="X396" s="54" t="str">
        <f t="shared" si="25"/>
        <v>007_Servicios tecnológicos</v>
      </c>
      <c r="Y396" s="54" t="str">
        <f t="shared" si="26"/>
        <v>11-Infraestructura Tecnológica   (Sistemas de Información y Tecnologia) 007_Servicios tecnológicos</v>
      </c>
      <c r="Z396" s="131" t="str">
        <f t="shared" si="27"/>
        <v>O23011745992024020711007</v>
      </c>
      <c r="AA396" s="131" t="str">
        <f>IFERROR(VLOOKUP(Y396,TD!$K$46:$L$64,2,0)," ")</f>
        <v>PM/0131/0111/45990070207</v>
      </c>
      <c r="AB396" s="57" t="s">
        <v>139</v>
      </c>
      <c r="AC396" s="132" t="s">
        <v>205</v>
      </c>
    </row>
    <row r="397" spans="2:29" s="28" customFormat="1" ht="71.25">
      <c r="B397" s="85">
        <v>20241146</v>
      </c>
      <c r="C397" s="53" t="s">
        <v>209</v>
      </c>
      <c r="D397" s="129" t="s">
        <v>163</v>
      </c>
      <c r="E397" s="54" t="s">
        <v>364</v>
      </c>
      <c r="F397" s="129" t="s">
        <v>659</v>
      </c>
      <c r="G397" s="129" t="s">
        <v>156</v>
      </c>
      <c r="H397" s="117">
        <v>80111600</v>
      </c>
      <c r="I397" s="130">
        <v>8</v>
      </c>
      <c r="J397" s="130">
        <v>5</v>
      </c>
      <c r="K397" s="56">
        <v>0</v>
      </c>
      <c r="L397" s="57">
        <f>36000000-6000000</f>
        <v>30000000</v>
      </c>
      <c r="M397" s="129" t="s">
        <v>173</v>
      </c>
      <c r="N397" s="57" t="s">
        <v>114</v>
      </c>
      <c r="O397" s="54" t="s">
        <v>216</v>
      </c>
      <c r="P397" s="131" t="str">
        <f>IFERROR(VLOOKUP(C397,TD!$B$32:$F$36,2,0)," ")</f>
        <v>O230117</v>
      </c>
      <c r="Q397" s="131" t="str">
        <f>IFERROR(VLOOKUP(C397,TD!$B$32:$F$36,3,0)," ")</f>
        <v>4599</v>
      </c>
      <c r="R397" s="131">
        <f>IFERROR(VLOOKUP(C397,TD!$B$32:$F$36,4,0)," ")</f>
        <v>20240207</v>
      </c>
      <c r="S397" s="54" t="s">
        <v>180</v>
      </c>
      <c r="T397" s="131" t="str">
        <f>IFERROR(VLOOKUP(S397,TD!$J$33:$K$43,2,0)," ")</f>
        <v>Infraestructura Tecnológica   (Sistemas de Información y Tecnologia)</v>
      </c>
      <c r="U397" s="54" t="str">
        <f t="shared" si="24"/>
        <v>11-Infraestructura Tecnológica   (Sistemas de Información y Tecnologia)</v>
      </c>
      <c r="V397" s="54" t="s">
        <v>240</v>
      </c>
      <c r="W397" s="131" t="str">
        <f>IFERROR(VLOOKUP(V397,TD!$N$33:$O$45,2,0)," ")</f>
        <v>Servicios tecnológicos</v>
      </c>
      <c r="X397" s="54" t="str">
        <f t="shared" si="25"/>
        <v>007_Servicios tecnológicos</v>
      </c>
      <c r="Y397" s="54" t="str">
        <f t="shared" si="26"/>
        <v>11-Infraestructura Tecnológica   (Sistemas de Información y Tecnologia) 007_Servicios tecnológicos</v>
      </c>
      <c r="Z397" s="131" t="str">
        <f t="shared" si="27"/>
        <v>O23011745992024020711007</v>
      </c>
      <c r="AA397" s="131" t="str">
        <f>IFERROR(VLOOKUP(Y397,TD!$K$46:$L$64,2,0)," ")</f>
        <v>PM/0131/0111/45990070207</v>
      </c>
      <c r="AB397" s="57" t="s">
        <v>139</v>
      </c>
      <c r="AC397" s="132" t="s">
        <v>205</v>
      </c>
    </row>
    <row r="398" spans="2:29" s="28" customFormat="1" ht="71.25">
      <c r="B398" s="85">
        <v>20241147</v>
      </c>
      <c r="C398" s="53" t="s">
        <v>209</v>
      </c>
      <c r="D398" s="129" t="s">
        <v>163</v>
      </c>
      <c r="E398" s="54" t="s">
        <v>364</v>
      </c>
      <c r="F398" s="129" t="s">
        <v>660</v>
      </c>
      <c r="G398" s="129" t="s">
        <v>157</v>
      </c>
      <c r="H398" s="117">
        <v>80111600</v>
      </c>
      <c r="I398" s="130">
        <v>10</v>
      </c>
      <c r="J398" s="130">
        <v>3</v>
      </c>
      <c r="K398" s="56">
        <v>15</v>
      </c>
      <c r="L398" s="57">
        <f>9250000+1850000</f>
        <v>11100000</v>
      </c>
      <c r="M398" s="129" t="s">
        <v>173</v>
      </c>
      <c r="N398" s="57" t="s">
        <v>114</v>
      </c>
      <c r="O398" s="54" t="s">
        <v>216</v>
      </c>
      <c r="P398" s="131" t="str">
        <f>IFERROR(VLOOKUP(C398,TD!$B$32:$F$36,2,0)," ")</f>
        <v>O230117</v>
      </c>
      <c r="Q398" s="131" t="str">
        <f>IFERROR(VLOOKUP(C398,TD!$B$32:$F$36,3,0)," ")</f>
        <v>4599</v>
      </c>
      <c r="R398" s="131">
        <f>IFERROR(VLOOKUP(C398,TD!$B$32:$F$36,4,0)," ")</f>
        <v>20240207</v>
      </c>
      <c r="S398" s="54" t="s">
        <v>180</v>
      </c>
      <c r="T398" s="131" t="str">
        <f>IFERROR(VLOOKUP(S398,TD!$J$33:$K$43,2,0)," ")</f>
        <v>Infraestructura Tecnológica   (Sistemas de Información y Tecnologia)</v>
      </c>
      <c r="U398" s="54" t="str">
        <f t="shared" si="24"/>
        <v>11-Infraestructura Tecnológica   (Sistemas de Información y Tecnologia)</v>
      </c>
      <c r="V398" s="54" t="s">
        <v>240</v>
      </c>
      <c r="W398" s="131" t="str">
        <f>IFERROR(VLOOKUP(V398,TD!$N$33:$O$45,2,0)," ")</f>
        <v>Servicios tecnológicos</v>
      </c>
      <c r="X398" s="54" t="str">
        <f t="shared" si="25"/>
        <v>007_Servicios tecnológicos</v>
      </c>
      <c r="Y398" s="54" t="str">
        <f t="shared" si="26"/>
        <v>11-Infraestructura Tecnológica   (Sistemas de Información y Tecnologia) 007_Servicios tecnológicos</v>
      </c>
      <c r="Z398" s="131" t="str">
        <f t="shared" si="27"/>
        <v>O23011745992024020711007</v>
      </c>
      <c r="AA398" s="131" t="str">
        <f>IFERROR(VLOOKUP(Y398,TD!$K$46:$L$64,2,0)," ")</f>
        <v>PM/0131/0111/45990070207</v>
      </c>
      <c r="AB398" s="57" t="s">
        <v>139</v>
      </c>
      <c r="AC398" s="132" t="s">
        <v>205</v>
      </c>
    </row>
    <row r="399" spans="2:29" s="28" customFormat="1" ht="71.25">
      <c r="B399" s="85">
        <v>20241148</v>
      </c>
      <c r="C399" s="53" t="s">
        <v>209</v>
      </c>
      <c r="D399" s="129" t="s">
        <v>163</v>
      </c>
      <c r="E399" s="54" t="s">
        <v>364</v>
      </c>
      <c r="F399" s="129" t="s">
        <v>661</v>
      </c>
      <c r="G399" s="129" t="s">
        <v>157</v>
      </c>
      <c r="H399" s="117">
        <v>80111600</v>
      </c>
      <c r="I399" s="130">
        <v>9</v>
      </c>
      <c r="J399" s="130">
        <v>4</v>
      </c>
      <c r="K399" s="56">
        <v>0</v>
      </c>
      <c r="L399" s="57">
        <f>25476971-9476971-3200000</f>
        <v>12800000</v>
      </c>
      <c r="M399" s="129" t="s">
        <v>173</v>
      </c>
      <c r="N399" s="57" t="s">
        <v>114</v>
      </c>
      <c r="O399" s="54" t="s">
        <v>218</v>
      </c>
      <c r="P399" s="131" t="str">
        <f>IFERROR(VLOOKUP(C399,TD!$B$32:$F$36,2,0)," ")</f>
        <v>O230117</v>
      </c>
      <c r="Q399" s="131" t="str">
        <f>IFERROR(VLOOKUP(C399,TD!$B$32:$F$36,3,0)," ")</f>
        <v>4599</v>
      </c>
      <c r="R399" s="131">
        <f>IFERROR(VLOOKUP(C399,TD!$B$32:$F$36,4,0)," ")</f>
        <v>20240207</v>
      </c>
      <c r="S399" s="54" t="s">
        <v>180</v>
      </c>
      <c r="T399" s="131" t="str">
        <f>IFERROR(VLOOKUP(S399,TD!$J$33:$K$43,2,0)," ")</f>
        <v>Infraestructura Tecnológica   (Sistemas de Información y Tecnologia)</v>
      </c>
      <c r="U399" s="54" t="str">
        <f t="shared" si="24"/>
        <v>11-Infraestructura Tecnológica   (Sistemas de Información y Tecnologia)</v>
      </c>
      <c r="V399" s="54" t="s">
        <v>240</v>
      </c>
      <c r="W399" s="131" t="str">
        <f>IFERROR(VLOOKUP(V399,TD!$N$33:$O$45,2,0)," ")</f>
        <v>Servicios tecnológicos</v>
      </c>
      <c r="X399" s="54" t="str">
        <f t="shared" si="25"/>
        <v>007_Servicios tecnológicos</v>
      </c>
      <c r="Y399" s="54" t="str">
        <f t="shared" si="26"/>
        <v>11-Infraestructura Tecnológica   (Sistemas de Información y Tecnologia) 007_Servicios tecnológicos</v>
      </c>
      <c r="Z399" s="131" t="str">
        <f t="shared" si="27"/>
        <v>O23011745992024020711007</v>
      </c>
      <c r="AA399" s="131" t="str">
        <f>IFERROR(VLOOKUP(Y399,TD!$K$46:$L$64,2,0)," ")</f>
        <v>PM/0131/0111/45990070207</v>
      </c>
      <c r="AB399" s="57" t="s">
        <v>139</v>
      </c>
      <c r="AC399" s="132" t="s">
        <v>205</v>
      </c>
    </row>
    <row r="400" spans="2:29" s="28" customFormat="1" ht="71.25">
      <c r="B400" s="85">
        <v>20241149</v>
      </c>
      <c r="C400" s="53" t="s">
        <v>209</v>
      </c>
      <c r="D400" s="129" t="s">
        <v>163</v>
      </c>
      <c r="E400" s="54" t="s">
        <v>364</v>
      </c>
      <c r="F400" s="129" t="s">
        <v>662</v>
      </c>
      <c r="G400" s="129" t="s">
        <v>157</v>
      </c>
      <c r="H400" s="117">
        <v>80111600</v>
      </c>
      <c r="I400" s="130">
        <v>9</v>
      </c>
      <c r="J400" s="130">
        <v>4</v>
      </c>
      <c r="K400" s="56">
        <v>0</v>
      </c>
      <c r="L400" s="57">
        <f>17500000-1500000</f>
        <v>16000000</v>
      </c>
      <c r="M400" s="129" t="s">
        <v>173</v>
      </c>
      <c r="N400" s="57" t="s">
        <v>114</v>
      </c>
      <c r="O400" s="54" t="s">
        <v>216</v>
      </c>
      <c r="P400" s="131" t="str">
        <f>IFERROR(VLOOKUP(C400,TD!$B$32:$F$36,2,0)," ")</f>
        <v>O230117</v>
      </c>
      <c r="Q400" s="131" t="str">
        <f>IFERROR(VLOOKUP(C400,TD!$B$32:$F$36,3,0)," ")</f>
        <v>4599</v>
      </c>
      <c r="R400" s="131">
        <f>IFERROR(VLOOKUP(C400,TD!$B$32:$F$36,4,0)," ")</f>
        <v>20240207</v>
      </c>
      <c r="S400" s="54" t="s">
        <v>180</v>
      </c>
      <c r="T400" s="131" t="str">
        <f>IFERROR(VLOOKUP(S400,TD!$J$33:$K$43,2,0)," ")</f>
        <v>Infraestructura Tecnológica   (Sistemas de Información y Tecnologia)</v>
      </c>
      <c r="U400" s="54" t="str">
        <f t="shared" si="24"/>
        <v>11-Infraestructura Tecnológica   (Sistemas de Información y Tecnologia)</v>
      </c>
      <c r="V400" s="54" t="s">
        <v>240</v>
      </c>
      <c r="W400" s="131" t="str">
        <f>IFERROR(VLOOKUP(V400,TD!$N$33:$O$45,2,0)," ")</f>
        <v>Servicios tecnológicos</v>
      </c>
      <c r="X400" s="54" t="str">
        <f t="shared" si="25"/>
        <v>007_Servicios tecnológicos</v>
      </c>
      <c r="Y400" s="54" t="str">
        <f t="shared" si="26"/>
        <v>11-Infraestructura Tecnológica   (Sistemas de Información y Tecnologia) 007_Servicios tecnológicos</v>
      </c>
      <c r="Z400" s="131" t="str">
        <f t="shared" si="27"/>
        <v>O23011745992024020711007</v>
      </c>
      <c r="AA400" s="131" t="str">
        <f>IFERROR(VLOOKUP(Y400,TD!$K$46:$L$64,2,0)," ")</f>
        <v>PM/0131/0111/45990070207</v>
      </c>
      <c r="AB400" s="57" t="s">
        <v>139</v>
      </c>
      <c r="AC400" s="132" t="s">
        <v>205</v>
      </c>
    </row>
    <row r="401" spans="2:29" s="28" customFormat="1" ht="71.25">
      <c r="B401" s="85">
        <v>20241150</v>
      </c>
      <c r="C401" s="53" t="s">
        <v>209</v>
      </c>
      <c r="D401" s="129" t="s">
        <v>163</v>
      </c>
      <c r="E401" s="54" t="s">
        <v>364</v>
      </c>
      <c r="F401" s="129" t="s">
        <v>841</v>
      </c>
      <c r="G401" s="129" t="s">
        <v>157</v>
      </c>
      <c r="H401" s="117">
        <v>80111600</v>
      </c>
      <c r="I401" s="130">
        <v>8</v>
      </c>
      <c r="J401" s="130">
        <v>4</v>
      </c>
      <c r="K401" s="56">
        <v>0</v>
      </c>
      <c r="L401" s="57">
        <f>18000000-1200000</f>
        <v>16800000</v>
      </c>
      <c r="M401" s="129" t="s">
        <v>173</v>
      </c>
      <c r="N401" s="57" t="s">
        <v>114</v>
      </c>
      <c r="O401" s="54" t="s">
        <v>216</v>
      </c>
      <c r="P401" s="131" t="str">
        <f>IFERROR(VLOOKUP(C401,TD!$B$32:$F$36,2,0)," ")</f>
        <v>O230117</v>
      </c>
      <c r="Q401" s="131" t="str">
        <f>IFERROR(VLOOKUP(C401,TD!$B$32:$F$36,3,0)," ")</f>
        <v>4599</v>
      </c>
      <c r="R401" s="131">
        <f>IFERROR(VLOOKUP(C401,TD!$B$32:$F$36,4,0)," ")</f>
        <v>20240207</v>
      </c>
      <c r="S401" s="54" t="s">
        <v>180</v>
      </c>
      <c r="T401" s="131" t="str">
        <f>IFERROR(VLOOKUP(S401,TD!$J$33:$K$43,2,0)," ")</f>
        <v>Infraestructura Tecnológica   (Sistemas de Información y Tecnologia)</v>
      </c>
      <c r="U401" s="54" t="str">
        <f t="shared" si="24"/>
        <v>11-Infraestructura Tecnológica   (Sistemas de Información y Tecnologia)</v>
      </c>
      <c r="V401" s="54" t="s">
        <v>240</v>
      </c>
      <c r="W401" s="131" t="str">
        <f>IFERROR(VLOOKUP(V401,TD!$N$33:$O$45,2,0)," ")</f>
        <v>Servicios tecnológicos</v>
      </c>
      <c r="X401" s="54" t="str">
        <f t="shared" si="25"/>
        <v>007_Servicios tecnológicos</v>
      </c>
      <c r="Y401" s="54" t="str">
        <f t="shared" si="26"/>
        <v>11-Infraestructura Tecnológica   (Sistemas de Información y Tecnologia) 007_Servicios tecnológicos</v>
      </c>
      <c r="Z401" s="131" t="str">
        <f t="shared" si="27"/>
        <v>O23011745992024020711007</v>
      </c>
      <c r="AA401" s="131" t="str">
        <f>IFERROR(VLOOKUP(Y401,TD!$K$46:$L$64,2,0)," ")</f>
        <v>PM/0131/0111/45990070207</v>
      </c>
      <c r="AB401" s="57" t="s">
        <v>139</v>
      </c>
      <c r="AC401" s="132" t="s">
        <v>205</v>
      </c>
    </row>
    <row r="402" spans="2:29" s="28" customFormat="1" ht="57">
      <c r="B402" s="85">
        <v>20241151</v>
      </c>
      <c r="C402" s="53" t="s">
        <v>209</v>
      </c>
      <c r="D402" s="129" t="s">
        <v>163</v>
      </c>
      <c r="E402" s="54" t="s">
        <v>364</v>
      </c>
      <c r="F402" s="129" t="s">
        <v>663</v>
      </c>
      <c r="G402" s="129" t="s">
        <v>156</v>
      </c>
      <c r="H402" s="117">
        <v>80111600</v>
      </c>
      <c r="I402" s="130">
        <v>8</v>
      </c>
      <c r="J402" s="130">
        <v>5</v>
      </c>
      <c r="K402" s="56">
        <v>0</v>
      </c>
      <c r="L402" s="57">
        <f>49440000-8240000</f>
        <v>41200000</v>
      </c>
      <c r="M402" s="129" t="s">
        <v>173</v>
      </c>
      <c r="N402" s="57" t="s">
        <v>114</v>
      </c>
      <c r="O402" s="54" t="s">
        <v>216</v>
      </c>
      <c r="P402" s="131" t="str">
        <f>IFERROR(VLOOKUP(C402,TD!$B$32:$F$36,2,0)," ")</f>
        <v>O230117</v>
      </c>
      <c r="Q402" s="131" t="str">
        <f>IFERROR(VLOOKUP(C402,TD!$B$32:$F$36,3,0)," ")</f>
        <v>4599</v>
      </c>
      <c r="R402" s="131">
        <f>IFERROR(VLOOKUP(C402,TD!$B$32:$F$36,4,0)," ")</f>
        <v>20240207</v>
      </c>
      <c r="S402" s="54" t="s">
        <v>180</v>
      </c>
      <c r="T402" s="131" t="str">
        <f>IFERROR(VLOOKUP(S402,TD!$J$33:$K$43,2,0)," ")</f>
        <v>Infraestructura Tecnológica   (Sistemas de Información y Tecnologia)</v>
      </c>
      <c r="U402" s="54" t="str">
        <f t="shared" si="24"/>
        <v>11-Infraestructura Tecnológica   (Sistemas de Información y Tecnologia)</v>
      </c>
      <c r="V402" s="54" t="s">
        <v>240</v>
      </c>
      <c r="W402" s="131" t="str">
        <f>IFERROR(VLOOKUP(V402,TD!$N$33:$O$45,2,0)," ")</f>
        <v>Servicios tecnológicos</v>
      </c>
      <c r="X402" s="54" t="str">
        <f t="shared" si="25"/>
        <v>007_Servicios tecnológicos</v>
      </c>
      <c r="Y402" s="54" t="str">
        <f t="shared" si="26"/>
        <v>11-Infraestructura Tecnológica   (Sistemas de Información y Tecnologia) 007_Servicios tecnológicos</v>
      </c>
      <c r="Z402" s="131" t="str">
        <f t="shared" si="27"/>
        <v>O23011745992024020711007</v>
      </c>
      <c r="AA402" s="131" t="str">
        <f>IFERROR(VLOOKUP(Y402,TD!$K$46:$L$64,2,0)," ")</f>
        <v>PM/0131/0111/45990070207</v>
      </c>
      <c r="AB402" s="57" t="s">
        <v>139</v>
      </c>
      <c r="AC402" s="132" t="s">
        <v>205</v>
      </c>
    </row>
    <row r="403" spans="2:29" s="28" customFormat="1" ht="71.25">
      <c r="B403" s="85">
        <v>20241152</v>
      </c>
      <c r="C403" s="53" t="s">
        <v>209</v>
      </c>
      <c r="D403" s="129" t="s">
        <v>163</v>
      </c>
      <c r="E403" s="54" t="s">
        <v>364</v>
      </c>
      <c r="F403" s="129" t="s">
        <v>664</v>
      </c>
      <c r="G403" s="129" t="s">
        <v>157</v>
      </c>
      <c r="H403" s="117">
        <v>80111600</v>
      </c>
      <c r="I403" s="130">
        <v>8</v>
      </c>
      <c r="J403" s="130">
        <v>5</v>
      </c>
      <c r="K403" s="56">
        <v>0</v>
      </c>
      <c r="L403" s="57">
        <f>21600000-4788000</f>
        <v>16812000</v>
      </c>
      <c r="M403" s="129" t="s">
        <v>173</v>
      </c>
      <c r="N403" s="57" t="s">
        <v>114</v>
      </c>
      <c r="O403" s="54" t="s">
        <v>216</v>
      </c>
      <c r="P403" s="131" t="str">
        <f>IFERROR(VLOOKUP(C403,TD!$B$32:$F$36,2,0)," ")</f>
        <v>O230117</v>
      </c>
      <c r="Q403" s="131" t="str">
        <f>IFERROR(VLOOKUP(C403,TD!$B$32:$F$36,3,0)," ")</f>
        <v>4599</v>
      </c>
      <c r="R403" s="131">
        <f>IFERROR(VLOOKUP(C403,TD!$B$32:$F$36,4,0)," ")</f>
        <v>20240207</v>
      </c>
      <c r="S403" s="54" t="s">
        <v>180</v>
      </c>
      <c r="T403" s="131" t="str">
        <f>IFERROR(VLOOKUP(S403,TD!$J$33:$K$43,2,0)," ")</f>
        <v>Infraestructura Tecnológica   (Sistemas de Información y Tecnologia)</v>
      </c>
      <c r="U403" s="54" t="str">
        <f t="shared" si="24"/>
        <v>11-Infraestructura Tecnológica   (Sistemas de Información y Tecnologia)</v>
      </c>
      <c r="V403" s="54" t="s">
        <v>240</v>
      </c>
      <c r="W403" s="131" t="str">
        <f>IFERROR(VLOOKUP(V403,TD!$N$33:$O$45,2,0)," ")</f>
        <v>Servicios tecnológicos</v>
      </c>
      <c r="X403" s="54" t="str">
        <f t="shared" si="25"/>
        <v>007_Servicios tecnológicos</v>
      </c>
      <c r="Y403" s="54" t="str">
        <f t="shared" si="26"/>
        <v>11-Infraestructura Tecnológica   (Sistemas de Información y Tecnologia) 007_Servicios tecnológicos</v>
      </c>
      <c r="Z403" s="131" t="str">
        <f t="shared" si="27"/>
        <v>O23011745992024020711007</v>
      </c>
      <c r="AA403" s="131" t="str">
        <f>IFERROR(VLOOKUP(Y403,TD!$K$46:$L$64,2,0)," ")</f>
        <v>PM/0131/0111/45990070207</v>
      </c>
      <c r="AB403" s="57" t="s">
        <v>139</v>
      </c>
      <c r="AC403" s="132" t="s">
        <v>205</v>
      </c>
    </row>
    <row r="404" spans="2:29" s="28" customFormat="1" ht="57">
      <c r="B404" s="85">
        <v>20241153</v>
      </c>
      <c r="C404" s="53" t="s">
        <v>209</v>
      </c>
      <c r="D404" s="129" t="s">
        <v>163</v>
      </c>
      <c r="E404" s="54" t="s">
        <v>364</v>
      </c>
      <c r="F404" s="129" t="s">
        <v>665</v>
      </c>
      <c r="G404" s="129" t="s">
        <v>156</v>
      </c>
      <c r="H404" s="117">
        <v>80111600</v>
      </c>
      <c r="I404" s="130">
        <v>9</v>
      </c>
      <c r="J404" s="130">
        <v>4</v>
      </c>
      <c r="K404" s="56">
        <v>20</v>
      </c>
      <c r="L404" s="57">
        <f>30000000-2000000</f>
        <v>28000000</v>
      </c>
      <c r="M404" s="129" t="s">
        <v>173</v>
      </c>
      <c r="N404" s="57" t="s">
        <v>114</v>
      </c>
      <c r="O404" s="54" t="s">
        <v>217</v>
      </c>
      <c r="P404" s="131" t="str">
        <f>IFERROR(VLOOKUP(C404,TD!$B$32:$F$36,2,0)," ")</f>
        <v>O230117</v>
      </c>
      <c r="Q404" s="131" t="str">
        <f>IFERROR(VLOOKUP(C404,TD!$B$32:$F$36,3,0)," ")</f>
        <v>4599</v>
      </c>
      <c r="R404" s="131">
        <f>IFERROR(VLOOKUP(C404,TD!$B$32:$F$36,4,0)," ")</f>
        <v>20240207</v>
      </c>
      <c r="S404" s="54" t="s">
        <v>180</v>
      </c>
      <c r="T404" s="131" t="str">
        <f>IFERROR(VLOOKUP(S404,TD!$J$33:$K$43,2,0)," ")</f>
        <v>Infraestructura Tecnológica   (Sistemas de Información y Tecnologia)</v>
      </c>
      <c r="U404" s="54" t="str">
        <f t="shared" si="24"/>
        <v>11-Infraestructura Tecnológica   (Sistemas de Información y Tecnologia)</v>
      </c>
      <c r="V404" s="54" t="s">
        <v>240</v>
      </c>
      <c r="W404" s="131" t="str">
        <f>IFERROR(VLOOKUP(V404,TD!$N$33:$O$45,2,0)," ")</f>
        <v>Servicios tecnológicos</v>
      </c>
      <c r="X404" s="54" t="str">
        <f t="shared" si="25"/>
        <v>007_Servicios tecnológicos</v>
      </c>
      <c r="Y404" s="54" t="str">
        <f t="shared" si="26"/>
        <v>11-Infraestructura Tecnológica   (Sistemas de Información y Tecnologia) 007_Servicios tecnológicos</v>
      </c>
      <c r="Z404" s="131" t="str">
        <f t="shared" si="27"/>
        <v>O23011745992024020711007</v>
      </c>
      <c r="AA404" s="131" t="str">
        <f>IFERROR(VLOOKUP(Y404,TD!$K$46:$L$64,2,0)," ")</f>
        <v>PM/0131/0111/45990070207</v>
      </c>
      <c r="AB404" s="57" t="s">
        <v>139</v>
      </c>
      <c r="AC404" s="132" t="s">
        <v>205</v>
      </c>
    </row>
    <row r="405" spans="2:29" s="28" customFormat="1" ht="57">
      <c r="B405" s="85">
        <v>20241158</v>
      </c>
      <c r="C405" s="53" t="s">
        <v>209</v>
      </c>
      <c r="D405" s="129" t="s">
        <v>789</v>
      </c>
      <c r="E405" s="54" t="s">
        <v>364</v>
      </c>
      <c r="F405" s="129" t="s">
        <v>562</v>
      </c>
      <c r="G405" s="129" t="s">
        <v>156</v>
      </c>
      <c r="H405" s="117">
        <v>80111600</v>
      </c>
      <c r="I405" s="130">
        <v>8</v>
      </c>
      <c r="J405" s="130">
        <v>1</v>
      </c>
      <c r="K405" s="56">
        <v>0</v>
      </c>
      <c r="L405" s="57">
        <v>208000000</v>
      </c>
      <c r="M405" s="129" t="s">
        <v>173</v>
      </c>
      <c r="N405" s="57" t="s">
        <v>349</v>
      </c>
      <c r="O405" s="54" t="s">
        <v>215</v>
      </c>
      <c r="P405" s="131" t="str">
        <f>IFERROR(VLOOKUP(C405,TD!$B$32:$F$36,2,0)," ")</f>
        <v>O230117</v>
      </c>
      <c r="Q405" s="131" t="str">
        <f>IFERROR(VLOOKUP(C405,TD!$B$32:$F$36,3,0)," ")</f>
        <v>4599</v>
      </c>
      <c r="R405" s="131">
        <f>IFERROR(VLOOKUP(C405,TD!$B$32:$F$36,4,0)," ")</f>
        <v>20240207</v>
      </c>
      <c r="S405" s="54" t="s">
        <v>180</v>
      </c>
      <c r="T405" s="131" t="str">
        <f>IFERROR(VLOOKUP(S405,TD!$J$33:$K$43,2,0)," ")</f>
        <v>Infraestructura Tecnológica   (Sistemas de Información y Tecnologia)</v>
      </c>
      <c r="U405" s="54" t="str">
        <f t="shared" si="24"/>
        <v>11-Infraestructura Tecnológica   (Sistemas de Información y Tecnologia)</v>
      </c>
      <c r="V405" s="54" t="s">
        <v>240</v>
      </c>
      <c r="W405" s="131" t="str">
        <f>IFERROR(VLOOKUP(V405,TD!$N$33:$O$45,2,0)," ")</f>
        <v>Servicios tecnológicos</v>
      </c>
      <c r="X405" s="54" t="str">
        <f t="shared" si="25"/>
        <v>007_Servicios tecnológicos</v>
      </c>
      <c r="Y405" s="54" t="str">
        <f t="shared" si="26"/>
        <v>11-Infraestructura Tecnológica   (Sistemas de Información y Tecnologia) 007_Servicios tecnológicos</v>
      </c>
      <c r="Z405" s="131" t="str">
        <f t="shared" si="27"/>
        <v>O23011745992024020711007</v>
      </c>
      <c r="AA405" s="131" t="str">
        <f>IFERROR(VLOOKUP(Y405,TD!$K$46:$L$64,2,0)," ")</f>
        <v>PM/0131/0111/45990070207</v>
      </c>
      <c r="AB405" s="57" t="s">
        <v>139</v>
      </c>
      <c r="AC405" s="132" t="s">
        <v>206</v>
      </c>
    </row>
    <row r="406" spans="2:29" s="28" customFormat="1" ht="85.5">
      <c r="B406" s="85">
        <v>20241159</v>
      </c>
      <c r="C406" s="53" t="s">
        <v>347</v>
      </c>
      <c r="D406" s="129" t="s">
        <v>163</v>
      </c>
      <c r="E406" s="54" t="s">
        <v>364</v>
      </c>
      <c r="F406" s="129" t="s">
        <v>784</v>
      </c>
      <c r="G406" s="129" t="s">
        <v>158</v>
      </c>
      <c r="H406" s="117" t="s">
        <v>785</v>
      </c>
      <c r="I406" s="130">
        <v>8</v>
      </c>
      <c r="J406" s="130">
        <v>7</v>
      </c>
      <c r="K406" s="56">
        <v>0</v>
      </c>
      <c r="L406" s="57">
        <f>259000000-833492</f>
        <v>258166508</v>
      </c>
      <c r="M406" s="129" t="s">
        <v>173</v>
      </c>
      <c r="N406" s="57" t="s">
        <v>96</v>
      </c>
      <c r="O406" s="54" t="s">
        <v>348</v>
      </c>
      <c r="P406" s="131" t="str">
        <f>IFERROR(VLOOKUP(C406,TD!$B$32:$F$36,2,0)," ")</f>
        <v>NA</v>
      </c>
      <c r="Q406" s="131" t="str">
        <f>IFERROR(VLOOKUP(C406,TD!$B$32:$F$36,3,0)," ")</f>
        <v>NA</v>
      </c>
      <c r="R406" s="131" t="str">
        <f>IFERROR(VLOOKUP(C406,TD!$B$32:$F$36,4,0)," ")</f>
        <v>NA</v>
      </c>
      <c r="S406" s="54" t="s">
        <v>567</v>
      </c>
      <c r="T406" s="131" t="str">
        <f>IFERROR(VLOOKUP(S406,TD!$J$33:$K$43,2,0)," ")</f>
        <v>N/A</v>
      </c>
      <c r="U406" s="54" t="str">
        <f t="shared" si="24"/>
        <v>N/A-N/A</v>
      </c>
      <c r="V406" s="54" t="s">
        <v>567</v>
      </c>
      <c r="W406" s="131" t="str">
        <f>IFERROR(VLOOKUP(V406,TD!$N$33:$O$45,2,0)," ")</f>
        <v>N/A</v>
      </c>
      <c r="X406" s="54" t="str">
        <f t="shared" si="25"/>
        <v>N/A_N/A</v>
      </c>
      <c r="Y406" s="54" t="str">
        <f t="shared" si="26"/>
        <v>N/A-N/A N/A_N/A</v>
      </c>
      <c r="Z406" s="131" t="str">
        <f t="shared" si="27"/>
        <v>NANANAN/AN/A</v>
      </c>
      <c r="AA406" s="131" t="str">
        <f>IFERROR(VLOOKUP(Y406,TD!$K$46:$L$64,2,0)," ")</f>
        <v>N/A</v>
      </c>
      <c r="AB406" s="57" t="s">
        <v>126</v>
      </c>
      <c r="AC406" s="132" t="s">
        <v>205</v>
      </c>
    </row>
    <row r="407" spans="2:29" s="28" customFormat="1" ht="42.75">
      <c r="B407" s="85">
        <v>20241160</v>
      </c>
      <c r="C407" s="53" t="s">
        <v>347</v>
      </c>
      <c r="D407" s="129" t="s">
        <v>163</v>
      </c>
      <c r="E407" s="54" t="s">
        <v>364</v>
      </c>
      <c r="F407" s="129" t="s">
        <v>666</v>
      </c>
      <c r="G407" s="129" t="s">
        <v>155</v>
      </c>
      <c r="H407" s="117">
        <v>81112100</v>
      </c>
      <c r="I407" s="130">
        <v>10</v>
      </c>
      <c r="J407" s="130">
        <v>5</v>
      </c>
      <c r="K407" s="56">
        <v>0</v>
      </c>
      <c r="L407" s="57">
        <v>159500000</v>
      </c>
      <c r="M407" s="129" t="s">
        <v>173</v>
      </c>
      <c r="N407" s="57" t="s">
        <v>114</v>
      </c>
      <c r="O407" s="54" t="s">
        <v>348</v>
      </c>
      <c r="P407" s="131" t="str">
        <f>IFERROR(VLOOKUP(C407,TD!$B$32:$F$36,2,0)," ")</f>
        <v>NA</v>
      </c>
      <c r="Q407" s="131" t="str">
        <f>IFERROR(VLOOKUP(C407,TD!$B$32:$F$36,3,0)," ")</f>
        <v>NA</v>
      </c>
      <c r="R407" s="131" t="str">
        <f>IFERROR(VLOOKUP(C407,TD!$B$32:$F$36,4,0)," ")</f>
        <v>NA</v>
      </c>
      <c r="S407" s="54" t="s">
        <v>567</v>
      </c>
      <c r="T407" s="131" t="str">
        <f>IFERROR(VLOOKUP(S407,TD!$J$33:$K$43,2,0)," ")</f>
        <v>N/A</v>
      </c>
      <c r="U407" s="54" t="str">
        <f t="shared" si="24"/>
        <v>N/A-N/A</v>
      </c>
      <c r="V407" s="54" t="s">
        <v>567</v>
      </c>
      <c r="W407" s="131" t="str">
        <f>IFERROR(VLOOKUP(V407,TD!$N$33:$O$45,2,0)," ")</f>
        <v>N/A</v>
      </c>
      <c r="X407" s="54" t="str">
        <f t="shared" si="25"/>
        <v>N/A_N/A</v>
      </c>
      <c r="Y407" s="54" t="str">
        <f t="shared" si="26"/>
        <v>N/A-N/A N/A_N/A</v>
      </c>
      <c r="Z407" s="131" t="str">
        <f t="shared" si="27"/>
        <v>NANANAN/AN/A</v>
      </c>
      <c r="AA407" s="131" t="str">
        <f>IFERROR(VLOOKUP(Y407,TD!$K$46:$L$64,2,0)," ")</f>
        <v>N/A</v>
      </c>
      <c r="AB407" s="57" t="s">
        <v>126</v>
      </c>
      <c r="AC407" s="132" t="s">
        <v>205</v>
      </c>
    </row>
    <row r="408" spans="2:29" s="28" customFormat="1" ht="71.25">
      <c r="B408" s="85">
        <v>20241161</v>
      </c>
      <c r="C408" s="53" t="s">
        <v>347</v>
      </c>
      <c r="D408" s="129" t="s">
        <v>163</v>
      </c>
      <c r="E408" s="54" t="s">
        <v>364</v>
      </c>
      <c r="F408" s="129" t="s">
        <v>667</v>
      </c>
      <c r="G408" s="129" t="s">
        <v>155</v>
      </c>
      <c r="H408" s="117">
        <v>43233200</v>
      </c>
      <c r="I408" s="130">
        <v>12</v>
      </c>
      <c r="J408" s="130">
        <v>3</v>
      </c>
      <c r="K408" s="56">
        <v>0</v>
      </c>
      <c r="L408" s="57">
        <f>28166508-166508</f>
        <v>28000000</v>
      </c>
      <c r="M408" s="129" t="s">
        <v>173</v>
      </c>
      <c r="N408" s="57" t="s">
        <v>101</v>
      </c>
      <c r="O408" s="54" t="s">
        <v>348</v>
      </c>
      <c r="P408" s="131" t="str">
        <f>IFERROR(VLOOKUP(C408,TD!$B$32:$F$36,2,0)," ")</f>
        <v>NA</v>
      </c>
      <c r="Q408" s="131" t="str">
        <f>IFERROR(VLOOKUP(C408,TD!$B$32:$F$36,3,0)," ")</f>
        <v>NA</v>
      </c>
      <c r="R408" s="131" t="str">
        <f>IFERROR(VLOOKUP(C408,TD!$B$32:$F$36,4,0)," ")</f>
        <v>NA</v>
      </c>
      <c r="S408" s="54" t="s">
        <v>567</v>
      </c>
      <c r="T408" s="131" t="str">
        <f>IFERROR(VLOOKUP(S408,TD!$J$33:$K$43,2,0)," ")</f>
        <v>N/A</v>
      </c>
      <c r="U408" s="54" t="str">
        <f t="shared" si="24"/>
        <v>N/A-N/A</v>
      </c>
      <c r="V408" s="54" t="s">
        <v>567</v>
      </c>
      <c r="W408" s="131" t="str">
        <f>IFERROR(VLOOKUP(V408,TD!$N$33:$O$45,2,0)," ")</f>
        <v>N/A</v>
      </c>
      <c r="X408" s="54" t="str">
        <f t="shared" si="25"/>
        <v>N/A_N/A</v>
      </c>
      <c r="Y408" s="54" t="str">
        <f t="shared" si="26"/>
        <v>N/A-N/A N/A_N/A</v>
      </c>
      <c r="Z408" s="131" t="str">
        <f t="shared" si="27"/>
        <v>NANANAN/AN/A</v>
      </c>
      <c r="AA408" s="131" t="str">
        <f>IFERROR(VLOOKUP(Y408,TD!$K$46:$L$64,2,0)," ")</f>
        <v>N/A</v>
      </c>
      <c r="AB408" s="57" t="s">
        <v>126</v>
      </c>
      <c r="AC408" s="132" t="s">
        <v>206</v>
      </c>
    </row>
    <row r="409" spans="2:29" s="28" customFormat="1" ht="42.75">
      <c r="B409" s="85">
        <v>20241162</v>
      </c>
      <c r="C409" s="53" t="s">
        <v>347</v>
      </c>
      <c r="D409" s="129" t="s">
        <v>163</v>
      </c>
      <c r="E409" s="54" t="s">
        <v>364</v>
      </c>
      <c r="F409" s="129" t="s">
        <v>668</v>
      </c>
      <c r="G409" s="129" t="s">
        <v>150</v>
      </c>
      <c r="H409" s="117" t="s">
        <v>680</v>
      </c>
      <c r="I409" s="130">
        <v>9</v>
      </c>
      <c r="J409" s="130">
        <v>1</v>
      </c>
      <c r="K409" s="56">
        <v>0</v>
      </c>
      <c r="L409" s="57">
        <f>32500000+1000000</f>
        <v>33500000</v>
      </c>
      <c r="M409" s="129" t="s">
        <v>173</v>
      </c>
      <c r="N409" s="57" t="s">
        <v>124</v>
      </c>
      <c r="O409" s="54" t="s">
        <v>348</v>
      </c>
      <c r="P409" s="131" t="str">
        <f>IFERROR(VLOOKUP(C409,TD!$B$32:$F$36,2,0)," ")</f>
        <v>NA</v>
      </c>
      <c r="Q409" s="131" t="str">
        <f>IFERROR(VLOOKUP(C409,TD!$B$32:$F$36,3,0)," ")</f>
        <v>NA</v>
      </c>
      <c r="R409" s="131" t="str">
        <f>IFERROR(VLOOKUP(C409,TD!$B$32:$F$36,4,0)," ")</f>
        <v>NA</v>
      </c>
      <c r="S409" s="54" t="s">
        <v>567</v>
      </c>
      <c r="T409" s="131" t="str">
        <f>IFERROR(VLOOKUP(S409,TD!$J$33:$K$43,2,0)," ")</f>
        <v>N/A</v>
      </c>
      <c r="U409" s="54" t="str">
        <f t="shared" si="24"/>
        <v>N/A-N/A</v>
      </c>
      <c r="V409" s="54" t="s">
        <v>567</v>
      </c>
      <c r="W409" s="131" t="str">
        <f>IFERROR(VLOOKUP(V409,TD!$N$33:$O$45,2,0)," ")</f>
        <v>N/A</v>
      </c>
      <c r="X409" s="54" t="str">
        <f t="shared" si="25"/>
        <v>N/A_N/A</v>
      </c>
      <c r="Y409" s="54" t="str">
        <f t="shared" si="26"/>
        <v>N/A-N/A N/A_N/A</v>
      </c>
      <c r="Z409" s="131" t="str">
        <f t="shared" si="27"/>
        <v>NANANAN/AN/A</v>
      </c>
      <c r="AA409" s="131" t="str">
        <f>IFERROR(VLOOKUP(Y409,TD!$K$46:$L$64,2,0)," ")</f>
        <v>N/A</v>
      </c>
      <c r="AB409" s="57" t="s">
        <v>126</v>
      </c>
      <c r="AC409" s="132" t="s">
        <v>205</v>
      </c>
    </row>
    <row r="410" spans="2:29" s="28" customFormat="1" ht="42.75">
      <c r="B410" s="85">
        <v>20241163</v>
      </c>
      <c r="C410" s="53" t="s">
        <v>347</v>
      </c>
      <c r="D410" s="129" t="s">
        <v>163</v>
      </c>
      <c r="E410" s="54" t="s">
        <v>364</v>
      </c>
      <c r="F410" s="129" t="s">
        <v>669</v>
      </c>
      <c r="G410" s="129" t="s">
        <v>159</v>
      </c>
      <c r="H410" s="117" t="s">
        <v>681</v>
      </c>
      <c r="I410" s="130">
        <v>12</v>
      </c>
      <c r="J410" s="130">
        <v>12</v>
      </c>
      <c r="K410" s="56">
        <v>0</v>
      </c>
      <c r="L410" s="57">
        <v>6400000</v>
      </c>
      <c r="M410" s="129" t="s">
        <v>173</v>
      </c>
      <c r="N410" s="57" t="s">
        <v>101</v>
      </c>
      <c r="O410" s="54" t="s">
        <v>348</v>
      </c>
      <c r="P410" s="131" t="str">
        <f>IFERROR(VLOOKUP(C410,TD!$B$32:$F$36,2,0)," ")</f>
        <v>NA</v>
      </c>
      <c r="Q410" s="131" t="str">
        <f>IFERROR(VLOOKUP(C410,TD!$B$32:$F$36,3,0)," ")</f>
        <v>NA</v>
      </c>
      <c r="R410" s="131" t="str">
        <f>IFERROR(VLOOKUP(C410,TD!$B$32:$F$36,4,0)," ")</f>
        <v>NA</v>
      </c>
      <c r="S410" s="54" t="s">
        <v>567</v>
      </c>
      <c r="T410" s="131" t="str">
        <f>IFERROR(VLOOKUP(S410,TD!$J$33:$K$43,2,0)," ")</f>
        <v>N/A</v>
      </c>
      <c r="U410" s="54" t="str">
        <f t="shared" si="24"/>
        <v>N/A-N/A</v>
      </c>
      <c r="V410" s="54" t="s">
        <v>567</v>
      </c>
      <c r="W410" s="131" t="str">
        <f>IFERROR(VLOOKUP(V410,TD!$N$33:$O$45,2,0)," ")</f>
        <v>N/A</v>
      </c>
      <c r="X410" s="54" t="str">
        <f t="shared" si="25"/>
        <v>N/A_N/A</v>
      </c>
      <c r="Y410" s="54" t="str">
        <f t="shared" si="26"/>
        <v>N/A-N/A N/A_N/A</v>
      </c>
      <c r="Z410" s="131" t="str">
        <f t="shared" si="27"/>
        <v>NANANAN/AN/A</v>
      </c>
      <c r="AA410" s="131" t="str">
        <f>IFERROR(VLOOKUP(Y410,TD!$K$46:$L$64,2,0)," ")</f>
        <v>N/A</v>
      </c>
      <c r="AB410" s="57" t="s">
        <v>126</v>
      </c>
      <c r="AC410" s="132" t="s">
        <v>205</v>
      </c>
    </row>
    <row r="411" spans="2:29" s="28" customFormat="1" ht="28.5">
      <c r="B411" s="85">
        <v>20241164</v>
      </c>
      <c r="C411" s="53" t="s">
        <v>347</v>
      </c>
      <c r="D411" s="129" t="s">
        <v>170</v>
      </c>
      <c r="E411" s="54" t="s">
        <v>461</v>
      </c>
      <c r="F411" s="129" t="s">
        <v>686</v>
      </c>
      <c r="G411" s="129" t="s">
        <v>110</v>
      </c>
      <c r="H411" s="117">
        <v>53102710</v>
      </c>
      <c r="I411" s="130">
        <v>8</v>
      </c>
      <c r="J411" s="130">
        <v>3</v>
      </c>
      <c r="K411" s="56">
        <v>0</v>
      </c>
      <c r="L411" s="57">
        <v>250000000</v>
      </c>
      <c r="M411" s="129" t="s">
        <v>173</v>
      </c>
      <c r="N411" s="57" t="s">
        <v>96</v>
      </c>
      <c r="O411" s="54" t="s">
        <v>348</v>
      </c>
      <c r="P411" s="131" t="str">
        <f>IFERROR(VLOOKUP(C411,TD!$B$32:$F$36,2,0)," ")</f>
        <v>NA</v>
      </c>
      <c r="Q411" s="131" t="str">
        <f>IFERROR(VLOOKUP(C411,TD!$B$32:$F$36,3,0)," ")</f>
        <v>NA</v>
      </c>
      <c r="R411" s="131" t="str">
        <f>IFERROR(VLOOKUP(C411,TD!$B$32:$F$36,4,0)," ")</f>
        <v>NA</v>
      </c>
      <c r="S411" s="54" t="s">
        <v>567</v>
      </c>
      <c r="T411" s="131" t="str">
        <f>IFERROR(VLOOKUP(S411,TD!$J$33:$K$43,2,0)," ")</f>
        <v>N/A</v>
      </c>
      <c r="U411" s="54" t="str">
        <f t="shared" si="24"/>
        <v>N/A-N/A</v>
      </c>
      <c r="V411" s="54" t="s">
        <v>567</v>
      </c>
      <c r="W411" s="131" t="str">
        <f>IFERROR(VLOOKUP(V411,TD!$N$33:$O$45,2,0)," ")</f>
        <v>N/A</v>
      </c>
      <c r="X411" s="54" t="str">
        <f t="shared" si="25"/>
        <v>N/A_N/A</v>
      </c>
      <c r="Y411" s="54" t="str">
        <f t="shared" si="26"/>
        <v>N/A-N/A N/A_N/A</v>
      </c>
      <c r="Z411" s="131" t="str">
        <f t="shared" si="27"/>
        <v>NANANAN/AN/A</v>
      </c>
      <c r="AA411" s="131" t="str">
        <f>IFERROR(VLOOKUP(Y411,TD!$K$46:$L$64,2,0)," ")</f>
        <v>N/A</v>
      </c>
      <c r="AB411" s="57" t="s">
        <v>349</v>
      </c>
      <c r="AC411" s="132" t="s">
        <v>205</v>
      </c>
    </row>
    <row r="412" spans="2:29" s="28" customFormat="1" ht="42.75">
      <c r="B412" s="85">
        <v>20241165</v>
      </c>
      <c r="C412" s="53" t="s">
        <v>347</v>
      </c>
      <c r="D412" s="129" t="s">
        <v>166</v>
      </c>
      <c r="E412" s="54" t="s">
        <v>856</v>
      </c>
      <c r="F412" s="129" t="s">
        <v>687</v>
      </c>
      <c r="G412" s="129" t="s">
        <v>97</v>
      </c>
      <c r="H412" s="118" t="s">
        <v>691</v>
      </c>
      <c r="I412" s="130">
        <v>7</v>
      </c>
      <c r="J412" s="130">
        <v>7</v>
      </c>
      <c r="K412" s="56">
        <v>0</v>
      </c>
      <c r="L412" s="57">
        <v>284500000</v>
      </c>
      <c r="M412" s="129" t="s">
        <v>173</v>
      </c>
      <c r="N412" s="57" t="s">
        <v>91</v>
      </c>
      <c r="O412" s="54" t="s">
        <v>348</v>
      </c>
      <c r="P412" s="131" t="str">
        <f>IFERROR(VLOOKUP(C412,TD!$B$32:$F$36,2,0)," ")</f>
        <v>NA</v>
      </c>
      <c r="Q412" s="131" t="str">
        <f>IFERROR(VLOOKUP(C412,TD!$B$32:$F$36,3,0)," ")</f>
        <v>NA</v>
      </c>
      <c r="R412" s="131" t="str">
        <f>IFERROR(VLOOKUP(C412,TD!$B$32:$F$36,4,0)," ")</f>
        <v>NA</v>
      </c>
      <c r="S412" s="54" t="s">
        <v>567</v>
      </c>
      <c r="T412" s="131" t="str">
        <f>IFERROR(VLOOKUP(S412,TD!$J$33:$K$43,2,0)," ")</f>
        <v>N/A</v>
      </c>
      <c r="U412" s="54" t="str">
        <f t="shared" si="24"/>
        <v>N/A-N/A</v>
      </c>
      <c r="V412" s="54" t="s">
        <v>567</v>
      </c>
      <c r="W412" s="131" t="str">
        <f>IFERROR(VLOOKUP(V412,TD!$N$33:$O$45,2,0)," ")</f>
        <v>N/A</v>
      </c>
      <c r="X412" s="54" t="str">
        <f t="shared" si="25"/>
        <v>N/A_N/A</v>
      </c>
      <c r="Y412" s="54" t="str">
        <f t="shared" si="26"/>
        <v>N/A-N/A N/A_N/A</v>
      </c>
      <c r="Z412" s="131" t="str">
        <f t="shared" si="27"/>
        <v>NANANAN/AN/A</v>
      </c>
      <c r="AA412" s="131" t="str">
        <f>IFERROR(VLOOKUP(Y412,TD!$K$46:$L$64,2,0)," ")</f>
        <v>N/A</v>
      </c>
      <c r="AB412" s="57" t="s">
        <v>139</v>
      </c>
      <c r="AC412" s="132" t="s">
        <v>205</v>
      </c>
    </row>
    <row r="413" spans="2:29" s="28" customFormat="1" ht="42.75">
      <c r="B413" s="85">
        <v>20241166</v>
      </c>
      <c r="C413" s="53" t="s">
        <v>347</v>
      </c>
      <c r="D413" s="129" t="s">
        <v>166</v>
      </c>
      <c r="E413" s="54" t="s">
        <v>856</v>
      </c>
      <c r="F413" s="129" t="s">
        <v>688</v>
      </c>
      <c r="G413" s="129" t="s">
        <v>97</v>
      </c>
      <c r="H413" s="118" t="s">
        <v>692</v>
      </c>
      <c r="I413" s="130">
        <v>7</v>
      </c>
      <c r="J413" s="130">
        <v>4</v>
      </c>
      <c r="K413" s="56">
        <v>0</v>
      </c>
      <c r="L413" s="57">
        <v>50000000</v>
      </c>
      <c r="M413" s="129" t="s">
        <v>173</v>
      </c>
      <c r="N413" s="57" t="s">
        <v>101</v>
      </c>
      <c r="O413" s="54" t="s">
        <v>348</v>
      </c>
      <c r="P413" s="131" t="str">
        <f>IFERROR(VLOOKUP(C413,TD!$B$32:$F$36,2,0)," ")</f>
        <v>NA</v>
      </c>
      <c r="Q413" s="131" t="str">
        <f>IFERROR(VLOOKUP(C413,TD!$B$32:$F$36,3,0)," ")</f>
        <v>NA</v>
      </c>
      <c r="R413" s="131" t="str">
        <f>IFERROR(VLOOKUP(C413,TD!$B$32:$F$36,4,0)," ")</f>
        <v>NA</v>
      </c>
      <c r="S413" s="54" t="s">
        <v>567</v>
      </c>
      <c r="T413" s="131" t="str">
        <f>IFERROR(VLOOKUP(S413,TD!$J$33:$K$43,2,0)," ")</f>
        <v>N/A</v>
      </c>
      <c r="U413" s="54" t="str">
        <f t="shared" si="24"/>
        <v>N/A-N/A</v>
      </c>
      <c r="V413" s="54" t="s">
        <v>567</v>
      </c>
      <c r="W413" s="131" t="str">
        <f>IFERROR(VLOOKUP(V413,TD!$N$33:$O$45,2,0)," ")</f>
        <v>N/A</v>
      </c>
      <c r="X413" s="54" t="str">
        <f t="shared" si="25"/>
        <v>N/A_N/A</v>
      </c>
      <c r="Y413" s="54" t="str">
        <f t="shared" si="26"/>
        <v>N/A-N/A N/A_N/A</v>
      </c>
      <c r="Z413" s="131" t="str">
        <f t="shared" si="27"/>
        <v>NANANAN/AN/A</v>
      </c>
      <c r="AA413" s="131" t="str">
        <f>IFERROR(VLOOKUP(Y413,TD!$K$46:$L$64,2,0)," ")</f>
        <v>N/A</v>
      </c>
      <c r="AB413" s="57" t="s">
        <v>139</v>
      </c>
      <c r="AC413" s="132" t="s">
        <v>205</v>
      </c>
    </row>
    <row r="414" spans="2:29" s="28" customFormat="1" ht="42.75">
      <c r="B414" s="85">
        <v>20241167</v>
      </c>
      <c r="C414" s="53" t="s">
        <v>347</v>
      </c>
      <c r="D414" s="129" t="s">
        <v>166</v>
      </c>
      <c r="E414" s="54" t="s">
        <v>856</v>
      </c>
      <c r="F414" s="129" t="s">
        <v>689</v>
      </c>
      <c r="G414" s="129" t="s">
        <v>97</v>
      </c>
      <c r="H414" s="118" t="s">
        <v>567</v>
      </c>
      <c r="I414" s="130">
        <v>9</v>
      </c>
      <c r="J414" s="130">
        <v>0</v>
      </c>
      <c r="K414" s="56">
        <v>0</v>
      </c>
      <c r="L414" s="57">
        <v>170000000</v>
      </c>
      <c r="M414" s="129" t="s">
        <v>173</v>
      </c>
      <c r="N414" s="57" t="s">
        <v>129</v>
      </c>
      <c r="O414" s="54" t="s">
        <v>348</v>
      </c>
      <c r="P414" s="131" t="str">
        <f>IFERROR(VLOOKUP(C414,TD!$B$32:$F$36,2,0)," ")</f>
        <v>NA</v>
      </c>
      <c r="Q414" s="131" t="str">
        <f>IFERROR(VLOOKUP(C414,TD!$B$32:$F$36,3,0)," ")</f>
        <v>NA</v>
      </c>
      <c r="R414" s="131" t="str">
        <f>IFERROR(VLOOKUP(C414,TD!$B$32:$F$36,4,0)," ")</f>
        <v>NA</v>
      </c>
      <c r="S414" s="54" t="s">
        <v>567</v>
      </c>
      <c r="T414" s="131" t="str">
        <f>IFERROR(VLOOKUP(S414,TD!$J$33:$K$43,2,0)," ")</f>
        <v>N/A</v>
      </c>
      <c r="U414" s="54" t="str">
        <f t="shared" si="24"/>
        <v>N/A-N/A</v>
      </c>
      <c r="V414" s="54" t="s">
        <v>567</v>
      </c>
      <c r="W414" s="131" t="str">
        <f>IFERROR(VLOOKUP(V414,TD!$N$33:$O$45,2,0)," ")</f>
        <v>N/A</v>
      </c>
      <c r="X414" s="54" t="str">
        <f t="shared" si="25"/>
        <v>N/A_N/A</v>
      </c>
      <c r="Y414" s="54" t="str">
        <f t="shared" si="26"/>
        <v>N/A-N/A N/A_N/A</v>
      </c>
      <c r="Z414" s="131" t="str">
        <f t="shared" si="27"/>
        <v>NANANAN/AN/A</v>
      </c>
      <c r="AA414" s="131" t="str">
        <f>IFERROR(VLOOKUP(Y414,TD!$K$46:$L$64,2,0)," ")</f>
        <v>N/A</v>
      </c>
      <c r="AB414" s="57" t="s">
        <v>349</v>
      </c>
      <c r="AC414" s="132" t="s">
        <v>205</v>
      </c>
    </row>
    <row r="415" spans="2:29" s="28" customFormat="1" ht="57">
      <c r="B415" s="85">
        <v>20241168</v>
      </c>
      <c r="C415" s="53" t="s">
        <v>347</v>
      </c>
      <c r="D415" s="129" t="s">
        <v>166</v>
      </c>
      <c r="E415" s="54" t="s">
        <v>856</v>
      </c>
      <c r="F415" s="129" t="s">
        <v>690</v>
      </c>
      <c r="G415" s="129" t="s">
        <v>97</v>
      </c>
      <c r="H415" s="117">
        <v>80101700</v>
      </c>
      <c r="I415" s="130">
        <v>9</v>
      </c>
      <c r="J415" s="130">
        <v>2</v>
      </c>
      <c r="K415" s="56">
        <v>0</v>
      </c>
      <c r="L415" s="57">
        <v>10000000</v>
      </c>
      <c r="M415" s="129" t="s">
        <v>173</v>
      </c>
      <c r="N415" s="57" t="s">
        <v>101</v>
      </c>
      <c r="O415" s="54" t="s">
        <v>348</v>
      </c>
      <c r="P415" s="131" t="str">
        <f>IFERROR(VLOOKUP(C415,TD!$B$32:$F$36,2,0)," ")</f>
        <v>NA</v>
      </c>
      <c r="Q415" s="131" t="str">
        <f>IFERROR(VLOOKUP(C415,TD!$B$32:$F$36,3,0)," ")</f>
        <v>NA</v>
      </c>
      <c r="R415" s="131" t="str">
        <f>IFERROR(VLOOKUP(C415,TD!$B$32:$F$36,4,0)," ")</f>
        <v>NA</v>
      </c>
      <c r="S415" s="54" t="s">
        <v>567</v>
      </c>
      <c r="T415" s="131" t="str">
        <f>IFERROR(VLOOKUP(S415,TD!$J$33:$K$43,2,0)," ")</f>
        <v>N/A</v>
      </c>
      <c r="U415" s="54" t="str">
        <f t="shared" si="24"/>
        <v>N/A-N/A</v>
      </c>
      <c r="V415" s="54" t="s">
        <v>567</v>
      </c>
      <c r="W415" s="131" t="str">
        <f>IFERROR(VLOOKUP(V415,TD!$N$33:$O$45,2,0)," ")</f>
        <v>N/A</v>
      </c>
      <c r="X415" s="54" t="str">
        <f t="shared" si="25"/>
        <v>N/A_N/A</v>
      </c>
      <c r="Y415" s="54" t="str">
        <f t="shared" si="26"/>
        <v>N/A-N/A N/A_N/A</v>
      </c>
      <c r="Z415" s="131" t="str">
        <f t="shared" si="27"/>
        <v>NANANAN/AN/A</v>
      </c>
      <c r="AA415" s="131" t="str">
        <f>IFERROR(VLOOKUP(Y415,TD!$K$46:$L$64,2,0)," ")</f>
        <v>N/A</v>
      </c>
      <c r="AB415" s="57" t="s">
        <v>139</v>
      </c>
      <c r="AC415" s="132" t="s">
        <v>205</v>
      </c>
    </row>
    <row r="416" spans="2:29" s="28" customFormat="1" ht="71.25">
      <c r="B416" s="85">
        <v>20241169</v>
      </c>
      <c r="C416" s="53" t="s">
        <v>209</v>
      </c>
      <c r="D416" s="129" t="s">
        <v>169</v>
      </c>
      <c r="E416" s="54" t="s">
        <v>423</v>
      </c>
      <c r="F416" s="129" t="s">
        <v>731</v>
      </c>
      <c r="G416" s="129" t="s">
        <v>157</v>
      </c>
      <c r="H416" s="117">
        <v>80111600</v>
      </c>
      <c r="I416" s="130">
        <v>8</v>
      </c>
      <c r="J416" s="130">
        <v>4</v>
      </c>
      <c r="K416" s="56">
        <v>0</v>
      </c>
      <c r="L416" s="57">
        <v>12000000</v>
      </c>
      <c r="M416" s="129" t="s">
        <v>173</v>
      </c>
      <c r="N416" s="57" t="s">
        <v>114</v>
      </c>
      <c r="O416" s="54" t="s">
        <v>212</v>
      </c>
      <c r="P416" s="131" t="str">
        <f>IFERROR(VLOOKUP(C416,TD!$B$32:$F$36,2,0)," ")</f>
        <v>O230117</v>
      </c>
      <c r="Q416" s="131" t="str">
        <f>IFERROR(VLOOKUP(C416,TD!$B$32:$F$36,3,0)," ")</f>
        <v>4599</v>
      </c>
      <c r="R416" s="131">
        <f>IFERROR(VLOOKUP(C416,TD!$B$32:$F$36,4,0)," ")</f>
        <v>20240207</v>
      </c>
      <c r="S416" s="54" t="s">
        <v>194</v>
      </c>
      <c r="T416" s="131" t="str">
        <f>IFERROR(VLOOKUP(S416,TD!$J$33:$K$43,2,0)," ")</f>
        <v>Servicios para la planeación y sistemas de gestión y comunicación estratégica</v>
      </c>
      <c r="U416" s="54" t="str">
        <f t="shared" si="24"/>
        <v>13-Servicios para la planeación y sistemas de gestión y comunicación estratégica</v>
      </c>
      <c r="V416" s="54" t="s">
        <v>241</v>
      </c>
      <c r="W416" s="131" t="str">
        <f>IFERROR(VLOOKUP(V416,TD!$N$33:$O$45,2,0)," ")</f>
        <v>Servicio de asistencia técnica</v>
      </c>
      <c r="X416" s="54" t="str">
        <f t="shared" si="25"/>
        <v>031_Servicio de asistencia técnica</v>
      </c>
      <c r="Y416" s="54" t="str">
        <f t="shared" si="26"/>
        <v>13-Servicios para la planeación y sistemas de gestión y comunicación estratégica 031_Servicio de asistencia técnica</v>
      </c>
      <c r="Z416" s="131" t="str">
        <f t="shared" si="27"/>
        <v>O23011745992024020713031</v>
      </c>
      <c r="AA416" s="131" t="str">
        <f>IFERROR(VLOOKUP(Y416,TD!$K$46:$L$64,2,0)," ")</f>
        <v>PM/0131/0113/45990310207</v>
      </c>
      <c r="AB416" s="57" t="s">
        <v>139</v>
      </c>
      <c r="AC416" s="132" t="s">
        <v>205</v>
      </c>
    </row>
    <row r="417" spans="2:29" s="28" customFormat="1" ht="57">
      <c r="B417" s="85">
        <v>20241170</v>
      </c>
      <c r="C417" s="53" t="s">
        <v>209</v>
      </c>
      <c r="D417" s="129" t="s">
        <v>169</v>
      </c>
      <c r="E417" s="54" t="s">
        <v>423</v>
      </c>
      <c r="F417" s="129" t="s">
        <v>822</v>
      </c>
      <c r="G417" s="129" t="s">
        <v>156</v>
      </c>
      <c r="H417" s="117">
        <v>80111600</v>
      </c>
      <c r="I417" s="130">
        <v>8</v>
      </c>
      <c r="J417" s="130">
        <v>4</v>
      </c>
      <c r="K417" s="56">
        <v>0</v>
      </c>
      <c r="L417" s="57">
        <v>24000000</v>
      </c>
      <c r="M417" s="129" t="s">
        <v>173</v>
      </c>
      <c r="N417" s="57" t="s">
        <v>114</v>
      </c>
      <c r="O417" s="54" t="s">
        <v>212</v>
      </c>
      <c r="P417" s="131" t="str">
        <f>IFERROR(VLOOKUP(C417,TD!$B$32:$F$36,2,0)," ")</f>
        <v>O230117</v>
      </c>
      <c r="Q417" s="131" t="str">
        <f>IFERROR(VLOOKUP(C417,TD!$B$32:$F$36,3,0)," ")</f>
        <v>4599</v>
      </c>
      <c r="R417" s="131">
        <f>IFERROR(VLOOKUP(C417,TD!$B$32:$F$36,4,0)," ")</f>
        <v>20240207</v>
      </c>
      <c r="S417" s="54" t="s">
        <v>194</v>
      </c>
      <c r="T417" s="131" t="str">
        <f>IFERROR(VLOOKUP(S417,TD!$J$33:$K$43,2,0)," ")</f>
        <v>Servicios para la planeación y sistemas de gestión y comunicación estratégica</v>
      </c>
      <c r="U417" s="54" t="str">
        <f t="shared" si="24"/>
        <v>13-Servicios para la planeación y sistemas de gestión y comunicación estratégica</v>
      </c>
      <c r="V417" s="54" t="s">
        <v>241</v>
      </c>
      <c r="W417" s="131" t="str">
        <f>IFERROR(VLOOKUP(V417,TD!$N$33:$O$45,2,0)," ")</f>
        <v>Servicio de asistencia técnica</v>
      </c>
      <c r="X417" s="54" t="str">
        <f t="shared" si="25"/>
        <v>031_Servicio de asistencia técnica</v>
      </c>
      <c r="Y417" s="54" t="str">
        <f t="shared" si="26"/>
        <v>13-Servicios para la planeación y sistemas de gestión y comunicación estratégica 031_Servicio de asistencia técnica</v>
      </c>
      <c r="Z417" s="131" t="str">
        <f t="shared" si="27"/>
        <v>O23011745992024020713031</v>
      </c>
      <c r="AA417" s="131" t="str">
        <f>IFERROR(VLOOKUP(Y417,TD!$K$46:$L$64,2,0)," ")</f>
        <v>PM/0131/0113/45990310207</v>
      </c>
      <c r="AB417" s="57" t="s">
        <v>139</v>
      </c>
      <c r="AC417" s="132" t="s">
        <v>205</v>
      </c>
    </row>
    <row r="418" spans="2:29" s="28" customFormat="1" ht="71.25">
      <c r="B418" s="85">
        <v>20241171</v>
      </c>
      <c r="C418" s="53" t="s">
        <v>209</v>
      </c>
      <c r="D418" s="129" t="s">
        <v>169</v>
      </c>
      <c r="E418" s="54" t="s">
        <v>423</v>
      </c>
      <c r="F418" s="129" t="s">
        <v>732</v>
      </c>
      <c r="G418" s="129" t="s">
        <v>157</v>
      </c>
      <c r="H418" s="117">
        <v>80111600</v>
      </c>
      <c r="I418" s="130">
        <v>8</v>
      </c>
      <c r="J418" s="130">
        <v>3</v>
      </c>
      <c r="K418" s="56">
        <v>0</v>
      </c>
      <c r="L418" s="57">
        <v>9340000</v>
      </c>
      <c r="M418" s="129" t="s">
        <v>173</v>
      </c>
      <c r="N418" s="57" t="s">
        <v>114</v>
      </c>
      <c r="O418" s="54" t="s">
        <v>212</v>
      </c>
      <c r="P418" s="131" t="str">
        <f>IFERROR(VLOOKUP(C418,TD!$B$32:$F$36,2,0)," ")</f>
        <v>O230117</v>
      </c>
      <c r="Q418" s="131" t="str">
        <f>IFERROR(VLOOKUP(C418,TD!$B$32:$F$36,3,0)," ")</f>
        <v>4599</v>
      </c>
      <c r="R418" s="131">
        <f>IFERROR(VLOOKUP(C418,TD!$B$32:$F$36,4,0)," ")</f>
        <v>20240207</v>
      </c>
      <c r="S418" s="54" t="s">
        <v>194</v>
      </c>
      <c r="T418" s="131" t="str">
        <f>IFERROR(VLOOKUP(S418,TD!$J$33:$K$43,2,0)," ")</f>
        <v>Servicios para la planeación y sistemas de gestión y comunicación estratégica</v>
      </c>
      <c r="U418" s="54" t="str">
        <f t="shared" si="24"/>
        <v>13-Servicios para la planeación y sistemas de gestión y comunicación estratégica</v>
      </c>
      <c r="V418" s="54" t="s">
        <v>241</v>
      </c>
      <c r="W418" s="131" t="str">
        <f>IFERROR(VLOOKUP(V418,TD!$N$33:$O$45,2,0)," ")</f>
        <v>Servicio de asistencia técnica</v>
      </c>
      <c r="X418" s="54" t="str">
        <f t="shared" si="25"/>
        <v>031_Servicio de asistencia técnica</v>
      </c>
      <c r="Y418" s="54" t="str">
        <f t="shared" si="26"/>
        <v>13-Servicios para la planeación y sistemas de gestión y comunicación estratégica 031_Servicio de asistencia técnica</v>
      </c>
      <c r="Z418" s="131" t="str">
        <f t="shared" si="27"/>
        <v>O23011745992024020713031</v>
      </c>
      <c r="AA418" s="131" t="str">
        <f>IFERROR(VLOOKUP(Y418,TD!$K$46:$L$64,2,0)," ")</f>
        <v>PM/0131/0113/45990310207</v>
      </c>
      <c r="AB418" s="57" t="s">
        <v>139</v>
      </c>
      <c r="AC418" s="132" t="s">
        <v>205</v>
      </c>
    </row>
    <row r="419" spans="2:29" s="28" customFormat="1" ht="57">
      <c r="B419" s="85">
        <v>20241172</v>
      </c>
      <c r="C419" s="53" t="s">
        <v>209</v>
      </c>
      <c r="D419" s="129" t="s">
        <v>169</v>
      </c>
      <c r="E419" s="54" t="s">
        <v>423</v>
      </c>
      <c r="F419" s="129" t="s">
        <v>733</v>
      </c>
      <c r="G419" s="129" t="s">
        <v>156</v>
      </c>
      <c r="H419" s="117">
        <v>80111600</v>
      </c>
      <c r="I419" s="130">
        <v>8</v>
      </c>
      <c r="J419" s="130">
        <v>5</v>
      </c>
      <c r="K419" s="56">
        <v>0</v>
      </c>
      <c r="L419" s="57">
        <v>30900000</v>
      </c>
      <c r="M419" s="129" t="s">
        <v>173</v>
      </c>
      <c r="N419" s="57" t="s">
        <v>114</v>
      </c>
      <c r="O419" s="54" t="s">
        <v>212</v>
      </c>
      <c r="P419" s="131" t="str">
        <f>IFERROR(VLOOKUP(C419,TD!$B$32:$F$36,2,0)," ")</f>
        <v>O230117</v>
      </c>
      <c r="Q419" s="131" t="str">
        <f>IFERROR(VLOOKUP(C419,TD!$B$32:$F$36,3,0)," ")</f>
        <v>4599</v>
      </c>
      <c r="R419" s="131">
        <f>IFERROR(VLOOKUP(C419,TD!$B$32:$F$36,4,0)," ")</f>
        <v>20240207</v>
      </c>
      <c r="S419" s="54" t="s">
        <v>194</v>
      </c>
      <c r="T419" s="131" t="str">
        <f>IFERROR(VLOOKUP(S419,TD!$J$33:$K$43,2,0)," ")</f>
        <v>Servicios para la planeación y sistemas de gestión y comunicación estratégica</v>
      </c>
      <c r="U419" s="54" t="str">
        <f t="shared" si="24"/>
        <v>13-Servicios para la planeación y sistemas de gestión y comunicación estratégica</v>
      </c>
      <c r="V419" s="54" t="s">
        <v>241</v>
      </c>
      <c r="W419" s="131" t="str">
        <f>IFERROR(VLOOKUP(V419,TD!$N$33:$O$45,2,0)," ")</f>
        <v>Servicio de asistencia técnica</v>
      </c>
      <c r="X419" s="54" t="str">
        <f t="shared" si="25"/>
        <v>031_Servicio de asistencia técnica</v>
      </c>
      <c r="Y419" s="54" t="str">
        <f t="shared" si="26"/>
        <v>13-Servicios para la planeación y sistemas de gestión y comunicación estratégica 031_Servicio de asistencia técnica</v>
      </c>
      <c r="Z419" s="131" t="str">
        <f t="shared" si="27"/>
        <v>O23011745992024020713031</v>
      </c>
      <c r="AA419" s="131" t="str">
        <f>IFERROR(VLOOKUP(Y419,TD!$K$46:$L$64,2,0)," ")</f>
        <v>PM/0131/0113/45990310207</v>
      </c>
      <c r="AB419" s="57" t="s">
        <v>139</v>
      </c>
      <c r="AC419" s="132" t="s">
        <v>205</v>
      </c>
    </row>
    <row r="420" spans="2:29" s="28" customFormat="1" ht="57">
      <c r="B420" s="85">
        <v>20241173</v>
      </c>
      <c r="C420" s="53" t="s">
        <v>209</v>
      </c>
      <c r="D420" s="129" t="s">
        <v>169</v>
      </c>
      <c r="E420" s="54" t="s">
        <v>423</v>
      </c>
      <c r="F420" s="129" t="s">
        <v>734</v>
      </c>
      <c r="G420" s="129" t="s">
        <v>156</v>
      </c>
      <c r="H420" s="117">
        <v>80111600</v>
      </c>
      <c r="I420" s="130">
        <v>8</v>
      </c>
      <c r="J420" s="130">
        <v>2</v>
      </c>
      <c r="K420" s="56">
        <v>0</v>
      </c>
      <c r="L420" s="57">
        <v>8000000</v>
      </c>
      <c r="M420" s="129" t="s">
        <v>173</v>
      </c>
      <c r="N420" s="57" t="s">
        <v>114</v>
      </c>
      <c r="O420" s="54" t="s">
        <v>212</v>
      </c>
      <c r="P420" s="131" t="str">
        <f>IFERROR(VLOOKUP(C420,TD!$B$32:$F$36,2,0)," ")</f>
        <v>O230117</v>
      </c>
      <c r="Q420" s="131" t="str">
        <f>IFERROR(VLOOKUP(C420,TD!$B$32:$F$36,3,0)," ")</f>
        <v>4599</v>
      </c>
      <c r="R420" s="131">
        <f>IFERROR(VLOOKUP(C420,TD!$B$32:$F$36,4,0)," ")</f>
        <v>20240207</v>
      </c>
      <c r="S420" s="54" t="s">
        <v>194</v>
      </c>
      <c r="T420" s="131" t="str">
        <f>IFERROR(VLOOKUP(S420,TD!$J$33:$K$43,2,0)," ")</f>
        <v>Servicios para la planeación y sistemas de gestión y comunicación estratégica</v>
      </c>
      <c r="U420" s="54" t="str">
        <f t="shared" si="24"/>
        <v>13-Servicios para la planeación y sistemas de gestión y comunicación estratégica</v>
      </c>
      <c r="V420" s="54" t="s">
        <v>241</v>
      </c>
      <c r="W420" s="131" t="str">
        <f>IFERROR(VLOOKUP(V420,TD!$N$33:$O$45,2,0)," ")</f>
        <v>Servicio de asistencia técnica</v>
      </c>
      <c r="X420" s="54" t="str">
        <f t="shared" si="25"/>
        <v>031_Servicio de asistencia técnica</v>
      </c>
      <c r="Y420" s="54" t="str">
        <f t="shared" si="26"/>
        <v>13-Servicios para la planeación y sistemas de gestión y comunicación estratégica 031_Servicio de asistencia técnica</v>
      </c>
      <c r="Z420" s="131" t="str">
        <f t="shared" si="27"/>
        <v>O23011745992024020713031</v>
      </c>
      <c r="AA420" s="131" t="str">
        <f>IFERROR(VLOOKUP(Y420,TD!$K$46:$L$64,2,0)," ")</f>
        <v>PM/0131/0113/45990310207</v>
      </c>
      <c r="AB420" s="57" t="s">
        <v>139</v>
      </c>
      <c r="AC420" s="132" t="s">
        <v>205</v>
      </c>
    </row>
    <row r="421" spans="2:29" s="28" customFormat="1" ht="71.25">
      <c r="B421" s="85">
        <v>20241174</v>
      </c>
      <c r="C421" s="53" t="s">
        <v>209</v>
      </c>
      <c r="D421" s="129" t="s">
        <v>169</v>
      </c>
      <c r="E421" s="54" t="s">
        <v>423</v>
      </c>
      <c r="F421" s="129" t="s">
        <v>735</v>
      </c>
      <c r="G421" s="129" t="s">
        <v>156</v>
      </c>
      <c r="H421" s="117">
        <v>80111600</v>
      </c>
      <c r="I421" s="130">
        <v>8</v>
      </c>
      <c r="J421" s="130">
        <v>4</v>
      </c>
      <c r="K421" s="56">
        <v>0</v>
      </c>
      <c r="L421" s="57">
        <v>30000000</v>
      </c>
      <c r="M421" s="129" t="s">
        <v>173</v>
      </c>
      <c r="N421" s="57" t="s">
        <v>114</v>
      </c>
      <c r="O421" s="54" t="s">
        <v>212</v>
      </c>
      <c r="P421" s="131" t="str">
        <f>IFERROR(VLOOKUP(C421,TD!$B$32:$F$36,2,0)," ")</f>
        <v>O230117</v>
      </c>
      <c r="Q421" s="131" t="str">
        <f>IFERROR(VLOOKUP(C421,TD!$B$32:$F$36,3,0)," ")</f>
        <v>4599</v>
      </c>
      <c r="R421" s="131">
        <f>IFERROR(VLOOKUP(C421,TD!$B$32:$F$36,4,0)," ")</f>
        <v>20240207</v>
      </c>
      <c r="S421" s="54" t="s">
        <v>194</v>
      </c>
      <c r="T421" s="131" t="str">
        <f>IFERROR(VLOOKUP(S421,TD!$J$33:$K$43,2,0)," ")</f>
        <v>Servicios para la planeación y sistemas de gestión y comunicación estratégica</v>
      </c>
      <c r="U421" s="54" t="str">
        <f t="shared" si="24"/>
        <v>13-Servicios para la planeación y sistemas de gestión y comunicación estratégica</v>
      </c>
      <c r="V421" s="54" t="s">
        <v>241</v>
      </c>
      <c r="W421" s="131" t="str">
        <f>IFERROR(VLOOKUP(V421,TD!$N$33:$O$45,2,0)," ")</f>
        <v>Servicio de asistencia técnica</v>
      </c>
      <c r="X421" s="54" t="str">
        <f t="shared" si="25"/>
        <v>031_Servicio de asistencia técnica</v>
      </c>
      <c r="Y421" s="54" t="str">
        <f t="shared" si="26"/>
        <v>13-Servicios para la planeación y sistemas de gestión y comunicación estratégica 031_Servicio de asistencia técnica</v>
      </c>
      <c r="Z421" s="131" t="str">
        <f t="shared" si="27"/>
        <v>O23011745992024020713031</v>
      </c>
      <c r="AA421" s="131" t="str">
        <f>IFERROR(VLOOKUP(Y421,TD!$K$46:$L$64,2,0)," ")</f>
        <v>PM/0131/0113/45990310207</v>
      </c>
      <c r="AB421" s="57" t="s">
        <v>139</v>
      </c>
      <c r="AC421" s="132" t="s">
        <v>205</v>
      </c>
    </row>
    <row r="422" spans="2:29" s="28" customFormat="1" ht="71.25">
      <c r="B422" s="85">
        <v>20241175</v>
      </c>
      <c r="C422" s="53" t="s">
        <v>209</v>
      </c>
      <c r="D422" s="129" t="s">
        <v>169</v>
      </c>
      <c r="E422" s="54" t="s">
        <v>423</v>
      </c>
      <c r="F422" s="129" t="s">
        <v>736</v>
      </c>
      <c r="G422" s="129" t="s">
        <v>157</v>
      </c>
      <c r="H422" s="117">
        <v>80111600</v>
      </c>
      <c r="I422" s="130">
        <v>8</v>
      </c>
      <c r="J422" s="130">
        <v>2</v>
      </c>
      <c r="K422" s="56">
        <v>0</v>
      </c>
      <c r="L422" s="57">
        <v>7260000</v>
      </c>
      <c r="M422" s="129" t="s">
        <v>173</v>
      </c>
      <c r="N422" s="57" t="s">
        <v>114</v>
      </c>
      <c r="O422" s="54" t="s">
        <v>212</v>
      </c>
      <c r="P422" s="131" t="str">
        <f>IFERROR(VLOOKUP(C422,TD!$B$32:$F$36,2,0)," ")</f>
        <v>O230117</v>
      </c>
      <c r="Q422" s="131" t="str">
        <f>IFERROR(VLOOKUP(C422,TD!$B$32:$F$36,3,0)," ")</f>
        <v>4599</v>
      </c>
      <c r="R422" s="131">
        <f>IFERROR(VLOOKUP(C422,TD!$B$32:$F$36,4,0)," ")</f>
        <v>20240207</v>
      </c>
      <c r="S422" s="54" t="s">
        <v>194</v>
      </c>
      <c r="T422" s="131" t="str">
        <f>IFERROR(VLOOKUP(S422,TD!$J$33:$K$43,2,0)," ")</f>
        <v>Servicios para la planeación y sistemas de gestión y comunicación estratégica</v>
      </c>
      <c r="U422" s="54" t="str">
        <f t="shared" si="24"/>
        <v>13-Servicios para la planeación y sistemas de gestión y comunicación estratégica</v>
      </c>
      <c r="V422" s="54" t="s">
        <v>241</v>
      </c>
      <c r="W422" s="131" t="str">
        <f>IFERROR(VLOOKUP(V422,TD!$N$33:$O$45,2,0)," ")</f>
        <v>Servicio de asistencia técnica</v>
      </c>
      <c r="X422" s="54" t="str">
        <f t="shared" si="25"/>
        <v>031_Servicio de asistencia técnica</v>
      </c>
      <c r="Y422" s="54" t="str">
        <f t="shared" si="26"/>
        <v>13-Servicios para la planeación y sistemas de gestión y comunicación estratégica 031_Servicio de asistencia técnica</v>
      </c>
      <c r="Z422" s="131" t="str">
        <f t="shared" si="27"/>
        <v>O23011745992024020713031</v>
      </c>
      <c r="AA422" s="131" t="str">
        <f>IFERROR(VLOOKUP(Y422,TD!$K$46:$L$64,2,0)," ")</f>
        <v>PM/0131/0113/45990310207</v>
      </c>
      <c r="AB422" s="57" t="s">
        <v>139</v>
      </c>
      <c r="AC422" s="132" t="s">
        <v>205</v>
      </c>
    </row>
    <row r="423" spans="2:29" s="28" customFormat="1" ht="57">
      <c r="B423" s="85">
        <v>20241176</v>
      </c>
      <c r="C423" s="53" t="s">
        <v>210</v>
      </c>
      <c r="D423" s="129" t="s">
        <v>169</v>
      </c>
      <c r="E423" s="54" t="s">
        <v>423</v>
      </c>
      <c r="F423" s="129" t="s">
        <v>746</v>
      </c>
      <c r="G423" s="129" t="s">
        <v>120</v>
      </c>
      <c r="H423" s="117">
        <v>72101509</v>
      </c>
      <c r="I423" s="130">
        <v>7</v>
      </c>
      <c r="J423" s="130">
        <v>4</v>
      </c>
      <c r="K423" s="56">
        <v>15</v>
      </c>
      <c r="L423" s="57">
        <v>22500000</v>
      </c>
      <c r="M423" s="129" t="s">
        <v>173</v>
      </c>
      <c r="N423" s="57" t="s">
        <v>96</v>
      </c>
      <c r="O423" s="54" t="s">
        <v>225</v>
      </c>
      <c r="P423" s="131" t="str">
        <f>IFERROR(VLOOKUP(C423,TD!$B$32:$F$36,2,0)," ")</f>
        <v>O230117</v>
      </c>
      <c r="Q423" s="131" t="str">
        <f>IFERROR(VLOOKUP(C423,TD!$B$32:$F$36,3,0)," ")</f>
        <v>4503</v>
      </c>
      <c r="R423" s="131">
        <f>IFERROR(VLOOKUP(C423,TD!$B$32:$F$36,4,0)," ")</f>
        <v>20240255</v>
      </c>
      <c r="S423" s="54" t="s">
        <v>192</v>
      </c>
      <c r="T423" s="131" t="str">
        <f>IFERROR(VLOOKUP(S423,TD!$J$33:$K$43,2,0)," ")</f>
        <v>Servicio de apoyo   logístico  en eventos operativos y/o emergencias.</v>
      </c>
      <c r="U423" s="54" t="str">
        <f t="shared" si="24"/>
        <v>12-Servicio de apoyo   logístico  en eventos operativos y/o emergencias.</v>
      </c>
      <c r="V423" s="54" t="s">
        <v>233</v>
      </c>
      <c r="W423" s="131" t="str">
        <f>IFERROR(VLOOKUP(V423,TD!$N$33:$O$45,2,0)," ")</f>
        <v>Servicio de atención a emergencias y desastres</v>
      </c>
      <c r="X423" s="54" t="str">
        <f t="shared" si="25"/>
        <v>004_Servicio de atención a emergencias y desastres</v>
      </c>
      <c r="Y423" s="54" t="str">
        <f t="shared" si="26"/>
        <v>12-Servicio de apoyo   logístico  en eventos operativos y/o emergencias. 004_Servicio de atención a emergencias y desastres</v>
      </c>
      <c r="Z423" s="131" t="str">
        <f t="shared" si="27"/>
        <v>O23011745032024025512004</v>
      </c>
      <c r="AA423" s="131" t="str">
        <f>IFERROR(VLOOKUP(Y423,TD!$K$46:$L$64,2,0)," ")</f>
        <v>PM/0131/0112/45030040255</v>
      </c>
      <c r="AB423" s="57" t="s">
        <v>88</v>
      </c>
      <c r="AC423" s="132" t="s">
        <v>205</v>
      </c>
    </row>
    <row r="424" spans="2:29" s="28" customFormat="1" ht="71.25">
      <c r="B424" s="85">
        <v>20241177</v>
      </c>
      <c r="C424" s="53" t="s">
        <v>209</v>
      </c>
      <c r="D424" s="129" t="s">
        <v>166</v>
      </c>
      <c r="E424" s="54" t="s">
        <v>856</v>
      </c>
      <c r="F424" s="129" t="s">
        <v>752</v>
      </c>
      <c r="G424" s="129" t="s">
        <v>156</v>
      </c>
      <c r="H424" s="117">
        <v>80111600</v>
      </c>
      <c r="I424" s="130">
        <v>8</v>
      </c>
      <c r="J424" s="130">
        <v>4</v>
      </c>
      <c r="K424" s="56">
        <v>15</v>
      </c>
      <c r="L424" s="57">
        <v>31500000</v>
      </c>
      <c r="M424" s="129" t="s">
        <v>173</v>
      </c>
      <c r="N424" s="57" t="s">
        <v>114</v>
      </c>
      <c r="O424" s="54" t="s">
        <v>214</v>
      </c>
      <c r="P424" s="131" t="str">
        <f>IFERROR(VLOOKUP(C424,TD!$B$32:$F$36,2,0)," ")</f>
        <v>O230117</v>
      </c>
      <c r="Q424" s="131" t="str">
        <f>IFERROR(VLOOKUP(C424,TD!$B$32:$F$36,3,0)," ")</f>
        <v>4599</v>
      </c>
      <c r="R424" s="131">
        <f>IFERROR(VLOOKUP(C424,TD!$B$32:$F$36,4,0)," ")</f>
        <v>20240207</v>
      </c>
      <c r="S424" s="54" t="s">
        <v>194</v>
      </c>
      <c r="T424" s="131" t="str">
        <f>IFERROR(VLOOKUP(S424,TD!$J$33:$K$43,2,0)," ")</f>
        <v>Servicios para la planeación y sistemas de gestión y comunicación estratégica</v>
      </c>
      <c r="U424" s="54" t="str">
        <f t="shared" si="24"/>
        <v>13-Servicios para la planeación y sistemas de gestión y comunicación estratégica</v>
      </c>
      <c r="V424" s="54" t="s">
        <v>242</v>
      </c>
      <c r="W424" s="131" t="str">
        <f>IFERROR(VLOOKUP(V424,TD!$N$33:$O$45,2,0)," ")</f>
        <v>Servicio de Implementación Sistemas de Gestión</v>
      </c>
      <c r="X424" s="54" t="str">
        <f t="shared" si="25"/>
        <v>023_Servicio de Implementación Sistemas de Gestión</v>
      </c>
      <c r="Y424" s="54" t="str">
        <f t="shared" si="26"/>
        <v>13-Servicios para la planeación y sistemas de gestión y comunicación estratégica 023_Servicio de Implementación Sistemas de Gestión</v>
      </c>
      <c r="Z424" s="131" t="str">
        <f t="shared" si="27"/>
        <v>O23011745992024020713023</v>
      </c>
      <c r="AA424" s="131" t="str">
        <f>IFERROR(VLOOKUP(Y424,TD!$K$46:$L$64,2,0)," ")</f>
        <v>PM/0131/0113/45990230207</v>
      </c>
      <c r="AB424" s="57" t="s">
        <v>139</v>
      </c>
      <c r="AC424" s="132" t="s">
        <v>205</v>
      </c>
    </row>
    <row r="425" spans="2:29" s="28" customFormat="1" ht="57">
      <c r="B425" s="85">
        <v>20241178</v>
      </c>
      <c r="C425" s="53" t="s">
        <v>209</v>
      </c>
      <c r="D425" s="129" t="s">
        <v>166</v>
      </c>
      <c r="E425" s="54" t="s">
        <v>856</v>
      </c>
      <c r="F425" s="129" t="s">
        <v>753</v>
      </c>
      <c r="G425" s="129" t="s">
        <v>156</v>
      </c>
      <c r="H425" s="117">
        <v>80111600</v>
      </c>
      <c r="I425" s="130">
        <v>8</v>
      </c>
      <c r="J425" s="130">
        <v>4</v>
      </c>
      <c r="K425" s="56">
        <v>15</v>
      </c>
      <c r="L425" s="57">
        <f>33750000+20000000</f>
        <v>53750000</v>
      </c>
      <c r="M425" s="129" t="s">
        <v>173</v>
      </c>
      <c r="N425" s="57" t="s">
        <v>114</v>
      </c>
      <c r="O425" s="54" t="s">
        <v>214</v>
      </c>
      <c r="P425" s="131" t="str">
        <f>IFERROR(VLOOKUP(C425,TD!$B$32:$F$36,2,0)," ")</f>
        <v>O230117</v>
      </c>
      <c r="Q425" s="131" t="str">
        <f>IFERROR(VLOOKUP(C425,TD!$B$32:$F$36,3,0)," ")</f>
        <v>4599</v>
      </c>
      <c r="R425" s="131">
        <f>IFERROR(VLOOKUP(C425,TD!$B$32:$F$36,4,0)," ")</f>
        <v>20240207</v>
      </c>
      <c r="S425" s="54" t="s">
        <v>194</v>
      </c>
      <c r="T425" s="131" t="str">
        <f>IFERROR(VLOOKUP(S425,TD!$J$33:$K$43,2,0)," ")</f>
        <v>Servicios para la planeación y sistemas de gestión y comunicación estratégica</v>
      </c>
      <c r="U425" s="54" t="str">
        <f t="shared" si="24"/>
        <v>13-Servicios para la planeación y sistemas de gestión y comunicación estratégica</v>
      </c>
      <c r="V425" s="54" t="s">
        <v>242</v>
      </c>
      <c r="W425" s="131" t="str">
        <f>IFERROR(VLOOKUP(V425,TD!$N$33:$O$45,2,0)," ")</f>
        <v>Servicio de Implementación Sistemas de Gestión</v>
      </c>
      <c r="X425" s="54" t="str">
        <f t="shared" si="25"/>
        <v>023_Servicio de Implementación Sistemas de Gestión</v>
      </c>
      <c r="Y425" s="54" t="str">
        <f t="shared" si="26"/>
        <v>13-Servicios para la planeación y sistemas de gestión y comunicación estratégica 023_Servicio de Implementación Sistemas de Gestión</v>
      </c>
      <c r="Z425" s="131" t="str">
        <f t="shared" si="27"/>
        <v>O23011745992024020713023</v>
      </c>
      <c r="AA425" s="131" t="str">
        <f>IFERROR(VLOOKUP(Y425,TD!$K$46:$L$64,2,0)," ")</f>
        <v>PM/0131/0113/45990230207</v>
      </c>
      <c r="AB425" s="57" t="s">
        <v>139</v>
      </c>
      <c r="AC425" s="132" t="s">
        <v>205</v>
      </c>
    </row>
    <row r="426" spans="2:29" s="28" customFormat="1" ht="71.25">
      <c r="B426" s="85">
        <v>20241179</v>
      </c>
      <c r="C426" s="53" t="s">
        <v>209</v>
      </c>
      <c r="D426" s="129" t="s">
        <v>166</v>
      </c>
      <c r="E426" s="54" t="s">
        <v>856</v>
      </c>
      <c r="F426" s="129" t="s">
        <v>754</v>
      </c>
      <c r="G426" s="129" t="s">
        <v>157</v>
      </c>
      <c r="H426" s="117">
        <v>80111600</v>
      </c>
      <c r="I426" s="130">
        <v>8</v>
      </c>
      <c r="J426" s="130">
        <v>4</v>
      </c>
      <c r="K426" s="56">
        <v>3</v>
      </c>
      <c r="L426" s="57">
        <v>34750000</v>
      </c>
      <c r="M426" s="129" t="s">
        <v>173</v>
      </c>
      <c r="N426" s="57" t="s">
        <v>114</v>
      </c>
      <c r="O426" s="54" t="s">
        <v>214</v>
      </c>
      <c r="P426" s="131" t="str">
        <f>IFERROR(VLOOKUP(C426,TD!$B$32:$F$36,2,0)," ")</f>
        <v>O230117</v>
      </c>
      <c r="Q426" s="131" t="str">
        <f>IFERROR(VLOOKUP(C426,TD!$B$32:$F$36,3,0)," ")</f>
        <v>4599</v>
      </c>
      <c r="R426" s="131">
        <f>IFERROR(VLOOKUP(C426,TD!$B$32:$F$36,4,0)," ")</f>
        <v>20240207</v>
      </c>
      <c r="S426" s="54" t="s">
        <v>194</v>
      </c>
      <c r="T426" s="131" t="str">
        <f>IFERROR(VLOOKUP(S426,TD!$J$33:$K$43,2,0)," ")</f>
        <v>Servicios para la planeación y sistemas de gestión y comunicación estratégica</v>
      </c>
      <c r="U426" s="54" t="str">
        <f t="shared" si="24"/>
        <v>13-Servicios para la planeación y sistemas de gestión y comunicación estratégica</v>
      </c>
      <c r="V426" s="54" t="s">
        <v>242</v>
      </c>
      <c r="W426" s="131" t="str">
        <f>IFERROR(VLOOKUP(V426,TD!$N$33:$O$45,2,0)," ")</f>
        <v>Servicio de Implementación Sistemas de Gestión</v>
      </c>
      <c r="X426" s="54" t="str">
        <f t="shared" si="25"/>
        <v>023_Servicio de Implementación Sistemas de Gestión</v>
      </c>
      <c r="Y426" s="54" t="str">
        <f t="shared" si="26"/>
        <v>13-Servicios para la planeación y sistemas de gestión y comunicación estratégica 023_Servicio de Implementación Sistemas de Gestión</v>
      </c>
      <c r="Z426" s="131" t="str">
        <f t="shared" si="27"/>
        <v>O23011745992024020713023</v>
      </c>
      <c r="AA426" s="131" t="str">
        <f>IFERROR(VLOOKUP(Y426,TD!$K$46:$L$64,2,0)," ")</f>
        <v>PM/0131/0113/45990230207</v>
      </c>
      <c r="AB426" s="57" t="s">
        <v>139</v>
      </c>
      <c r="AC426" s="132" t="s">
        <v>205</v>
      </c>
    </row>
    <row r="427" spans="2:29" s="28" customFormat="1" ht="71.25">
      <c r="B427" s="85">
        <v>20241180</v>
      </c>
      <c r="C427" s="53" t="s">
        <v>209</v>
      </c>
      <c r="D427" s="129" t="s">
        <v>167</v>
      </c>
      <c r="E427" s="54" t="s">
        <v>568</v>
      </c>
      <c r="F427" s="129" t="s">
        <v>587</v>
      </c>
      <c r="G427" s="129" t="s">
        <v>157</v>
      </c>
      <c r="H427" s="117">
        <v>80111600</v>
      </c>
      <c r="I427" s="130">
        <v>8</v>
      </c>
      <c r="J427" s="56">
        <v>5</v>
      </c>
      <c r="K427" s="56">
        <v>0</v>
      </c>
      <c r="L427" s="57">
        <v>13857200</v>
      </c>
      <c r="M427" s="129" t="s">
        <v>173</v>
      </c>
      <c r="N427" s="57" t="s">
        <v>114</v>
      </c>
      <c r="O427" s="54" t="s">
        <v>220</v>
      </c>
      <c r="P427" s="131" t="str">
        <f>IFERROR(VLOOKUP(C427,TD!$B$32:$F$36,2,0)," ")</f>
        <v>O230117</v>
      </c>
      <c r="Q427" s="131" t="str">
        <f>IFERROR(VLOOKUP(C427,TD!$B$32:$F$36,3,0)," ")</f>
        <v>4599</v>
      </c>
      <c r="R427" s="131">
        <f>IFERROR(VLOOKUP(C427,TD!$B$32:$F$36,4,0)," ")</f>
        <v>20240207</v>
      </c>
      <c r="S427" s="54" t="s">
        <v>186</v>
      </c>
      <c r="T427" s="131" t="str">
        <f>IFERROR(VLOOKUP(S427,TD!$J$33:$K$43,2,0)," ")</f>
        <v>Infraestructura física, mantenimiento y dotación (Sedes construidas, mantenidas reforzadas)</v>
      </c>
      <c r="U427" s="54" t="str">
        <f t="shared" si="24"/>
        <v>08-Infraestructura física, mantenimiento y dotación (Sedes construidas, mantenidas reforzadas)</v>
      </c>
      <c r="V427" s="54" t="s">
        <v>239</v>
      </c>
      <c r="W427" s="131" t="str">
        <f>IFERROR(VLOOKUP(V427,TD!$N$33:$O$45,2,0)," ")</f>
        <v>Sedes mantenidas</v>
      </c>
      <c r="X427" s="54" t="str">
        <f t="shared" si="25"/>
        <v>016_Sedes mantenidas</v>
      </c>
      <c r="Y427" s="54" t="str">
        <f t="shared" si="26"/>
        <v>08-Infraestructura física, mantenimiento y dotación (Sedes construidas, mantenidas reforzadas) 016_Sedes mantenidas</v>
      </c>
      <c r="Z427" s="131" t="str">
        <f t="shared" si="27"/>
        <v>O23011745992024020708016</v>
      </c>
      <c r="AA427" s="131" t="str">
        <f>IFERROR(VLOOKUP(Y427,TD!$K$46:$L$64,2,0)," ")</f>
        <v>PM/0131/0108/45990160207</v>
      </c>
      <c r="AB427" s="57" t="s">
        <v>139</v>
      </c>
      <c r="AC427" s="132" t="s">
        <v>205</v>
      </c>
    </row>
    <row r="428" spans="2:29" s="28" customFormat="1" ht="71.25">
      <c r="B428" s="85">
        <v>20241181</v>
      </c>
      <c r="C428" s="53" t="s">
        <v>209</v>
      </c>
      <c r="D428" s="129" t="s">
        <v>167</v>
      </c>
      <c r="E428" s="54" t="s">
        <v>568</v>
      </c>
      <c r="F428" s="129" t="s">
        <v>587</v>
      </c>
      <c r="G428" s="129" t="s">
        <v>157</v>
      </c>
      <c r="H428" s="117">
        <v>80111600</v>
      </c>
      <c r="I428" s="130">
        <v>8</v>
      </c>
      <c r="J428" s="56">
        <v>5</v>
      </c>
      <c r="K428" s="56">
        <v>0</v>
      </c>
      <c r="L428" s="57">
        <v>13857200</v>
      </c>
      <c r="M428" s="129" t="s">
        <v>173</v>
      </c>
      <c r="N428" s="57" t="s">
        <v>114</v>
      </c>
      <c r="O428" s="54" t="s">
        <v>220</v>
      </c>
      <c r="P428" s="131" t="str">
        <f>IFERROR(VLOOKUP(C428,TD!$B$32:$F$36,2,0)," ")</f>
        <v>O230117</v>
      </c>
      <c r="Q428" s="131" t="str">
        <f>IFERROR(VLOOKUP(C428,TD!$B$32:$F$36,3,0)," ")</f>
        <v>4599</v>
      </c>
      <c r="R428" s="131">
        <f>IFERROR(VLOOKUP(C428,TD!$B$32:$F$36,4,0)," ")</f>
        <v>20240207</v>
      </c>
      <c r="S428" s="54" t="s">
        <v>186</v>
      </c>
      <c r="T428" s="131" t="str">
        <f>IFERROR(VLOOKUP(S428,TD!$J$33:$K$43,2,0)," ")</f>
        <v>Infraestructura física, mantenimiento y dotación (Sedes construidas, mantenidas reforzadas)</v>
      </c>
      <c r="U428" s="54" t="str">
        <f t="shared" si="24"/>
        <v>08-Infraestructura física, mantenimiento y dotación (Sedes construidas, mantenidas reforzadas)</v>
      </c>
      <c r="V428" s="54" t="s">
        <v>239</v>
      </c>
      <c r="W428" s="131" t="str">
        <f>IFERROR(VLOOKUP(V428,TD!$N$33:$O$45,2,0)," ")</f>
        <v>Sedes mantenidas</v>
      </c>
      <c r="X428" s="54" t="str">
        <f t="shared" si="25"/>
        <v>016_Sedes mantenidas</v>
      </c>
      <c r="Y428" s="54" t="str">
        <f t="shared" si="26"/>
        <v>08-Infraestructura física, mantenimiento y dotación (Sedes construidas, mantenidas reforzadas) 016_Sedes mantenidas</v>
      </c>
      <c r="Z428" s="131" t="str">
        <f t="shared" si="27"/>
        <v>O23011745992024020708016</v>
      </c>
      <c r="AA428" s="131" t="str">
        <f>IFERROR(VLOOKUP(Y428,TD!$K$46:$L$64,2,0)," ")</f>
        <v>PM/0131/0108/45990160207</v>
      </c>
      <c r="AB428" s="57" t="s">
        <v>139</v>
      </c>
      <c r="AC428" s="132" t="s">
        <v>205</v>
      </c>
    </row>
    <row r="429" spans="2:29" s="28" customFormat="1" ht="71.25">
      <c r="B429" s="85">
        <v>20241182</v>
      </c>
      <c r="C429" s="53" t="s">
        <v>209</v>
      </c>
      <c r="D429" s="129" t="s">
        <v>167</v>
      </c>
      <c r="E429" s="54" t="s">
        <v>568</v>
      </c>
      <c r="F429" s="129" t="s">
        <v>587</v>
      </c>
      <c r="G429" s="129" t="s">
        <v>157</v>
      </c>
      <c r="H429" s="117">
        <v>80111600</v>
      </c>
      <c r="I429" s="130">
        <v>8</v>
      </c>
      <c r="J429" s="56">
        <v>3</v>
      </c>
      <c r="K429" s="56">
        <v>0</v>
      </c>
      <c r="L429" s="57">
        <v>8314320</v>
      </c>
      <c r="M429" s="129" t="s">
        <v>173</v>
      </c>
      <c r="N429" s="57" t="s">
        <v>114</v>
      </c>
      <c r="O429" s="54" t="s">
        <v>220</v>
      </c>
      <c r="P429" s="131" t="str">
        <f>IFERROR(VLOOKUP(C429,TD!$B$32:$F$36,2,0)," ")</f>
        <v>O230117</v>
      </c>
      <c r="Q429" s="131" t="str">
        <f>IFERROR(VLOOKUP(C429,TD!$B$32:$F$36,3,0)," ")</f>
        <v>4599</v>
      </c>
      <c r="R429" s="131">
        <f>IFERROR(VLOOKUP(C429,TD!$B$32:$F$36,4,0)," ")</f>
        <v>20240207</v>
      </c>
      <c r="S429" s="54" t="s">
        <v>186</v>
      </c>
      <c r="T429" s="131" t="str">
        <f>IFERROR(VLOOKUP(S429,TD!$J$33:$K$43,2,0)," ")</f>
        <v>Infraestructura física, mantenimiento y dotación (Sedes construidas, mantenidas reforzadas)</v>
      </c>
      <c r="U429" s="54" t="str">
        <f t="shared" si="24"/>
        <v>08-Infraestructura física, mantenimiento y dotación (Sedes construidas, mantenidas reforzadas)</v>
      </c>
      <c r="V429" s="54" t="s">
        <v>239</v>
      </c>
      <c r="W429" s="131" t="str">
        <f>IFERROR(VLOOKUP(V429,TD!$N$33:$O$45,2,0)," ")</f>
        <v>Sedes mantenidas</v>
      </c>
      <c r="X429" s="54" t="str">
        <f t="shared" si="25"/>
        <v>016_Sedes mantenidas</v>
      </c>
      <c r="Y429" s="54" t="str">
        <f t="shared" si="26"/>
        <v>08-Infraestructura física, mantenimiento y dotación (Sedes construidas, mantenidas reforzadas) 016_Sedes mantenidas</v>
      </c>
      <c r="Z429" s="131" t="str">
        <f t="shared" si="27"/>
        <v>O23011745992024020708016</v>
      </c>
      <c r="AA429" s="131" t="str">
        <f>IFERROR(VLOOKUP(Y429,TD!$K$46:$L$64,2,0)," ")</f>
        <v>PM/0131/0108/45990160207</v>
      </c>
      <c r="AB429" s="57" t="s">
        <v>139</v>
      </c>
      <c r="AC429" s="132" t="s">
        <v>205</v>
      </c>
    </row>
    <row r="430" spans="2:29" s="28" customFormat="1" ht="57">
      <c r="B430" s="85">
        <v>20241183</v>
      </c>
      <c r="C430" s="53" t="s">
        <v>209</v>
      </c>
      <c r="D430" s="129" t="s">
        <v>167</v>
      </c>
      <c r="E430" s="54" t="s">
        <v>568</v>
      </c>
      <c r="F430" s="129" t="s">
        <v>756</v>
      </c>
      <c r="G430" s="129" t="s">
        <v>156</v>
      </c>
      <c r="H430" s="117">
        <v>80111600</v>
      </c>
      <c r="I430" s="130">
        <v>8</v>
      </c>
      <c r="J430" s="56">
        <v>5</v>
      </c>
      <c r="K430" s="56">
        <v>0</v>
      </c>
      <c r="L430" s="57">
        <v>36380000</v>
      </c>
      <c r="M430" s="129" t="s">
        <v>173</v>
      </c>
      <c r="N430" s="57" t="s">
        <v>114</v>
      </c>
      <c r="O430" s="54" t="s">
        <v>220</v>
      </c>
      <c r="P430" s="131" t="str">
        <f>IFERROR(VLOOKUP(C430,TD!$B$32:$F$36,2,0)," ")</f>
        <v>O230117</v>
      </c>
      <c r="Q430" s="131" t="str">
        <f>IFERROR(VLOOKUP(C430,TD!$B$32:$F$36,3,0)," ")</f>
        <v>4599</v>
      </c>
      <c r="R430" s="131">
        <f>IFERROR(VLOOKUP(C430,TD!$B$32:$F$36,4,0)," ")</f>
        <v>20240207</v>
      </c>
      <c r="S430" s="54" t="s">
        <v>186</v>
      </c>
      <c r="T430" s="131" t="str">
        <f>IFERROR(VLOOKUP(S430,TD!$J$33:$K$43,2,0)," ")</f>
        <v>Infraestructura física, mantenimiento y dotación (Sedes construidas, mantenidas reforzadas)</v>
      </c>
      <c r="U430" s="54" t="str">
        <f t="shared" si="24"/>
        <v>08-Infraestructura física, mantenimiento y dotación (Sedes construidas, mantenidas reforzadas)</v>
      </c>
      <c r="V430" s="54" t="s">
        <v>239</v>
      </c>
      <c r="W430" s="131" t="str">
        <f>IFERROR(VLOOKUP(V430,TD!$N$33:$O$45,2,0)," ")</f>
        <v>Sedes mantenidas</v>
      </c>
      <c r="X430" s="54" t="str">
        <f t="shared" si="25"/>
        <v>016_Sedes mantenidas</v>
      </c>
      <c r="Y430" s="54" t="str">
        <f t="shared" si="26"/>
        <v>08-Infraestructura física, mantenimiento y dotación (Sedes construidas, mantenidas reforzadas) 016_Sedes mantenidas</v>
      </c>
      <c r="Z430" s="131" t="str">
        <f t="shared" si="27"/>
        <v>O23011745992024020708016</v>
      </c>
      <c r="AA430" s="131" t="str">
        <f>IFERROR(VLOOKUP(Y430,TD!$K$46:$L$64,2,0)," ")</f>
        <v>PM/0131/0108/45990160207</v>
      </c>
      <c r="AB430" s="57" t="s">
        <v>139</v>
      </c>
      <c r="AC430" s="132" t="s">
        <v>205</v>
      </c>
    </row>
    <row r="431" spans="2:29" s="28" customFormat="1" ht="57">
      <c r="B431" s="85">
        <v>20241184</v>
      </c>
      <c r="C431" s="53" t="s">
        <v>209</v>
      </c>
      <c r="D431" s="129" t="s">
        <v>167</v>
      </c>
      <c r="E431" s="54" t="s">
        <v>568</v>
      </c>
      <c r="F431" s="129" t="s">
        <v>757</v>
      </c>
      <c r="G431" s="129" t="s">
        <v>156</v>
      </c>
      <c r="H431" s="117">
        <v>80111600</v>
      </c>
      <c r="I431" s="130">
        <v>8</v>
      </c>
      <c r="J431" s="56">
        <v>4</v>
      </c>
      <c r="K431" s="56">
        <v>0</v>
      </c>
      <c r="L431" s="57">
        <v>16000000</v>
      </c>
      <c r="M431" s="129" t="s">
        <v>173</v>
      </c>
      <c r="N431" s="57" t="s">
        <v>114</v>
      </c>
      <c r="O431" s="54" t="s">
        <v>220</v>
      </c>
      <c r="P431" s="131" t="str">
        <f>IFERROR(VLOOKUP(C431,TD!$B$32:$F$36,2,0)," ")</f>
        <v>O230117</v>
      </c>
      <c r="Q431" s="131" t="str">
        <f>IFERROR(VLOOKUP(C431,TD!$B$32:$F$36,3,0)," ")</f>
        <v>4599</v>
      </c>
      <c r="R431" s="131">
        <f>IFERROR(VLOOKUP(C431,TD!$B$32:$F$36,4,0)," ")</f>
        <v>20240207</v>
      </c>
      <c r="S431" s="54" t="s">
        <v>186</v>
      </c>
      <c r="T431" s="131" t="str">
        <f>IFERROR(VLOOKUP(S431,TD!$J$33:$K$43,2,0)," ")</f>
        <v>Infraestructura física, mantenimiento y dotación (Sedes construidas, mantenidas reforzadas)</v>
      </c>
      <c r="U431" s="54" t="str">
        <f t="shared" si="24"/>
        <v>08-Infraestructura física, mantenimiento y dotación (Sedes construidas, mantenidas reforzadas)</v>
      </c>
      <c r="V431" s="54" t="s">
        <v>239</v>
      </c>
      <c r="W431" s="131" t="str">
        <f>IFERROR(VLOOKUP(V431,TD!$N$33:$O$45,2,0)," ")</f>
        <v>Sedes mantenidas</v>
      </c>
      <c r="X431" s="54" t="str">
        <f t="shared" si="25"/>
        <v>016_Sedes mantenidas</v>
      </c>
      <c r="Y431" s="54" t="str">
        <f t="shared" si="26"/>
        <v>08-Infraestructura física, mantenimiento y dotación (Sedes construidas, mantenidas reforzadas) 016_Sedes mantenidas</v>
      </c>
      <c r="Z431" s="131" t="str">
        <f t="shared" si="27"/>
        <v>O23011745992024020708016</v>
      </c>
      <c r="AA431" s="131" t="str">
        <f>IFERROR(VLOOKUP(Y431,TD!$K$46:$L$64,2,0)," ")</f>
        <v>PM/0131/0108/45990160207</v>
      </c>
      <c r="AB431" s="57" t="s">
        <v>139</v>
      </c>
      <c r="AC431" s="132" t="s">
        <v>205</v>
      </c>
    </row>
    <row r="432" spans="2:29" s="28" customFormat="1" ht="57">
      <c r="B432" s="85">
        <v>20241185</v>
      </c>
      <c r="C432" s="53" t="s">
        <v>209</v>
      </c>
      <c r="D432" s="129" t="s">
        <v>167</v>
      </c>
      <c r="E432" s="54" t="s">
        <v>568</v>
      </c>
      <c r="F432" s="129" t="s">
        <v>758</v>
      </c>
      <c r="G432" s="129" t="s">
        <v>156</v>
      </c>
      <c r="H432" s="117">
        <v>80111600</v>
      </c>
      <c r="I432" s="130">
        <v>8</v>
      </c>
      <c r="J432" s="56">
        <v>5</v>
      </c>
      <c r="K432" s="56">
        <v>0</v>
      </c>
      <c r="L432" s="57">
        <f>25452000-25452000</f>
        <v>0</v>
      </c>
      <c r="M432" s="129" t="s">
        <v>173</v>
      </c>
      <c r="N432" s="57" t="s">
        <v>114</v>
      </c>
      <c r="O432" s="54" t="s">
        <v>220</v>
      </c>
      <c r="P432" s="131" t="str">
        <f>IFERROR(VLOOKUP(C432,TD!$B$32:$F$36,2,0)," ")</f>
        <v>O230117</v>
      </c>
      <c r="Q432" s="131" t="str">
        <f>IFERROR(VLOOKUP(C432,TD!$B$32:$F$36,3,0)," ")</f>
        <v>4599</v>
      </c>
      <c r="R432" s="131">
        <f>IFERROR(VLOOKUP(C432,TD!$B$32:$F$36,4,0)," ")</f>
        <v>20240207</v>
      </c>
      <c r="S432" s="54" t="s">
        <v>186</v>
      </c>
      <c r="T432" s="131" t="str">
        <f>IFERROR(VLOOKUP(S432,TD!$J$33:$K$43,2,0)," ")</f>
        <v>Infraestructura física, mantenimiento y dotación (Sedes construidas, mantenidas reforzadas)</v>
      </c>
      <c r="U432" s="54" t="str">
        <f t="shared" si="24"/>
        <v>08-Infraestructura física, mantenimiento y dotación (Sedes construidas, mantenidas reforzadas)</v>
      </c>
      <c r="V432" s="54" t="s">
        <v>239</v>
      </c>
      <c r="W432" s="131" t="str">
        <f>IFERROR(VLOOKUP(V432,TD!$N$33:$O$45,2,0)," ")</f>
        <v>Sedes mantenidas</v>
      </c>
      <c r="X432" s="54" t="str">
        <f t="shared" si="25"/>
        <v>016_Sedes mantenidas</v>
      </c>
      <c r="Y432" s="54" t="str">
        <f t="shared" si="26"/>
        <v>08-Infraestructura física, mantenimiento y dotación (Sedes construidas, mantenidas reforzadas) 016_Sedes mantenidas</v>
      </c>
      <c r="Z432" s="131" t="str">
        <f t="shared" si="27"/>
        <v>O23011745992024020708016</v>
      </c>
      <c r="AA432" s="131" t="str">
        <f>IFERROR(VLOOKUP(Y432,TD!$K$46:$L$64,2,0)," ")</f>
        <v>PM/0131/0108/45990160207</v>
      </c>
      <c r="AB432" s="57" t="s">
        <v>139</v>
      </c>
      <c r="AC432" s="132" t="s">
        <v>205</v>
      </c>
    </row>
    <row r="433" spans="2:29" s="28" customFormat="1" ht="57">
      <c r="B433" s="85">
        <v>20241186</v>
      </c>
      <c r="C433" s="53" t="s">
        <v>209</v>
      </c>
      <c r="D433" s="129" t="s">
        <v>167</v>
      </c>
      <c r="E433" s="54" t="s">
        <v>568</v>
      </c>
      <c r="F433" s="129" t="s">
        <v>588</v>
      </c>
      <c r="G433" s="129" t="s">
        <v>156</v>
      </c>
      <c r="H433" s="117">
        <v>80111600</v>
      </c>
      <c r="I433" s="130">
        <v>8</v>
      </c>
      <c r="J433" s="56">
        <v>5</v>
      </c>
      <c r="K433" s="56">
        <v>0</v>
      </c>
      <c r="L433" s="57">
        <f>31108000-21900000</f>
        <v>9208000</v>
      </c>
      <c r="M433" s="129" t="s">
        <v>173</v>
      </c>
      <c r="N433" s="57" t="s">
        <v>114</v>
      </c>
      <c r="O433" s="54" t="s">
        <v>220</v>
      </c>
      <c r="P433" s="131" t="str">
        <f>IFERROR(VLOOKUP(C433,TD!$B$32:$F$36,2,0)," ")</f>
        <v>O230117</v>
      </c>
      <c r="Q433" s="131" t="str">
        <f>IFERROR(VLOOKUP(C433,TD!$B$32:$F$36,3,0)," ")</f>
        <v>4599</v>
      </c>
      <c r="R433" s="131">
        <f>IFERROR(VLOOKUP(C433,TD!$B$32:$F$36,4,0)," ")</f>
        <v>20240207</v>
      </c>
      <c r="S433" s="54" t="s">
        <v>186</v>
      </c>
      <c r="T433" s="131" t="str">
        <f>IFERROR(VLOOKUP(S433,TD!$J$33:$K$43,2,0)," ")</f>
        <v>Infraestructura física, mantenimiento y dotación (Sedes construidas, mantenidas reforzadas)</v>
      </c>
      <c r="U433" s="54" t="str">
        <f t="shared" si="24"/>
        <v>08-Infraestructura física, mantenimiento y dotación (Sedes construidas, mantenidas reforzadas)</v>
      </c>
      <c r="V433" s="54" t="s">
        <v>239</v>
      </c>
      <c r="W433" s="131" t="str">
        <f>IFERROR(VLOOKUP(V433,TD!$N$33:$O$45,2,0)," ")</f>
        <v>Sedes mantenidas</v>
      </c>
      <c r="X433" s="54" t="str">
        <f t="shared" si="25"/>
        <v>016_Sedes mantenidas</v>
      </c>
      <c r="Y433" s="54" t="str">
        <f t="shared" si="26"/>
        <v>08-Infraestructura física, mantenimiento y dotación (Sedes construidas, mantenidas reforzadas) 016_Sedes mantenidas</v>
      </c>
      <c r="Z433" s="131" t="str">
        <f t="shared" si="27"/>
        <v>O23011745992024020708016</v>
      </c>
      <c r="AA433" s="131" t="str">
        <f>IFERROR(VLOOKUP(Y433,TD!$K$46:$L$64,2,0)," ")</f>
        <v>PM/0131/0108/45990160207</v>
      </c>
      <c r="AB433" s="57" t="s">
        <v>139</v>
      </c>
      <c r="AC433" s="132" t="s">
        <v>205</v>
      </c>
    </row>
    <row r="434" spans="2:29" s="28" customFormat="1" ht="57">
      <c r="B434" s="85">
        <v>20241187</v>
      </c>
      <c r="C434" s="53" t="s">
        <v>209</v>
      </c>
      <c r="D434" s="129" t="s">
        <v>167</v>
      </c>
      <c r="E434" s="54" t="s">
        <v>568</v>
      </c>
      <c r="F434" s="129" t="s">
        <v>759</v>
      </c>
      <c r="G434" s="129" t="s">
        <v>156</v>
      </c>
      <c r="H434" s="117">
        <v>80111600</v>
      </c>
      <c r="I434" s="130">
        <v>8</v>
      </c>
      <c r="J434" s="56">
        <v>5</v>
      </c>
      <c r="K434" s="56">
        <v>0</v>
      </c>
      <c r="L434" s="57">
        <v>37450000</v>
      </c>
      <c r="M434" s="129" t="s">
        <v>173</v>
      </c>
      <c r="N434" s="57" t="s">
        <v>114</v>
      </c>
      <c r="O434" s="54" t="s">
        <v>220</v>
      </c>
      <c r="P434" s="131" t="str">
        <f>IFERROR(VLOOKUP(C434,TD!$B$32:$F$36,2,0)," ")</f>
        <v>O230117</v>
      </c>
      <c r="Q434" s="131" t="str">
        <f>IFERROR(VLOOKUP(C434,TD!$B$32:$F$36,3,0)," ")</f>
        <v>4599</v>
      </c>
      <c r="R434" s="131">
        <f>IFERROR(VLOOKUP(C434,TD!$B$32:$F$36,4,0)," ")</f>
        <v>20240207</v>
      </c>
      <c r="S434" s="54" t="s">
        <v>186</v>
      </c>
      <c r="T434" s="131" t="str">
        <f>IFERROR(VLOOKUP(S434,TD!$J$33:$K$43,2,0)," ")</f>
        <v>Infraestructura física, mantenimiento y dotación (Sedes construidas, mantenidas reforzadas)</v>
      </c>
      <c r="U434" s="54" t="str">
        <f t="shared" si="24"/>
        <v>08-Infraestructura física, mantenimiento y dotación (Sedes construidas, mantenidas reforzadas)</v>
      </c>
      <c r="V434" s="54" t="s">
        <v>239</v>
      </c>
      <c r="W434" s="131" t="str">
        <f>IFERROR(VLOOKUP(V434,TD!$N$33:$O$45,2,0)," ")</f>
        <v>Sedes mantenidas</v>
      </c>
      <c r="X434" s="54" t="str">
        <f t="shared" si="25"/>
        <v>016_Sedes mantenidas</v>
      </c>
      <c r="Y434" s="54" t="str">
        <f t="shared" si="26"/>
        <v>08-Infraestructura física, mantenimiento y dotación (Sedes construidas, mantenidas reforzadas) 016_Sedes mantenidas</v>
      </c>
      <c r="Z434" s="131" t="str">
        <f t="shared" si="27"/>
        <v>O23011745992024020708016</v>
      </c>
      <c r="AA434" s="131" t="str">
        <f>IFERROR(VLOOKUP(Y434,TD!$K$46:$L$64,2,0)," ")</f>
        <v>PM/0131/0108/45990160207</v>
      </c>
      <c r="AB434" s="57" t="s">
        <v>139</v>
      </c>
      <c r="AC434" s="132" t="s">
        <v>205</v>
      </c>
    </row>
    <row r="435" spans="2:29" s="28" customFormat="1" ht="57">
      <c r="B435" s="85">
        <v>20241188</v>
      </c>
      <c r="C435" s="53" t="s">
        <v>209</v>
      </c>
      <c r="D435" s="129" t="s">
        <v>167</v>
      </c>
      <c r="E435" s="54" t="s">
        <v>568</v>
      </c>
      <c r="F435" s="129" t="s">
        <v>760</v>
      </c>
      <c r="G435" s="129" t="s">
        <v>156</v>
      </c>
      <c r="H435" s="117">
        <v>80111600</v>
      </c>
      <c r="I435" s="130">
        <v>8</v>
      </c>
      <c r="J435" s="56">
        <v>5</v>
      </c>
      <c r="K435" s="56">
        <v>0</v>
      </c>
      <c r="L435" s="57">
        <v>34000000</v>
      </c>
      <c r="M435" s="129" t="s">
        <v>173</v>
      </c>
      <c r="N435" s="57" t="s">
        <v>114</v>
      </c>
      <c r="O435" s="54" t="s">
        <v>220</v>
      </c>
      <c r="P435" s="131" t="str">
        <f>IFERROR(VLOOKUP(C435,TD!$B$32:$F$36,2,0)," ")</f>
        <v>O230117</v>
      </c>
      <c r="Q435" s="131" t="str">
        <f>IFERROR(VLOOKUP(C435,TD!$B$32:$F$36,3,0)," ")</f>
        <v>4599</v>
      </c>
      <c r="R435" s="131">
        <f>IFERROR(VLOOKUP(C435,TD!$B$32:$F$36,4,0)," ")</f>
        <v>20240207</v>
      </c>
      <c r="S435" s="54" t="s">
        <v>186</v>
      </c>
      <c r="T435" s="131" t="str">
        <f>IFERROR(VLOOKUP(S435,TD!$J$33:$K$43,2,0)," ")</f>
        <v>Infraestructura física, mantenimiento y dotación (Sedes construidas, mantenidas reforzadas)</v>
      </c>
      <c r="U435" s="54" t="str">
        <f t="shared" si="24"/>
        <v>08-Infraestructura física, mantenimiento y dotación (Sedes construidas, mantenidas reforzadas)</v>
      </c>
      <c r="V435" s="54" t="s">
        <v>239</v>
      </c>
      <c r="W435" s="131" t="str">
        <f>IFERROR(VLOOKUP(V435,TD!$N$33:$O$45,2,0)," ")</f>
        <v>Sedes mantenidas</v>
      </c>
      <c r="X435" s="54" t="str">
        <f t="shared" si="25"/>
        <v>016_Sedes mantenidas</v>
      </c>
      <c r="Y435" s="54" t="str">
        <f t="shared" si="26"/>
        <v>08-Infraestructura física, mantenimiento y dotación (Sedes construidas, mantenidas reforzadas) 016_Sedes mantenidas</v>
      </c>
      <c r="Z435" s="131" t="str">
        <f t="shared" si="27"/>
        <v>O23011745992024020708016</v>
      </c>
      <c r="AA435" s="131" t="str">
        <f>IFERROR(VLOOKUP(Y435,TD!$K$46:$L$64,2,0)," ")</f>
        <v>PM/0131/0108/45990160207</v>
      </c>
      <c r="AB435" s="57" t="s">
        <v>139</v>
      </c>
      <c r="AC435" s="132" t="s">
        <v>205</v>
      </c>
    </row>
    <row r="436" spans="2:29" s="28" customFormat="1" ht="71.25">
      <c r="B436" s="85">
        <v>20241189</v>
      </c>
      <c r="C436" s="53" t="s">
        <v>209</v>
      </c>
      <c r="D436" s="129" t="s">
        <v>167</v>
      </c>
      <c r="E436" s="54" t="s">
        <v>568</v>
      </c>
      <c r="F436" s="129" t="s">
        <v>761</v>
      </c>
      <c r="G436" s="129" t="s">
        <v>157</v>
      </c>
      <c r="H436" s="117">
        <v>80111600</v>
      </c>
      <c r="I436" s="130">
        <v>8</v>
      </c>
      <c r="J436" s="56">
        <v>5</v>
      </c>
      <c r="K436" s="56">
        <v>0</v>
      </c>
      <c r="L436" s="57">
        <v>13857200</v>
      </c>
      <c r="M436" s="129" t="s">
        <v>173</v>
      </c>
      <c r="N436" s="57" t="s">
        <v>114</v>
      </c>
      <c r="O436" s="54" t="s">
        <v>220</v>
      </c>
      <c r="P436" s="131" t="str">
        <f>IFERROR(VLOOKUP(C436,TD!$B$32:$F$36,2,0)," ")</f>
        <v>O230117</v>
      </c>
      <c r="Q436" s="131" t="str">
        <f>IFERROR(VLOOKUP(C436,TD!$B$32:$F$36,3,0)," ")</f>
        <v>4599</v>
      </c>
      <c r="R436" s="131">
        <f>IFERROR(VLOOKUP(C436,TD!$B$32:$F$36,4,0)," ")</f>
        <v>20240207</v>
      </c>
      <c r="S436" s="54" t="s">
        <v>186</v>
      </c>
      <c r="T436" s="131" t="str">
        <f>IFERROR(VLOOKUP(S436,TD!$J$33:$K$43,2,0)," ")</f>
        <v>Infraestructura física, mantenimiento y dotación (Sedes construidas, mantenidas reforzadas)</v>
      </c>
      <c r="U436" s="54" t="str">
        <f t="shared" si="24"/>
        <v>08-Infraestructura física, mantenimiento y dotación (Sedes construidas, mantenidas reforzadas)</v>
      </c>
      <c r="V436" s="54" t="s">
        <v>239</v>
      </c>
      <c r="W436" s="131" t="str">
        <f>IFERROR(VLOOKUP(V436,TD!$N$33:$O$45,2,0)," ")</f>
        <v>Sedes mantenidas</v>
      </c>
      <c r="X436" s="54" t="str">
        <f t="shared" si="25"/>
        <v>016_Sedes mantenidas</v>
      </c>
      <c r="Y436" s="54" t="str">
        <f t="shared" si="26"/>
        <v>08-Infraestructura física, mantenimiento y dotación (Sedes construidas, mantenidas reforzadas) 016_Sedes mantenidas</v>
      </c>
      <c r="Z436" s="131" t="str">
        <f t="shared" si="27"/>
        <v>O23011745992024020708016</v>
      </c>
      <c r="AA436" s="131" t="str">
        <f>IFERROR(VLOOKUP(Y436,TD!$K$46:$L$64,2,0)," ")</f>
        <v>PM/0131/0108/45990160207</v>
      </c>
      <c r="AB436" s="57" t="s">
        <v>139</v>
      </c>
      <c r="AC436" s="132" t="s">
        <v>205</v>
      </c>
    </row>
    <row r="437" spans="2:29" s="28" customFormat="1" ht="57">
      <c r="B437" s="85">
        <v>20241190</v>
      </c>
      <c r="C437" s="53" t="s">
        <v>209</v>
      </c>
      <c r="D437" s="129" t="s">
        <v>167</v>
      </c>
      <c r="E437" s="54" t="s">
        <v>568</v>
      </c>
      <c r="F437" s="129" t="s">
        <v>762</v>
      </c>
      <c r="G437" s="129" t="s">
        <v>156</v>
      </c>
      <c r="H437" s="117">
        <v>80111600</v>
      </c>
      <c r="I437" s="130">
        <v>8</v>
      </c>
      <c r="J437" s="56">
        <v>5</v>
      </c>
      <c r="K437" s="56">
        <v>0</v>
      </c>
      <c r="L437" s="57">
        <v>25452000</v>
      </c>
      <c r="M437" s="129" t="s">
        <v>173</v>
      </c>
      <c r="N437" s="57" t="s">
        <v>114</v>
      </c>
      <c r="O437" s="54" t="s">
        <v>220</v>
      </c>
      <c r="P437" s="131" t="str">
        <f>IFERROR(VLOOKUP(C437,TD!$B$32:$F$36,2,0)," ")</f>
        <v>O230117</v>
      </c>
      <c r="Q437" s="131" t="str">
        <f>IFERROR(VLOOKUP(C437,TD!$B$32:$F$36,3,0)," ")</f>
        <v>4599</v>
      </c>
      <c r="R437" s="131">
        <f>IFERROR(VLOOKUP(C437,TD!$B$32:$F$36,4,0)," ")</f>
        <v>20240207</v>
      </c>
      <c r="S437" s="54" t="s">
        <v>186</v>
      </c>
      <c r="T437" s="131" t="str">
        <f>IFERROR(VLOOKUP(S437,TD!$J$33:$K$43,2,0)," ")</f>
        <v>Infraestructura física, mantenimiento y dotación (Sedes construidas, mantenidas reforzadas)</v>
      </c>
      <c r="U437" s="54" t="str">
        <f t="shared" si="24"/>
        <v>08-Infraestructura física, mantenimiento y dotación (Sedes construidas, mantenidas reforzadas)</v>
      </c>
      <c r="V437" s="54" t="s">
        <v>239</v>
      </c>
      <c r="W437" s="131" t="str">
        <f>IFERROR(VLOOKUP(V437,TD!$N$33:$O$45,2,0)," ")</f>
        <v>Sedes mantenidas</v>
      </c>
      <c r="X437" s="54" t="str">
        <f t="shared" si="25"/>
        <v>016_Sedes mantenidas</v>
      </c>
      <c r="Y437" s="54" t="str">
        <f t="shared" si="26"/>
        <v>08-Infraestructura física, mantenimiento y dotación (Sedes construidas, mantenidas reforzadas) 016_Sedes mantenidas</v>
      </c>
      <c r="Z437" s="131" t="str">
        <f t="shared" si="27"/>
        <v>O23011745992024020708016</v>
      </c>
      <c r="AA437" s="131" t="str">
        <f>IFERROR(VLOOKUP(Y437,TD!$K$46:$L$64,2,0)," ")</f>
        <v>PM/0131/0108/45990160207</v>
      </c>
      <c r="AB437" s="57" t="s">
        <v>139</v>
      </c>
      <c r="AC437" s="132" t="s">
        <v>205</v>
      </c>
    </row>
    <row r="438" spans="2:29" s="28" customFormat="1" ht="71.25">
      <c r="B438" s="85">
        <v>20241191</v>
      </c>
      <c r="C438" s="53" t="s">
        <v>209</v>
      </c>
      <c r="D438" s="129" t="s">
        <v>167</v>
      </c>
      <c r="E438" s="54" t="s">
        <v>568</v>
      </c>
      <c r="F438" s="129" t="s">
        <v>763</v>
      </c>
      <c r="G438" s="129" t="s">
        <v>157</v>
      </c>
      <c r="H438" s="117">
        <v>80111600</v>
      </c>
      <c r="I438" s="130">
        <v>8</v>
      </c>
      <c r="J438" s="56">
        <v>5</v>
      </c>
      <c r="K438" s="56">
        <v>0</v>
      </c>
      <c r="L438" s="57">
        <v>13857200</v>
      </c>
      <c r="M438" s="129" t="s">
        <v>173</v>
      </c>
      <c r="N438" s="57" t="s">
        <v>114</v>
      </c>
      <c r="O438" s="54" t="s">
        <v>220</v>
      </c>
      <c r="P438" s="131" t="str">
        <f>IFERROR(VLOOKUP(C438,TD!$B$32:$F$36,2,0)," ")</f>
        <v>O230117</v>
      </c>
      <c r="Q438" s="131" t="str">
        <f>IFERROR(VLOOKUP(C438,TD!$B$32:$F$36,3,0)," ")</f>
        <v>4599</v>
      </c>
      <c r="R438" s="131">
        <f>IFERROR(VLOOKUP(C438,TD!$B$32:$F$36,4,0)," ")</f>
        <v>20240207</v>
      </c>
      <c r="S438" s="54" t="s">
        <v>186</v>
      </c>
      <c r="T438" s="131" t="str">
        <f>IFERROR(VLOOKUP(S438,TD!$J$33:$K$43,2,0)," ")</f>
        <v>Infraestructura física, mantenimiento y dotación (Sedes construidas, mantenidas reforzadas)</v>
      </c>
      <c r="U438" s="54" t="str">
        <f t="shared" si="24"/>
        <v>08-Infraestructura física, mantenimiento y dotación (Sedes construidas, mantenidas reforzadas)</v>
      </c>
      <c r="V438" s="54" t="s">
        <v>239</v>
      </c>
      <c r="W438" s="131" t="str">
        <f>IFERROR(VLOOKUP(V438,TD!$N$33:$O$45,2,0)," ")</f>
        <v>Sedes mantenidas</v>
      </c>
      <c r="X438" s="54" t="str">
        <f t="shared" si="25"/>
        <v>016_Sedes mantenidas</v>
      </c>
      <c r="Y438" s="54" t="str">
        <f t="shared" si="26"/>
        <v>08-Infraestructura física, mantenimiento y dotación (Sedes construidas, mantenidas reforzadas) 016_Sedes mantenidas</v>
      </c>
      <c r="Z438" s="131" t="str">
        <f t="shared" si="27"/>
        <v>O23011745992024020708016</v>
      </c>
      <c r="AA438" s="131" t="str">
        <f>IFERROR(VLOOKUP(Y438,TD!$K$46:$L$64,2,0)," ")</f>
        <v>PM/0131/0108/45990160207</v>
      </c>
      <c r="AB438" s="57" t="s">
        <v>139</v>
      </c>
      <c r="AC438" s="132" t="s">
        <v>205</v>
      </c>
    </row>
    <row r="439" spans="2:29" s="28" customFormat="1" ht="71.25">
      <c r="B439" s="85">
        <v>20241192</v>
      </c>
      <c r="C439" s="53" t="s">
        <v>209</v>
      </c>
      <c r="D439" s="129" t="s">
        <v>167</v>
      </c>
      <c r="E439" s="54" t="s">
        <v>568</v>
      </c>
      <c r="F439" s="129" t="s">
        <v>764</v>
      </c>
      <c r="G439" s="129" t="s">
        <v>157</v>
      </c>
      <c r="H439" s="117">
        <v>80111600</v>
      </c>
      <c r="I439" s="130">
        <v>8</v>
      </c>
      <c r="J439" s="56">
        <v>4</v>
      </c>
      <c r="K439" s="56">
        <v>0</v>
      </c>
      <c r="L439" s="57">
        <v>11085760</v>
      </c>
      <c r="M439" s="129" t="s">
        <v>173</v>
      </c>
      <c r="N439" s="57" t="s">
        <v>114</v>
      </c>
      <c r="O439" s="54" t="s">
        <v>220</v>
      </c>
      <c r="P439" s="131" t="str">
        <f>IFERROR(VLOOKUP(C439,TD!$B$32:$F$36,2,0)," ")</f>
        <v>O230117</v>
      </c>
      <c r="Q439" s="131" t="str">
        <f>IFERROR(VLOOKUP(C439,TD!$B$32:$F$36,3,0)," ")</f>
        <v>4599</v>
      </c>
      <c r="R439" s="131">
        <f>IFERROR(VLOOKUP(C439,TD!$B$32:$F$36,4,0)," ")</f>
        <v>20240207</v>
      </c>
      <c r="S439" s="54" t="s">
        <v>186</v>
      </c>
      <c r="T439" s="131" t="str">
        <f>IFERROR(VLOOKUP(S439,TD!$J$33:$K$43,2,0)," ")</f>
        <v>Infraestructura física, mantenimiento y dotación (Sedes construidas, mantenidas reforzadas)</v>
      </c>
      <c r="U439" s="54" t="str">
        <f t="shared" si="24"/>
        <v>08-Infraestructura física, mantenimiento y dotación (Sedes construidas, mantenidas reforzadas)</v>
      </c>
      <c r="V439" s="54" t="s">
        <v>239</v>
      </c>
      <c r="W439" s="131" t="str">
        <f>IFERROR(VLOOKUP(V439,TD!$N$33:$O$45,2,0)," ")</f>
        <v>Sedes mantenidas</v>
      </c>
      <c r="X439" s="54" t="str">
        <f t="shared" si="25"/>
        <v>016_Sedes mantenidas</v>
      </c>
      <c r="Y439" s="54" t="str">
        <f t="shared" si="26"/>
        <v>08-Infraestructura física, mantenimiento y dotación (Sedes construidas, mantenidas reforzadas) 016_Sedes mantenidas</v>
      </c>
      <c r="Z439" s="131" t="str">
        <f t="shared" si="27"/>
        <v>O23011745992024020708016</v>
      </c>
      <c r="AA439" s="131" t="str">
        <f>IFERROR(VLOOKUP(Y439,TD!$K$46:$L$64,2,0)," ")</f>
        <v>PM/0131/0108/45990160207</v>
      </c>
      <c r="AB439" s="57" t="s">
        <v>139</v>
      </c>
      <c r="AC439" s="132" t="s">
        <v>205</v>
      </c>
    </row>
    <row r="440" spans="2:29" s="28" customFormat="1" ht="71.25">
      <c r="B440" s="85">
        <v>20241193</v>
      </c>
      <c r="C440" s="53" t="s">
        <v>209</v>
      </c>
      <c r="D440" s="129" t="s">
        <v>167</v>
      </c>
      <c r="E440" s="54" t="s">
        <v>568</v>
      </c>
      <c r="F440" s="129" t="s">
        <v>763</v>
      </c>
      <c r="G440" s="129" t="s">
        <v>157</v>
      </c>
      <c r="H440" s="117">
        <v>80111600</v>
      </c>
      <c r="I440" s="130">
        <v>8</v>
      </c>
      <c r="J440" s="56">
        <v>4</v>
      </c>
      <c r="K440" s="56">
        <v>0</v>
      </c>
      <c r="L440" s="57">
        <v>11085760</v>
      </c>
      <c r="M440" s="129" t="s">
        <v>173</v>
      </c>
      <c r="N440" s="57" t="s">
        <v>114</v>
      </c>
      <c r="O440" s="54" t="s">
        <v>220</v>
      </c>
      <c r="P440" s="131" t="str">
        <f>IFERROR(VLOOKUP(C440,TD!$B$32:$F$36,2,0)," ")</f>
        <v>O230117</v>
      </c>
      <c r="Q440" s="131" t="str">
        <f>IFERROR(VLOOKUP(C440,TD!$B$32:$F$36,3,0)," ")</f>
        <v>4599</v>
      </c>
      <c r="R440" s="131">
        <f>IFERROR(VLOOKUP(C440,TD!$B$32:$F$36,4,0)," ")</f>
        <v>20240207</v>
      </c>
      <c r="S440" s="54" t="s">
        <v>186</v>
      </c>
      <c r="T440" s="131" t="str">
        <f>IFERROR(VLOOKUP(S440,TD!$J$33:$K$43,2,0)," ")</f>
        <v>Infraestructura física, mantenimiento y dotación (Sedes construidas, mantenidas reforzadas)</v>
      </c>
      <c r="U440" s="54" t="str">
        <f t="shared" si="24"/>
        <v>08-Infraestructura física, mantenimiento y dotación (Sedes construidas, mantenidas reforzadas)</v>
      </c>
      <c r="V440" s="54" t="s">
        <v>239</v>
      </c>
      <c r="W440" s="131" t="str">
        <f>IFERROR(VLOOKUP(V440,TD!$N$33:$O$45,2,0)," ")</f>
        <v>Sedes mantenidas</v>
      </c>
      <c r="X440" s="54" t="str">
        <f t="shared" si="25"/>
        <v>016_Sedes mantenidas</v>
      </c>
      <c r="Y440" s="54" t="str">
        <f t="shared" si="26"/>
        <v>08-Infraestructura física, mantenimiento y dotación (Sedes construidas, mantenidas reforzadas) 016_Sedes mantenidas</v>
      </c>
      <c r="Z440" s="131" t="str">
        <f t="shared" si="27"/>
        <v>O23011745992024020708016</v>
      </c>
      <c r="AA440" s="131" t="str">
        <f>IFERROR(VLOOKUP(Y440,TD!$K$46:$L$64,2,0)," ")</f>
        <v>PM/0131/0108/45990160207</v>
      </c>
      <c r="AB440" s="57" t="s">
        <v>139</v>
      </c>
      <c r="AC440" s="132" t="s">
        <v>205</v>
      </c>
    </row>
    <row r="441" spans="2:29" s="28" customFormat="1" ht="71.25">
      <c r="B441" s="85">
        <v>20241194</v>
      </c>
      <c r="C441" s="53" t="s">
        <v>209</v>
      </c>
      <c r="D441" s="129" t="s">
        <v>167</v>
      </c>
      <c r="E441" s="54" t="s">
        <v>568</v>
      </c>
      <c r="F441" s="129" t="s">
        <v>763</v>
      </c>
      <c r="G441" s="129" t="s">
        <v>157</v>
      </c>
      <c r="H441" s="117">
        <v>80111600</v>
      </c>
      <c r="I441" s="130">
        <v>8</v>
      </c>
      <c r="J441" s="56">
        <v>4</v>
      </c>
      <c r="K441" s="56">
        <v>0</v>
      </c>
      <c r="L441" s="57">
        <v>11085760</v>
      </c>
      <c r="M441" s="129" t="s">
        <v>173</v>
      </c>
      <c r="N441" s="57" t="s">
        <v>114</v>
      </c>
      <c r="O441" s="54" t="s">
        <v>220</v>
      </c>
      <c r="P441" s="131" t="str">
        <f>IFERROR(VLOOKUP(C441,TD!$B$32:$F$36,2,0)," ")</f>
        <v>O230117</v>
      </c>
      <c r="Q441" s="131" t="str">
        <f>IFERROR(VLOOKUP(C441,TD!$B$32:$F$36,3,0)," ")</f>
        <v>4599</v>
      </c>
      <c r="R441" s="131">
        <f>IFERROR(VLOOKUP(C441,TD!$B$32:$F$36,4,0)," ")</f>
        <v>20240207</v>
      </c>
      <c r="S441" s="54" t="s">
        <v>186</v>
      </c>
      <c r="T441" s="131" t="str">
        <f>IFERROR(VLOOKUP(S441,TD!$J$33:$K$43,2,0)," ")</f>
        <v>Infraestructura física, mantenimiento y dotación (Sedes construidas, mantenidas reforzadas)</v>
      </c>
      <c r="U441" s="54" t="str">
        <f t="shared" si="24"/>
        <v>08-Infraestructura física, mantenimiento y dotación (Sedes construidas, mantenidas reforzadas)</v>
      </c>
      <c r="V441" s="54" t="s">
        <v>239</v>
      </c>
      <c r="W441" s="131" t="str">
        <f>IFERROR(VLOOKUP(V441,TD!$N$33:$O$45,2,0)," ")</f>
        <v>Sedes mantenidas</v>
      </c>
      <c r="X441" s="54" t="str">
        <f t="shared" si="25"/>
        <v>016_Sedes mantenidas</v>
      </c>
      <c r="Y441" s="54" t="str">
        <f t="shared" si="26"/>
        <v>08-Infraestructura física, mantenimiento y dotación (Sedes construidas, mantenidas reforzadas) 016_Sedes mantenidas</v>
      </c>
      <c r="Z441" s="131" t="str">
        <f t="shared" si="27"/>
        <v>O23011745992024020708016</v>
      </c>
      <c r="AA441" s="131" t="str">
        <f>IFERROR(VLOOKUP(Y441,TD!$K$46:$L$64,2,0)," ")</f>
        <v>PM/0131/0108/45990160207</v>
      </c>
      <c r="AB441" s="57" t="s">
        <v>139</v>
      </c>
      <c r="AC441" s="132" t="s">
        <v>205</v>
      </c>
    </row>
    <row r="442" spans="2:29" s="28" customFormat="1" ht="57">
      <c r="B442" s="85">
        <v>20241195</v>
      </c>
      <c r="C442" s="53" t="s">
        <v>209</v>
      </c>
      <c r="D442" s="129" t="s">
        <v>167</v>
      </c>
      <c r="E442" s="54" t="s">
        <v>568</v>
      </c>
      <c r="F442" s="129" t="s">
        <v>765</v>
      </c>
      <c r="G442" s="129" t="s">
        <v>156</v>
      </c>
      <c r="H442" s="117">
        <v>80111600</v>
      </c>
      <c r="I442" s="130">
        <v>8</v>
      </c>
      <c r="J442" s="56">
        <v>5</v>
      </c>
      <c r="K442" s="56">
        <v>0</v>
      </c>
      <c r="L442" s="57">
        <v>21675600</v>
      </c>
      <c r="M442" s="129" t="s">
        <v>173</v>
      </c>
      <c r="N442" s="57" t="s">
        <v>114</v>
      </c>
      <c r="O442" s="54" t="s">
        <v>220</v>
      </c>
      <c r="P442" s="131" t="str">
        <f>IFERROR(VLOOKUP(C442,TD!$B$32:$F$36,2,0)," ")</f>
        <v>O230117</v>
      </c>
      <c r="Q442" s="131" t="str">
        <f>IFERROR(VLOOKUP(C442,TD!$B$32:$F$36,3,0)," ")</f>
        <v>4599</v>
      </c>
      <c r="R442" s="131">
        <f>IFERROR(VLOOKUP(C442,TD!$B$32:$F$36,4,0)," ")</f>
        <v>20240207</v>
      </c>
      <c r="S442" s="54" t="s">
        <v>186</v>
      </c>
      <c r="T442" s="131" t="str">
        <f>IFERROR(VLOOKUP(S442,TD!$J$33:$K$43,2,0)," ")</f>
        <v>Infraestructura física, mantenimiento y dotación (Sedes construidas, mantenidas reforzadas)</v>
      </c>
      <c r="U442" s="54" t="str">
        <f t="shared" si="24"/>
        <v>08-Infraestructura física, mantenimiento y dotación (Sedes construidas, mantenidas reforzadas)</v>
      </c>
      <c r="V442" s="54" t="s">
        <v>239</v>
      </c>
      <c r="W442" s="131" t="str">
        <f>IFERROR(VLOOKUP(V442,TD!$N$33:$O$45,2,0)," ")</f>
        <v>Sedes mantenidas</v>
      </c>
      <c r="X442" s="54" t="str">
        <f t="shared" si="25"/>
        <v>016_Sedes mantenidas</v>
      </c>
      <c r="Y442" s="54" t="str">
        <f t="shared" si="26"/>
        <v>08-Infraestructura física, mantenimiento y dotación (Sedes construidas, mantenidas reforzadas) 016_Sedes mantenidas</v>
      </c>
      <c r="Z442" s="131" t="str">
        <f t="shared" si="27"/>
        <v>O23011745992024020708016</v>
      </c>
      <c r="AA442" s="131" t="str">
        <f>IFERROR(VLOOKUP(Y442,TD!$K$46:$L$64,2,0)," ")</f>
        <v>PM/0131/0108/45990160207</v>
      </c>
      <c r="AB442" s="57" t="s">
        <v>139</v>
      </c>
      <c r="AC442" s="132" t="s">
        <v>205</v>
      </c>
    </row>
    <row r="443" spans="2:29" s="28" customFormat="1" ht="57">
      <c r="B443" s="85">
        <v>20241196</v>
      </c>
      <c r="C443" s="53" t="s">
        <v>209</v>
      </c>
      <c r="D443" s="129" t="s">
        <v>167</v>
      </c>
      <c r="E443" s="54" t="s">
        <v>568</v>
      </c>
      <c r="F443" s="129" t="s">
        <v>766</v>
      </c>
      <c r="G443" s="129" t="s">
        <v>156</v>
      </c>
      <c r="H443" s="117">
        <v>80111600</v>
      </c>
      <c r="I443" s="130">
        <v>8</v>
      </c>
      <c r="J443" s="56">
        <v>4</v>
      </c>
      <c r="K443" s="56">
        <v>0</v>
      </c>
      <c r="L443" s="57">
        <f>17340480-9988046</f>
        <v>7352434</v>
      </c>
      <c r="M443" s="129" t="s">
        <v>173</v>
      </c>
      <c r="N443" s="57" t="s">
        <v>114</v>
      </c>
      <c r="O443" s="54" t="s">
        <v>220</v>
      </c>
      <c r="P443" s="131" t="str">
        <f>IFERROR(VLOOKUP(C443,TD!$B$32:$F$36,2,0)," ")</f>
        <v>O230117</v>
      </c>
      <c r="Q443" s="131" t="str">
        <f>IFERROR(VLOOKUP(C443,TD!$B$32:$F$36,3,0)," ")</f>
        <v>4599</v>
      </c>
      <c r="R443" s="131">
        <f>IFERROR(VLOOKUP(C443,TD!$B$32:$F$36,4,0)," ")</f>
        <v>20240207</v>
      </c>
      <c r="S443" s="54" t="s">
        <v>186</v>
      </c>
      <c r="T443" s="131" t="str">
        <f>IFERROR(VLOOKUP(S443,TD!$J$33:$K$43,2,0)," ")</f>
        <v>Infraestructura física, mantenimiento y dotación (Sedes construidas, mantenidas reforzadas)</v>
      </c>
      <c r="U443" s="54" t="str">
        <f t="shared" si="24"/>
        <v>08-Infraestructura física, mantenimiento y dotación (Sedes construidas, mantenidas reforzadas)</v>
      </c>
      <c r="V443" s="54" t="s">
        <v>239</v>
      </c>
      <c r="W443" s="131" t="str">
        <f>IFERROR(VLOOKUP(V443,TD!$N$33:$O$45,2,0)," ")</f>
        <v>Sedes mantenidas</v>
      </c>
      <c r="X443" s="54" t="str">
        <f t="shared" si="25"/>
        <v>016_Sedes mantenidas</v>
      </c>
      <c r="Y443" s="54" t="str">
        <f t="shared" si="26"/>
        <v>08-Infraestructura física, mantenimiento y dotación (Sedes construidas, mantenidas reforzadas) 016_Sedes mantenidas</v>
      </c>
      <c r="Z443" s="131" t="str">
        <f t="shared" si="27"/>
        <v>O23011745992024020708016</v>
      </c>
      <c r="AA443" s="131" t="str">
        <f>IFERROR(VLOOKUP(Y443,TD!$K$46:$L$64,2,0)," ")</f>
        <v>PM/0131/0108/45990160207</v>
      </c>
      <c r="AB443" s="57" t="s">
        <v>139</v>
      </c>
      <c r="AC443" s="132" t="s">
        <v>205</v>
      </c>
    </row>
    <row r="444" spans="2:29" s="28" customFormat="1" ht="57">
      <c r="B444" s="85">
        <v>20241197</v>
      </c>
      <c r="C444" s="53" t="s">
        <v>209</v>
      </c>
      <c r="D444" s="129" t="s">
        <v>167</v>
      </c>
      <c r="E444" s="54" t="s">
        <v>568</v>
      </c>
      <c r="F444" s="129" t="s">
        <v>766</v>
      </c>
      <c r="G444" s="129" t="s">
        <v>156</v>
      </c>
      <c r="H444" s="117">
        <v>80111600</v>
      </c>
      <c r="I444" s="130">
        <v>10</v>
      </c>
      <c r="J444" s="56">
        <v>3</v>
      </c>
      <c r="K444" s="56">
        <v>0</v>
      </c>
      <c r="L444" s="57">
        <v>13005360</v>
      </c>
      <c r="M444" s="129" t="s">
        <v>173</v>
      </c>
      <c r="N444" s="57" t="s">
        <v>114</v>
      </c>
      <c r="O444" s="54" t="s">
        <v>220</v>
      </c>
      <c r="P444" s="131" t="str">
        <f>IFERROR(VLOOKUP(C444,TD!$B$32:$F$36,2,0)," ")</f>
        <v>O230117</v>
      </c>
      <c r="Q444" s="131" t="str">
        <f>IFERROR(VLOOKUP(C444,TD!$B$32:$F$36,3,0)," ")</f>
        <v>4599</v>
      </c>
      <c r="R444" s="131">
        <f>IFERROR(VLOOKUP(C444,TD!$B$32:$F$36,4,0)," ")</f>
        <v>20240207</v>
      </c>
      <c r="S444" s="54" t="s">
        <v>186</v>
      </c>
      <c r="T444" s="131" t="str">
        <f>IFERROR(VLOOKUP(S444,TD!$J$33:$K$43,2,0)," ")</f>
        <v>Infraestructura física, mantenimiento y dotación (Sedes construidas, mantenidas reforzadas)</v>
      </c>
      <c r="U444" s="54" t="str">
        <f t="shared" si="24"/>
        <v>08-Infraestructura física, mantenimiento y dotación (Sedes construidas, mantenidas reforzadas)</v>
      </c>
      <c r="V444" s="54" t="s">
        <v>239</v>
      </c>
      <c r="W444" s="131" t="str">
        <f>IFERROR(VLOOKUP(V444,TD!$N$33:$O$45,2,0)," ")</f>
        <v>Sedes mantenidas</v>
      </c>
      <c r="X444" s="54" t="str">
        <f t="shared" si="25"/>
        <v>016_Sedes mantenidas</v>
      </c>
      <c r="Y444" s="54" t="str">
        <f t="shared" si="26"/>
        <v>08-Infraestructura física, mantenimiento y dotación (Sedes construidas, mantenidas reforzadas) 016_Sedes mantenidas</v>
      </c>
      <c r="Z444" s="131" t="str">
        <f t="shared" si="27"/>
        <v>O23011745992024020708016</v>
      </c>
      <c r="AA444" s="131" t="str">
        <f>IFERROR(VLOOKUP(Y444,TD!$K$46:$L$64,2,0)," ")</f>
        <v>PM/0131/0108/45990160207</v>
      </c>
      <c r="AB444" s="57" t="s">
        <v>139</v>
      </c>
      <c r="AC444" s="132" t="s">
        <v>205</v>
      </c>
    </row>
    <row r="445" spans="2:29" s="28" customFormat="1" ht="57">
      <c r="B445" s="85">
        <v>20241198</v>
      </c>
      <c r="C445" s="53" t="s">
        <v>209</v>
      </c>
      <c r="D445" s="129" t="s">
        <v>167</v>
      </c>
      <c r="E445" s="54" t="s">
        <v>568</v>
      </c>
      <c r="F445" s="129" t="s">
        <v>767</v>
      </c>
      <c r="G445" s="129" t="s">
        <v>156</v>
      </c>
      <c r="H445" s="117">
        <v>80111600</v>
      </c>
      <c r="I445" s="130">
        <v>8</v>
      </c>
      <c r="J445" s="56">
        <v>5</v>
      </c>
      <c r="K445" s="56">
        <v>0</v>
      </c>
      <c r="L445" s="57">
        <v>31108000</v>
      </c>
      <c r="M445" s="129" t="s">
        <v>173</v>
      </c>
      <c r="N445" s="57" t="s">
        <v>114</v>
      </c>
      <c r="O445" s="54" t="s">
        <v>220</v>
      </c>
      <c r="P445" s="131" t="str">
        <f>IFERROR(VLOOKUP(C445,TD!$B$32:$F$36,2,0)," ")</f>
        <v>O230117</v>
      </c>
      <c r="Q445" s="131" t="str">
        <f>IFERROR(VLOOKUP(C445,TD!$B$32:$F$36,3,0)," ")</f>
        <v>4599</v>
      </c>
      <c r="R445" s="131">
        <f>IFERROR(VLOOKUP(C445,TD!$B$32:$F$36,4,0)," ")</f>
        <v>20240207</v>
      </c>
      <c r="S445" s="54" t="s">
        <v>186</v>
      </c>
      <c r="T445" s="131" t="str">
        <f>IFERROR(VLOOKUP(S445,TD!$J$33:$K$43,2,0)," ")</f>
        <v>Infraestructura física, mantenimiento y dotación (Sedes construidas, mantenidas reforzadas)</v>
      </c>
      <c r="U445" s="54" t="str">
        <f t="shared" si="24"/>
        <v>08-Infraestructura física, mantenimiento y dotación (Sedes construidas, mantenidas reforzadas)</v>
      </c>
      <c r="V445" s="54" t="s">
        <v>239</v>
      </c>
      <c r="W445" s="131" t="str">
        <f>IFERROR(VLOOKUP(V445,TD!$N$33:$O$45,2,0)," ")</f>
        <v>Sedes mantenidas</v>
      </c>
      <c r="X445" s="54" t="str">
        <f t="shared" si="25"/>
        <v>016_Sedes mantenidas</v>
      </c>
      <c r="Y445" s="54" t="str">
        <f t="shared" si="26"/>
        <v>08-Infraestructura física, mantenimiento y dotación (Sedes construidas, mantenidas reforzadas) 016_Sedes mantenidas</v>
      </c>
      <c r="Z445" s="131" t="str">
        <f t="shared" si="27"/>
        <v>O23011745992024020708016</v>
      </c>
      <c r="AA445" s="131" t="str">
        <f>IFERROR(VLOOKUP(Y445,TD!$K$46:$L$64,2,0)," ")</f>
        <v>PM/0131/0108/45990160207</v>
      </c>
      <c r="AB445" s="57" t="s">
        <v>139</v>
      </c>
      <c r="AC445" s="132" t="s">
        <v>205</v>
      </c>
    </row>
    <row r="446" spans="2:29" s="28" customFormat="1" ht="71.25">
      <c r="B446" s="85">
        <v>20241199</v>
      </c>
      <c r="C446" s="53" t="s">
        <v>209</v>
      </c>
      <c r="D446" s="129" t="s">
        <v>167</v>
      </c>
      <c r="E446" s="54" t="s">
        <v>568</v>
      </c>
      <c r="F446" s="129" t="s">
        <v>768</v>
      </c>
      <c r="G446" s="129" t="s">
        <v>156</v>
      </c>
      <c r="H446" s="117">
        <v>80111600</v>
      </c>
      <c r="I446" s="130">
        <v>8</v>
      </c>
      <c r="J446" s="56">
        <v>4</v>
      </c>
      <c r="K446" s="56">
        <v>0</v>
      </c>
      <c r="L446" s="57">
        <f>37103360-9803200</f>
        <v>27300160</v>
      </c>
      <c r="M446" s="129" t="s">
        <v>173</v>
      </c>
      <c r="N446" s="57" t="s">
        <v>114</v>
      </c>
      <c r="O446" s="54" t="s">
        <v>220</v>
      </c>
      <c r="P446" s="131" t="str">
        <f>IFERROR(VLOOKUP(C446,TD!$B$32:$F$36,2,0)," ")</f>
        <v>O230117</v>
      </c>
      <c r="Q446" s="131" t="str">
        <f>IFERROR(VLOOKUP(C446,TD!$B$32:$F$36,3,0)," ")</f>
        <v>4599</v>
      </c>
      <c r="R446" s="131">
        <f>IFERROR(VLOOKUP(C446,TD!$B$32:$F$36,4,0)," ")</f>
        <v>20240207</v>
      </c>
      <c r="S446" s="54" t="s">
        <v>186</v>
      </c>
      <c r="T446" s="131" t="str">
        <f>IFERROR(VLOOKUP(S446,TD!$J$33:$K$43,2,0)," ")</f>
        <v>Infraestructura física, mantenimiento y dotación (Sedes construidas, mantenidas reforzadas)</v>
      </c>
      <c r="U446" s="54" t="str">
        <f t="shared" si="24"/>
        <v>08-Infraestructura física, mantenimiento y dotación (Sedes construidas, mantenidas reforzadas)</v>
      </c>
      <c r="V446" s="54" t="s">
        <v>239</v>
      </c>
      <c r="W446" s="131" t="str">
        <f>IFERROR(VLOOKUP(V446,TD!$N$33:$O$45,2,0)," ")</f>
        <v>Sedes mantenidas</v>
      </c>
      <c r="X446" s="54" t="str">
        <f t="shared" si="25"/>
        <v>016_Sedes mantenidas</v>
      </c>
      <c r="Y446" s="54" t="str">
        <f t="shared" si="26"/>
        <v>08-Infraestructura física, mantenimiento y dotación (Sedes construidas, mantenidas reforzadas) 016_Sedes mantenidas</v>
      </c>
      <c r="Z446" s="131" t="str">
        <f t="shared" si="27"/>
        <v>O23011745992024020708016</v>
      </c>
      <c r="AA446" s="131" t="str">
        <f>IFERROR(VLOOKUP(Y446,TD!$K$46:$L$64,2,0)," ")</f>
        <v>PM/0131/0108/45990160207</v>
      </c>
      <c r="AB446" s="57" t="s">
        <v>139</v>
      </c>
      <c r="AC446" s="132" t="s">
        <v>205</v>
      </c>
    </row>
    <row r="447" spans="2:29" s="28" customFormat="1" ht="71.25">
      <c r="B447" s="85">
        <v>20241200</v>
      </c>
      <c r="C447" s="53" t="s">
        <v>209</v>
      </c>
      <c r="D447" s="129" t="s">
        <v>46</v>
      </c>
      <c r="E447" s="54" t="s">
        <v>364</v>
      </c>
      <c r="F447" s="129" t="s">
        <v>770</v>
      </c>
      <c r="G447" s="129" t="s">
        <v>156</v>
      </c>
      <c r="H447" s="117">
        <v>80111600</v>
      </c>
      <c r="I447" s="130">
        <v>8</v>
      </c>
      <c r="J447" s="130">
        <v>4</v>
      </c>
      <c r="K447" s="56">
        <v>0</v>
      </c>
      <c r="L447" s="57">
        <f>32000000+4800000</f>
        <v>36800000</v>
      </c>
      <c r="M447" s="129" t="s">
        <v>173</v>
      </c>
      <c r="N447" s="57" t="s">
        <v>114</v>
      </c>
      <c r="O447" s="54" t="s">
        <v>220</v>
      </c>
      <c r="P447" s="131" t="str">
        <f>IFERROR(VLOOKUP(C447,TD!$B$32:$F$36,2,0)," ")</f>
        <v>O230117</v>
      </c>
      <c r="Q447" s="131" t="str">
        <f>IFERROR(VLOOKUP(C447,TD!$B$32:$F$36,3,0)," ")</f>
        <v>4599</v>
      </c>
      <c r="R447" s="131">
        <f>IFERROR(VLOOKUP(C447,TD!$B$32:$F$36,4,0)," ")</f>
        <v>20240207</v>
      </c>
      <c r="S447" s="54" t="s">
        <v>186</v>
      </c>
      <c r="T447" s="131" t="str">
        <f>IFERROR(VLOOKUP(S447,TD!$J$33:$K$43,2,0)," ")</f>
        <v>Infraestructura física, mantenimiento y dotación (Sedes construidas, mantenidas reforzadas)</v>
      </c>
      <c r="U447" s="54" t="str">
        <f t="shared" si="24"/>
        <v>08-Infraestructura física, mantenimiento y dotación (Sedes construidas, mantenidas reforzadas)</v>
      </c>
      <c r="V447" s="54" t="s">
        <v>239</v>
      </c>
      <c r="W447" s="131" t="str">
        <f>IFERROR(VLOOKUP(V447,TD!$N$33:$O$45,2,0)," ")</f>
        <v>Sedes mantenidas</v>
      </c>
      <c r="X447" s="54" t="str">
        <f t="shared" si="25"/>
        <v>016_Sedes mantenidas</v>
      </c>
      <c r="Y447" s="54" t="str">
        <f t="shared" si="26"/>
        <v>08-Infraestructura física, mantenimiento y dotación (Sedes construidas, mantenidas reforzadas) 016_Sedes mantenidas</v>
      </c>
      <c r="Z447" s="131" t="str">
        <f t="shared" si="27"/>
        <v>O23011745992024020708016</v>
      </c>
      <c r="AA447" s="131" t="str">
        <f>IFERROR(VLOOKUP(Y447,TD!$K$46:$L$64,2,0)," ")</f>
        <v>PM/0131/0108/45990160207</v>
      </c>
      <c r="AB447" s="57" t="s">
        <v>139</v>
      </c>
      <c r="AC447" s="132" t="s">
        <v>205</v>
      </c>
    </row>
    <row r="448" spans="2:29" s="28" customFormat="1" ht="57">
      <c r="B448" s="85">
        <v>20241201</v>
      </c>
      <c r="C448" s="53" t="s">
        <v>209</v>
      </c>
      <c r="D448" s="129" t="s">
        <v>162</v>
      </c>
      <c r="E448" s="54" t="s">
        <v>364</v>
      </c>
      <c r="F448" s="129" t="s">
        <v>771</v>
      </c>
      <c r="G448" s="129" t="s">
        <v>156</v>
      </c>
      <c r="H448" s="117">
        <v>80111600</v>
      </c>
      <c r="I448" s="130">
        <v>8</v>
      </c>
      <c r="J448" s="130">
        <v>5</v>
      </c>
      <c r="K448" s="56">
        <v>0</v>
      </c>
      <c r="L448" s="57">
        <v>46379200</v>
      </c>
      <c r="M448" s="129" t="s">
        <v>173</v>
      </c>
      <c r="N448" s="57" t="s">
        <v>114</v>
      </c>
      <c r="O448" s="54" t="s">
        <v>221</v>
      </c>
      <c r="P448" s="131" t="str">
        <f>IFERROR(VLOOKUP(C448,TD!$B$32:$F$36,2,0)," ")</f>
        <v>O230117</v>
      </c>
      <c r="Q448" s="131" t="str">
        <f>IFERROR(VLOOKUP(C448,TD!$B$32:$F$36,3,0)," ")</f>
        <v>4599</v>
      </c>
      <c r="R448" s="131">
        <f>IFERROR(VLOOKUP(C448,TD!$B$32:$F$36,4,0)," ")</f>
        <v>20240207</v>
      </c>
      <c r="S448" s="54" t="s">
        <v>194</v>
      </c>
      <c r="T448" s="131" t="str">
        <f>IFERROR(VLOOKUP(S448,TD!$J$33:$K$43,2,0)," ")</f>
        <v>Servicios para la planeación y sistemas de gestión y comunicación estratégica</v>
      </c>
      <c r="U448" s="54" t="str">
        <f t="shared" si="24"/>
        <v>13-Servicios para la planeación y sistemas de gestión y comunicación estratégica</v>
      </c>
      <c r="V448" s="54" t="s">
        <v>243</v>
      </c>
      <c r="W448" s="131" t="str">
        <f>IFERROR(VLOOKUP(V448,TD!$N$33:$O$45,2,0)," ")</f>
        <v>Documentos de planeación</v>
      </c>
      <c r="X448" s="54" t="str">
        <f t="shared" si="25"/>
        <v>019_Documentos de planeación</v>
      </c>
      <c r="Y448" s="54" t="str">
        <f t="shared" si="26"/>
        <v>13-Servicios para la planeación y sistemas de gestión y comunicación estratégica 019_Documentos de planeación</v>
      </c>
      <c r="Z448" s="131" t="str">
        <f t="shared" si="27"/>
        <v>O23011745992024020713019</v>
      </c>
      <c r="AA448" s="131" t="str">
        <f>IFERROR(VLOOKUP(Y448,TD!$K$46:$L$64,2,0)," ")</f>
        <v>PM/0131/0113/45990190207</v>
      </c>
      <c r="AB448" s="57" t="s">
        <v>139</v>
      </c>
      <c r="AC448" s="132" t="s">
        <v>205</v>
      </c>
    </row>
    <row r="449" spans="2:29" s="28" customFormat="1" ht="57">
      <c r="B449" s="85">
        <v>20241202</v>
      </c>
      <c r="C449" s="53" t="s">
        <v>209</v>
      </c>
      <c r="D449" s="129" t="s">
        <v>162</v>
      </c>
      <c r="E449" s="54" t="s">
        <v>364</v>
      </c>
      <c r="F449" s="129" t="s">
        <v>772</v>
      </c>
      <c r="G449" s="129" t="s">
        <v>156</v>
      </c>
      <c r="H449" s="117">
        <v>80111600</v>
      </c>
      <c r="I449" s="130">
        <v>8</v>
      </c>
      <c r="J449" s="130">
        <v>5</v>
      </c>
      <c r="K449" s="56">
        <v>0</v>
      </c>
      <c r="L449" s="57">
        <v>30000000</v>
      </c>
      <c r="M449" s="129" t="s">
        <v>173</v>
      </c>
      <c r="N449" s="57" t="s">
        <v>114</v>
      </c>
      <c r="O449" s="54" t="s">
        <v>221</v>
      </c>
      <c r="P449" s="131" t="str">
        <f>IFERROR(VLOOKUP(C449,TD!$B$32:$F$36,2,0)," ")</f>
        <v>O230117</v>
      </c>
      <c r="Q449" s="131" t="str">
        <f>IFERROR(VLOOKUP(C449,TD!$B$32:$F$36,3,0)," ")</f>
        <v>4599</v>
      </c>
      <c r="R449" s="131">
        <f>IFERROR(VLOOKUP(C449,TD!$B$32:$F$36,4,0)," ")</f>
        <v>20240207</v>
      </c>
      <c r="S449" s="54" t="s">
        <v>194</v>
      </c>
      <c r="T449" s="131" t="str">
        <f>IFERROR(VLOOKUP(S449,TD!$J$33:$K$43,2,0)," ")</f>
        <v>Servicios para la planeación y sistemas de gestión y comunicación estratégica</v>
      </c>
      <c r="U449" s="54" t="str">
        <f t="shared" si="24"/>
        <v>13-Servicios para la planeación y sistemas de gestión y comunicación estratégica</v>
      </c>
      <c r="V449" s="54" t="s">
        <v>243</v>
      </c>
      <c r="W449" s="131" t="str">
        <f>IFERROR(VLOOKUP(V449,TD!$N$33:$O$45,2,0)," ")</f>
        <v>Documentos de planeación</v>
      </c>
      <c r="X449" s="54" t="str">
        <f t="shared" si="25"/>
        <v>019_Documentos de planeación</v>
      </c>
      <c r="Y449" s="54" t="str">
        <f t="shared" si="26"/>
        <v>13-Servicios para la planeación y sistemas de gestión y comunicación estratégica 019_Documentos de planeación</v>
      </c>
      <c r="Z449" s="131" t="str">
        <f t="shared" si="27"/>
        <v>O23011745992024020713019</v>
      </c>
      <c r="AA449" s="131" t="str">
        <f>IFERROR(VLOOKUP(Y449,TD!$K$46:$L$64,2,0)," ")</f>
        <v>PM/0131/0113/45990190207</v>
      </c>
      <c r="AB449" s="57" t="s">
        <v>139</v>
      </c>
      <c r="AC449" s="132" t="s">
        <v>205</v>
      </c>
    </row>
    <row r="450" spans="2:29" s="28" customFormat="1" ht="57">
      <c r="B450" s="85">
        <v>20241203</v>
      </c>
      <c r="C450" s="53" t="s">
        <v>210</v>
      </c>
      <c r="D450" s="129" t="s">
        <v>169</v>
      </c>
      <c r="E450" s="54" t="s">
        <v>423</v>
      </c>
      <c r="F450" s="129" t="s">
        <v>775</v>
      </c>
      <c r="G450" s="129" t="s">
        <v>156</v>
      </c>
      <c r="H450" s="117">
        <v>80111600</v>
      </c>
      <c r="I450" s="130">
        <v>8</v>
      </c>
      <c r="J450" s="130">
        <v>5</v>
      </c>
      <c r="K450" s="56">
        <v>0</v>
      </c>
      <c r="L450" s="57">
        <f>32500000-6500000</f>
        <v>26000000</v>
      </c>
      <c r="M450" s="129" t="s">
        <v>173</v>
      </c>
      <c r="N450" s="57" t="s">
        <v>114</v>
      </c>
      <c r="O450" s="54" t="s">
        <v>225</v>
      </c>
      <c r="P450" s="131" t="str">
        <f>IFERROR(VLOOKUP(C450,TD!$B$32:$F$36,2,0)," ")</f>
        <v>O230117</v>
      </c>
      <c r="Q450" s="131" t="str">
        <f>IFERROR(VLOOKUP(C450,TD!$B$32:$F$36,3,0)," ")</f>
        <v>4503</v>
      </c>
      <c r="R450" s="131">
        <f>IFERROR(VLOOKUP(C450,TD!$B$32:$F$36,4,0)," ")</f>
        <v>20240255</v>
      </c>
      <c r="S450" s="54" t="s">
        <v>192</v>
      </c>
      <c r="T450" s="131" t="str">
        <f>IFERROR(VLOOKUP(S450,TD!$J$33:$K$43,2,0)," ")</f>
        <v>Servicio de apoyo   logístico  en eventos operativos y/o emergencias.</v>
      </c>
      <c r="U450" s="54" t="str">
        <f t="shared" si="24"/>
        <v>12-Servicio de apoyo   logístico  en eventos operativos y/o emergencias.</v>
      </c>
      <c r="V450" s="54" t="s">
        <v>233</v>
      </c>
      <c r="W450" s="131" t="str">
        <f>IFERROR(VLOOKUP(V450,TD!$N$33:$O$45,2,0)," ")</f>
        <v>Servicio de atención a emergencias y desastres</v>
      </c>
      <c r="X450" s="54" t="str">
        <f t="shared" si="25"/>
        <v>004_Servicio de atención a emergencias y desastres</v>
      </c>
      <c r="Y450" s="54" t="str">
        <f t="shared" si="26"/>
        <v>12-Servicio de apoyo   logístico  en eventos operativos y/o emergencias. 004_Servicio de atención a emergencias y desastres</v>
      </c>
      <c r="Z450" s="131" t="str">
        <f t="shared" si="27"/>
        <v>O23011745032024025512004</v>
      </c>
      <c r="AA450" s="131" t="str">
        <f>IFERROR(VLOOKUP(Y450,TD!$K$46:$L$64,2,0)," ")</f>
        <v>PM/0131/0112/45030040255</v>
      </c>
      <c r="AB450" s="57" t="s">
        <v>139</v>
      </c>
      <c r="AC450" s="132" t="s">
        <v>205</v>
      </c>
    </row>
    <row r="451" spans="2:29" s="28" customFormat="1" ht="57">
      <c r="B451" s="85">
        <v>20241204</v>
      </c>
      <c r="C451" s="53" t="s">
        <v>210</v>
      </c>
      <c r="D451" s="129" t="s">
        <v>166</v>
      </c>
      <c r="E451" s="54" t="s">
        <v>856</v>
      </c>
      <c r="F451" s="129" t="s">
        <v>776</v>
      </c>
      <c r="G451" s="129" t="s">
        <v>156</v>
      </c>
      <c r="H451" s="117">
        <v>80111600</v>
      </c>
      <c r="I451" s="130">
        <v>8</v>
      </c>
      <c r="J451" s="130">
        <v>5</v>
      </c>
      <c r="K451" s="56">
        <v>0</v>
      </c>
      <c r="L451" s="57">
        <v>32500000</v>
      </c>
      <c r="M451" s="129" t="s">
        <v>173</v>
      </c>
      <c r="N451" s="57" t="s">
        <v>114</v>
      </c>
      <c r="O451" s="54" t="s">
        <v>230</v>
      </c>
      <c r="P451" s="131" t="str">
        <f>IFERROR(VLOOKUP(C451,TD!$B$32:$F$36,2,0)," ")</f>
        <v>O230117</v>
      </c>
      <c r="Q451" s="131" t="str">
        <f>IFERROR(VLOOKUP(C451,TD!$B$32:$F$36,3,0)," ")</f>
        <v>4503</v>
      </c>
      <c r="R451" s="131">
        <f>IFERROR(VLOOKUP(C451,TD!$B$32:$F$36,4,0)," ")</f>
        <v>20240255</v>
      </c>
      <c r="S451" s="54" t="s">
        <v>184</v>
      </c>
      <c r="T451" s="131" t="str">
        <f>IFERROR(VLOOKUP(S451,TD!$J$33:$K$43,2,0)," ")</f>
        <v>Servicio de formación en gestión del riesgo de incendios para el personal UAECOB</v>
      </c>
      <c r="U451" s="54" t="str">
        <f t="shared" si="24"/>
        <v>07-Servicio de formación en gestión del riesgo de incendios para el personal UAECOB</v>
      </c>
      <c r="V451" s="54" t="s">
        <v>234</v>
      </c>
      <c r="W451" s="131" t="str">
        <f>IFERROR(VLOOKUP(V451,TD!$N$33:$O$45,2,0)," ")</f>
        <v>Servicio de educación informal</v>
      </c>
      <c r="X451" s="54" t="str">
        <f t="shared" si="25"/>
        <v>002_Servicio de educación informal</v>
      </c>
      <c r="Y451" s="54" t="str">
        <f t="shared" si="26"/>
        <v>07-Servicio de formación en gestión del riesgo de incendios para el personal UAECOB 002_Servicio de educación informal</v>
      </c>
      <c r="Z451" s="131" t="str">
        <f t="shared" si="27"/>
        <v>O23011745032024025507002</v>
      </c>
      <c r="AA451" s="131" t="str">
        <f>IFERROR(VLOOKUP(Y451,TD!$K$46:$L$64,2,0)," ")</f>
        <v>PM/0131/0107/45030020255</v>
      </c>
      <c r="AB451" s="57" t="s">
        <v>139</v>
      </c>
      <c r="AC451" s="132" t="s">
        <v>205</v>
      </c>
    </row>
    <row r="452" spans="2:29" s="28" customFormat="1" ht="71.25">
      <c r="B452" s="85">
        <v>20241205</v>
      </c>
      <c r="C452" s="53" t="s">
        <v>210</v>
      </c>
      <c r="D452" s="129" t="s">
        <v>167</v>
      </c>
      <c r="E452" s="54" t="s">
        <v>568</v>
      </c>
      <c r="F452" s="129" t="s">
        <v>777</v>
      </c>
      <c r="G452" s="129" t="s">
        <v>156</v>
      </c>
      <c r="H452" s="117">
        <v>80111600</v>
      </c>
      <c r="I452" s="130">
        <v>8</v>
      </c>
      <c r="J452" s="130">
        <v>5</v>
      </c>
      <c r="K452" s="56">
        <v>0</v>
      </c>
      <c r="L452" s="57">
        <v>32500000</v>
      </c>
      <c r="M452" s="129" t="s">
        <v>173</v>
      </c>
      <c r="N452" s="57" t="s">
        <v>114</v>
      </c>
      <c r="O452" s="54" t="s">
        <v>231</v>
      </c>
      <c r="P452" s="131" t="str">
        <f>IFERROR(VLOOKUP(C452,TD!$B$32:$F$36,2,0)," ")</f>
        <v>O230117</v>
      </c>
      <c r="Q452" s="131" t="str">
        <f>IFERROR(VLOOKUP(C452,TD!$B$32:$F$36,3,0)," ")</f>
        <v>4503</v>
      </c>
      <c r="R452" s="131">
        <f>IFERROR(VLOOKUP(C452,TD!$B$32:$F$36,4,0)," ")</f>
        <v>20240255</v>
      </c>
      <c r="S452" s="54" t="s">
        <v>186</v>
      </c>
      <c r="T452" s="131" t="str">
        <f>IFERROR(VLOOKUP(S452,TD!$J$33:$K$43,2,0)," ")</f>
        <v>Infraestructura física, mantenimiento y dotación (Sedes construidas, mantenidas reforzadas)</v>
      </c>
      <c r="U452" s="54" t="str">
        <f t="shared" si="24"/>
        <v>08-Infraestructura física, mantenimiento y dotación (Sedes construidas, mantenidas reforzadas)</v>
      </c>
      <c r="V452" s="54" t="s">
        <v>295</v>
      </c>
      <c r="W452" s="131" t="str">
        <f>IFERROR(VLOOKUP(V452,TD!$N$33:$O$45,2,0)," ")</f>
        <v>Documentos de lineamientos técnicos</v>
      </c>
      <c r="X452" s="54" t="str">
        <f t="shared" si="25"/>
        <v>031__Documentos de lineamientos técnicos</v>
      </c>
      <c r="Y452" s="54" t="str">
        <f t="shared" si="26"/>
        <v>08-Infraestructura física, mantenimiento y dotación (Sedes construidas, mantenidas reforzadas) 031__Documentos de lineamientos técnicos</v>
      </c>
      <c r="Z452" s="131" t="str">
        <f t="shared" si="27"/>
        <v>O23011745032024025508031_</v>
      </c>
      <c r="AA452" s="131" t="str">
        <f>IFERROR(VLOOKUP(Y452,TD!$K$46:$L$64,2,0)," ")</f>
        <v>PM/0131/0108/45030310255</v>
      </c>
      <c r="AB452" s="57" t="s">
        <v>139</v>
      </c>
      <c r="AC452" s="132" t="s">
        <v>205</v>
      </c>
    </row>
    <row r="453" spans="2:29" s="28" customFormat="1" ht="71.25">
      <c r="B453" s="85">
        <v>20241206</v>
      </c>
      <c r="C453" s="53" t="s">
        <v>210</v>
      </c>
      <c r="D453" s="129" t="s">
        <v>167</v>
      </c>
      <c r="E453" s="54" t="s">
        <v>568</v>
      </c>
      <c r="F453" s="129" t="s">
        <v>778</v>
      </c>
      <c r="G453" s="129" t="s">
        <v>156</v>
      </c>
      <c r="H453" s="117">
        <v>80111600</v>
      </c>
      <c r="I453" s="130">
        <v>8</v>
      </c>
      <c r="J453" s="130">
        <v>5</v>
      </c>
      <c r="K453" s="56">
        <v>0</v>
      </c>
      <c r="L453" s="57">
        <v>32500000</v>
      </c>
      <c r="M453" s="129" t="s">
        <v>173</v>
      </c>
      <c r="N453" s="57" t="s">
        <v>114</v>
      </c>
      <c r="O453" s="54" t="s">
        <v>228</v>
      </c>
      <c r="P453" s="131" t="str">
        <f>IFERROR(VLOOKUP(C453,TD!$B$32:$F$36,2,0)," ")</f>
        <v>O230117</v>
      </c>
      <c r="Q453" s="131" t="str">
        <f>IFERROR(VLOOKUP(C453,TD!$B$32:$F$36,3,0)," ")</f>
        <v>4503</v>
      </c>
      <c r="R453" s="131">
        <f>IFERROR(VLOOKUP(C453,TD!$B$32:$F$36,4,0)," ")</f>
        <v>20240255</v>
      </c>
      <c r="S453" s="54" t="s">
        <v>186</v>
      </c>
      <c r="T453" s="131" t="str">
        <f>IFERROR(VLOOKUP(S453,TD!$J$33:$K$43,2,0)," ")</f>
        <v>Infraestructura física, mantenimiento y dotación (Sedes construidas, mantenidas reforzadas)</v>
      </c>
      <c r="U453" s="54" t="str">
        <f t="shared" si="24"/>
        <v>08-Infraestructura física, mantenimiento y dotación (Sedes construidas, mantenidas reforzadas)</v>
      </c>
      <c r="V453" s="54" t="s">
        <v>237</v>
      </c>
      <c r="W453" s="131" t="str">
        <f>IFERROR(VLOOKUP(V453,TD!$N$33:$O$45,2,0)," ")</f>
        <v>Estaciones de bomberos adecuadas</v>
      </c>
      <c r="X453" s="54" t="str">
        <f t="shared" si="25"/>
        <v>014_Estaciones de bomberos adecuadas</v>
      </c>
      <c r="Y453" s="54" t="str">
        <f t="shared" si="26"/>
        <v>08-Infraestructura física, mantenimiento y dotación (Sedes construidas, mantenidas reforzadas) 014_Estaciones de bomberos adecuadas</v>
      </c>
      <c r="Z453" s="131" t="str">
        <f t="shared" si="27"/>
        <v>O23011745032024025508014</v>
      </c>
      <c r="AA453" s="131" t="str">
        <f>IFERROR(VLOOKUP(Y453,TD!$K$46:$L$64,2,0)," ")</f>
        <v>PM/0131/0108/45030140255</v>
      </c>
      <c r="AB453" s="57" t="s">
        <v>139</v>
      </c>
      <c r="AC453" s="132" t="s">
        <v>205</v>
      </c>
    </row>
    <row r="454" spans="2:29" s="28" customFormat="1" ht="71.25">
      <c r="B454" s="85">
        <v>20241207</v>
      </c>
      <c r="C454" s="53" t="s">
        <v>210</v>
      </c>
      <c r="D454" s="129" t="s">
        <v>167</v>
      </c>
      <c r="E454" s="54" t="s">
        <v>568</v>
      </c>
      <c r="F454" s="129" t="s">
        <v>779</v>
      </c>
      <c r="G454" s="129" t="s">
        <v>156</v>
      </c>
      <c r="H454" s="117">
        <v>80111600</v>
      </c>
      <c r="I454" s="130">
        <v>8</v>
      </c>
      <c r="J454" s="130">
        <v>5</v>
      </c>
      <c r="K454" s="56">
        <v>0</v>
      </c>
      <c r="L454" s="57">
        <v>27500000</v>
      </c>
      <c r="M454" s="129" t="s">
        <v>173</v>
      </c>
      <c r="N454" s="57" t="s">
        <v>114</v>
      </c>
      <c r="O454" s="54" t="s">
        <v>228</v>
      </c>
      <c r="P454" s="131" t="str">
        <f>IFERROR(VLOOKUP(C454,TD!$B$32:$F$36,2,0)," ")</f>
        <v>O230117</v>
      </c>
      <c r="Q454" s="131" t="str">
        <f>IFERROR(VLOOKUP(C454,TD!$B$32:$F$36,3,0)," ")</f>
        <v>4503</v>
      </c>
      <c r="R454" s="131">
        <f>IFERROR(VLOOKUP(C454,TD!$B$32:$F$36,4,0)," ")</f>
        <v>20240255</v>
      </c>
      <c r="S454" s="54" t="s">
        <v>186</v>
      </c>
      <c r="T454" s="131" t="str">
        <f>IFERROR(VLOOKUP(S454,TD!$J$33:$K$43,2,0)," ")</f>
        <v>Infraestructura física, mantenimiento y dotación (Sedes construidas, mantenidas reforzadas)</v>
      </c>
      <c r="U454" s="54" t="str">
        <f t="shared" si="24"/>
        <v>08-Infraestructura física, mantenimiento y dotación (Sedes construidas, mantenidas reforzadas)</v>
      </c>
      <c r="V454" s="54" t="s">
        <v>237</v>
      </c>
      <c r="W454" s="131" t="str">
        <f>IFERROR(VLOOKUP(V454,TD!$N$33:$O$45,2,0)," ")</f>
        <v>Estaciones de bomberos adecuadas</v>
      </c>
      <c r="X454" s="54" t="str">
        <f t="shared" si="25"/>
        <v>014_Estaciones de bomberos adecuadas</v>
      </c>
      <c r="Y454" s="54" t="str">
        <f t="shared" si="26"/>
        <v>08-Infraestructura física, mantenimiento y dotación (Sedes construidas, mantenidas reforzadas) 014_Estaciones de bomberos adecuadas</v>
      </c>
      <c r="Z454" s="131" t="str">
        <f t="shared" si="27"/>
        <v>O23011745032024025508014</v>
      </c>
      <c r="AA454" s="131" t="str">
        <f>IFERROR(VLOOKUP(Y454,TD!$K$46:$L$64,2,0)," ")</f>
        <v>PM/0131/0108/45030140255</v>
      </c>
      <c r="AB454" s="57" t="s">
        <v>139</v>
      </c>
      <c r="AC454" s="132" t="s">
        <v>205</v>
      </c>
    </row>
    <row r="455" spans="2:29" s="28" customFormat="1" ht="71.25">
      <c r="B455" s="85">
        <v>20241208</v>
      </c>
      <c r="C455" s="53" t="s">
        <v>209</v>
      </c>
      <c r="D455" s="129" t="s">
        <v>163</v>
      </c>
      <c r="E455" s="54" t="s">
        <v>364</v>
      </c>
      <c r="F455" s="129" t="s">
        <v>780</v>
      </c>
      <c r="G455" s="129" t="s">
        <v>156</v>
      </c>
      <c r="H455" s="117">
        <v>80111600</v>
      </c>
      <c r="I455" s="130">
        <v>8</v>
      </c>
      <c r="J455" s="130">
        <v>1</v>
      </c>
      <c r="K455" s="56">
        <v>0</v>
      </c>
      <c r="L455" s="57">
        <v>12466667</v>
      </c>
      <c r="M455" s="129" t="s">
        <v>173</v>
      </c>
      <c r="N455" s="57" t="s">
        <v>114</v>
      </c>
      <c r="O455" s="54" t="s">
        <v>216</v>
      </c>
      <c r="P455" s="131" t="str">
        <f>IFERROR(VLOOKUP(C455,TD!$B$32:$F$36,2,0)," ")</f>
        <v>O230117</v>
      </c>
      <c r="Q455" s="131" t="str">
        <f>IFERROR(VLOOKUP(C455,TD!$B$32:$F$36,3,0)," ")</f>
        <v>4599</v>
      </c>
      <c r="R455" s="131">
        <f>IFERROR(VLOOKUP(C455,TD!$B$32:$F$36,4,0)," ")</f>
        <v>20240207</v>
      </c>
      <c r="S455" s="54" t="s">
        <v>180</v>
      </c>
      <c r="T455" s="131" t="str">
        <f>IFERROR(VLOOKUP(S455,TD!$J$33:$K$43,2,0)," ")</f>
        <v>Infraestructura Tecnológica   (Sistemas de Información y Tecnologia)</v>
      </c>
      <c r="U455" s="54" t="str">
        <f t="shared" si="24"/>
        <v>11-Infraestructura Tecnológica   (Sistemas de Información y Tecnologia)</v>
      </c>
      <c r="V455" s="54" t="s">
        <v>240</v>
      </c>
      <c r="W455" s="131" t="str">
        <f>IFERROR(VLOOKUP(V455,TD!$N$33:$O$45,2,0)," ")</f>
        <v>Servicios tecnológicos</v>
      </c>
      <c r="X455" s="54" t="str">
        <f t="shared" si="25"/>
        <v>007_Servicios tecnológicos</v>
      </c>
      <c r="Y455" s="54" t="str">
        <f t="shared" si="26"/>
        <v>11-Infraestructura Tecnológica   (Sistemas de Información y Tecnologia) 007_Servicios tecnológicos</v>
      </c>
      <c r="Z455" s="131" t="str">
        <f t="shared" si="27"/>
        <v>O23011745992024020711007</v>
      </c>
      <c r="AA455" s="131" t="str">
        <f>IFERROR(VLOOKUP(Y455,TD!$K$46:$L$64,2,0)," ")</f>
        <v>PM/0131/0111/45990070207</v>
      </c>
      <c r="AB455" s="57" t="s">
        <v>139</v>
      </c>
      <c r="AC455" s="132" t="s">
        <v>206</v>
      </c>
    </row>
    <row r="456" spans="2:29" s="28" customFormat="1" ht="57">
      <c r="B456" s="85">
        <v>20241209</v>
      </c>
      <c r="C456" s="53" t="s">
        <v>209</v>
      </c>
      <c r="D456" s="129" t="s">
        <v>163</v>
      </c>
      <c r="E456" s="54" t="s">
        <v>364</v>
      </c>
      <c r="F456" s="129" t="s">
        <v>781</v>
      </c>
      <c r="G456" s="129" t="s">
        <v>156</v>
      </c>
      <c r="H456" s="117">
        <v>80111600</v>
      </c>
      <c r="I456" s="130">
        <v>8</v>
      </c>
      <c r="J456" s="130">
        <v>1</v>
      </c>
      <c r="K456" s="56">
        <v>0</v>
      </c>
      <c r="L456" s="57">
        <v>300000</v>
      </c>
      <c r="M456" s="129" t="s">
        <v>173</v>
      </c>
      <c r="N456" s="57" t="s">
        <v>114</v>
      </c>
      <c r="O456" s="54" t="s">
        <v>216</v>
      </c>
      <c r="P456" s="131" t="str">
        <f>IFERROR(VLOOKUP(C456,TD!$B$32:$F$36,2,0)," ")</f>
        <v>O230117</v>
      </c>
      <c r="Q456" s="131" t="str">
        <f>IFERROR(VLOOKUP(C456,TD!$B$32:$F$36,3,0)," ")</f>
        <v>4599</v>
      </c>
      <c r="R456" s="131">
        <f>IFERROR(VLOOKUP(C456,TD!$B$32:$F$36,4,0)," ")</f>
        <v>20240207</v>
      </c>
      <c r="S456" s="54" t="s">
        <v>180</v>
      </c>
      <c r="T456" s="131" t="str">
        <f>IFERROR(VLOOKUP(S456,TD!$J$33:$K$43,2,0)," ")</f>
        <v>Infraestructura Tecnológica   (Sistemas de Información y Tecnologia)</v>
      </c>
      <c r="U456" s="54" t="str">
        <f t="shared" si="24"/>
        <v>11-Infraestructura Tecnológica   (Sistemas de Información y Tecnologia)</v>
      </c>
      <c r="V456" s="54" t="s">
        <v>240</v>
      </c>
      <c r="W456" s="131" t="str">
        <f>IFERROR(VLOOKUP(V456,TD!$N$33:$O$45,2,0)," ")</f>
        <v>Servicios tecnológicos</v>
      </c>
      <c r="X456" s="54" t="str">
        <f t="shared" si="25"/>
        <v>007_Servicios tecnológicos</v>
      </c>
      <c r="Y456" s="54" t="str">
        <f t="shared" si="26"/>
        <v>11-Infraestructura Tecnológica   (Sistemas de Información y Tecnologia) 007_Servicios tecnológicos</v>
      </c>
      <c r="Z456" s="131" t="str">
        <f t="shared" si="27"/>
        <v>O23011745992024020711007</v>
      </c>
      <c r="AA456" s="131" t="str">
        <f>IFERROR(VLOOKUP(Y456,TD!$K$46:$L$64,2,0)," ")</f>
        <v>PM/0131/0111/45990070207</v>
      </c>
      <c r="AB456" s="57" t="s">
        <v>139</v>
      </c>
      <c r="AC456" s="132" t="s">
        <v>206</v>
      </c>
    </row>
    <row r="457" spans="2:29" s="28" customFormat="1" ht="42.75">
      <c r="B457" s="85">
        <v>20241210</v>
      </c>
      <c r="C457" s="53" t="s">
        <v>209</v>
      </c>
      <c r="D457" s="129" t="s">
        <v>163</v>
      </c>
      <c r="E457" s="54" t="s">
        <v>364</v>
      </c>
      <c r="F457" s="129" t="s">
        <v>774</v>
      </c>
      <c r="G457" s="129" t="s">
        <v>87</v>
      </c>
      <c r="H457" s="117">
        <v>40101701</v>
      </c>
      <c r="I457" s="130">
        <v>8</v>
      </c>
      <c r="J457" s="130">
        <v>1</v>
      </c>
      <c r="K457" s="56">
        <v>0</v>
      </c>
      <c r="L457" s="57">
        <v>6000000</v>
      </c>
      <c r="M457" s="129" t="s">
        <v>173</v>
      </c>
      <c r="N457" s="57" t="s">
        <v>124</v>
      </c>
      <c r="O457" s="54" t="s">
        <v>216</v>
      </c>
      <c r="P457" s="131" t="str">
        <f>IFERROR(VLOOKUP(C457,TD!$B$32:$F$36,2,0)," ")</f>
        <v>O230117</v>
      </c>
      <c r="Q457" s="131" t="str">
        <f>IFERROR(VLOOKUP(C457,TD!$B$32:$F$36,3,0)," ")</f>
        <v>4599</v>
      </c>
      <c r="R457" s="131">
        <f>IFERROR(VLOOKUP(C457,TD!$B$32:$F$36,4,0)," ")</f>
        <v>20240207</v>
      </c>
      <c r="S457" s="54" t="s">
        <v>180</v>
      </c>
      <c r="T457" s="131" t="str">
        <f>IFERROR(VLOOKUP(S457,TD!$J$33:$K$43,2,0)," ")</f>
        <v>Infraestructura Tecnológica   (Sistemas de Información y Tecnologia)</v>
      </c>
      <c r="U457" s="54" t="str">
        <f t="shared" si="24"/>
        <v>11-Infraestructura Tecnológica   (Sistemas de Información y Tecnologia)</v>
      </c>
      <c r="V457" s="54" t="s">
        <v>240</v>
      </c>
      <c r="W457" s="131" t="str">
        <f>IFERROR(VLOOKUP(V457,TD!$N$33:$O$45,2,0)," ")</f>
        <v>Servicios tecnológicos</v>
      </c>
      <c r="X457" s="54" t="str">
        <f t="shared" si="25"/>
        <v>007_Servicios tecnológicos</v>
      </c>
      <c r="Y457" s="54" t="str">
        <f t="shared" si="26"/>
        <v>11-Infraestructura Tecnológica   (Sistemas de Información y Tecnologia) 007_Servicios tecnológicos</v>
      </c>
      <c r="Z457" s="131" t="str">
        <f t="shared" si="27"/>
        <v>O23011745992024020711007</v>
      </c>
      <c r="AA457" s="131" t="str">
        <f>IFERROR(VLOOKUP(Y457,TD!$K$46:$L$64,2,0)," ")</f>
        <v>PM/0131/0111/45990070207</v>
      </c>
      <c r="AB457" s="57" t="s">
        <v>139</v>
      </c>
      <c r="AC457" s="132" t="s">
        <v>205</v>
      </c>
    </row>
    <row r="458" spans="2:29" s="28" customFormat="1" ht="57">
      <c r="B458" s="85">
        <v>20241211</v>
      </c>
      <c r="C458" s="53" t="s">
        <v>209</v>
      </c>
      <c r="D458" s="129" t="s">
        <v>163</v>
      </c>
      <c r="E458" s="54" t="s">
        <v>364</v>
      </c>
      <c r="F458" s="129" t="s">
        <v>783</v>
      </c>
      <c r="G458" s="129" t="s">
        <v>156</v>
      </c>
      <c r="H458" s="117">
        <v>80111600</v>
      </c>
      <c r="I458" s="130">
        <v>9</v>
      </c>
      <c r="J458" s="130">
        <v>5</v>
      </c>
      <c r="K458" s="56">
        <v>0</v>
      </c>
      <c r="L458" s="57">
        <f>30000000-2000000</f>
        <v>28000000</v>
      </c>
      <c r="M458" s="129" t="s">
        <v>173</v>
      </c>
      <c r="N458" s="57" t="s">
        <v>114</v>
      </c>
      <c r="O458" s="54" t="s">
        <v>216</v>
      </c>
      <c r="P458" s="131" t="str">
        <f>IFERROR(VLOOKUP(C458,TD!$B$32:$F$36,2,0)," ")</f>
        <v>O230117</v>
      </c>
      <c r="Q458" s="131" t="str">
        <f>IFERROR(VLOOKUP(C458,TD!$B$32:$F$36,3,0)," ")</f>
        <v>4599</v>
      </c>
      <c r="R458" s="131">
        <f>IFERROR(VLOOKUP(C458,TD!$B$32:$F$36,4,0)," ")</f>
        <v>20240207</v>
      </c>
      <c r="S458" s="54" t="s">
        <v>180</v>
      </c>
      <c r="T458" s="131" t="str">
        <f>IFERROR(VLOOKUP(S458,TD!$J$33:$K$43,2,0)," ")</f>
        <v>Infraestructura Tecnológica   (Sistemas de Información y Tecnologia)</v>
      </c>
      <c r="U458" s="54" t="str">
        <f t="shared" si="24"/>
        <v>11-Infraestructura Tecnológica   (Sistemas de Información y Tecnologia)</v>
      </c>
      <c r="V458" s="54" t="s">
        <v>240</v>
      </c>
      <c r="W458" s="131" t="str">
        <f>IFERROR(VLOOKUP(V458,TD!$N$33:$O$45,2,0)," ")</f>
        <v>Servicios tecnológicos</v>
      </c>
      <c r="X458" s="54" t="str">
        <f t="shared" si="25"/>
        <v>007_Servicios tecnológicos</v>
      </c>
      <c r="Y458" s="54" t="str">
        <f t="shared" si="26"/>
        <v>11-Infraestructura Tecnológica   (Sistemas de Información y Tecnologia) 007_Servicios tecnológicos</v>
      </c>
      <c r="Z458" s="131" t="str">
        <f t="shared" si="27"/>
        <v>O23011745992024020711007</v>
      </c>
      <c r="AA458" s="131" t="str">
        <f>IFERROR(VLOOKUP(Y458,TD!$K$46:$L$64,2,0)," ")</f>
        <v>PM/0131/0111/45990070207</v>
      </c>
      <c r="AB458" s="57" t="s">
        <v>139</v>
      </c>
      <c r="AC458" s="132" t="s">
        <v>205</v>
      </c>
    </row>
    <row r="459" spans="2:29" s="28" customFormat="1" ht="57">
      <c r="B459" s="85">
        <v>20241212</v>
      </c>
      <c r="C459" s="53" t="s">
        <v>209</v>
      </c>
      <c r="D459" s="129" t="s">
        <v>163</v>
      </c>
      <c r="E459" s="54" t="s">
        <v>364</v>
      </c>
      <c r="F459" s="129" t="s">
        <v>782</v>
      </c>
      <c r="G459" s="129" t="s">
        <v>155</v>
      </c>
      <c r="H459" s="117">
        <v>40101701</v>
      </c>
      <c r="I459" s="130">
        <v>8</v>
      </c>
      <c r="J459" s="130">
        <v>1</v>
      </c>
      <c r="K459" s="56">
        <v>0</v>
      </c>
      <c r="L459" s="57">
        <v>5250000</v>
      </c>
      <c r="M459" s="129" t="s">
        <v>173</v>
      </c>
      <c r="N459" s="57" t="s">
        <v>101</v>
      </c>
      <c r="O459" s="54" t="s">
        <v>216</v>
      </c>
      <c r="P459" s="131" t="str">
        <f>IFERROR(VLOOKUP(C459,TD!$B$32:$F$36,2,0)," ")</f>
        <v>O230117</v>
      </c>
      <c r="Q459" s="131" t="str">
        <f>IFERROR(VLOOKUP(C459,TD!$B$32:$F$36,3,0)," ")</f>
        <v>4599</v>
      </c>
      <c r="R459" s="131">
        <f>IFERROR(VLOOKUP(C459,TD!$B$32:$F$36,4,0)," ")</f>
        <v>20240207</v>
      </c>
      <c r="S459" s="54" t="s">
        <v>180</v>
      </c>
      <c r="T459" s="131" t="str">
        <f>IFERROR(VLOOKUP(S459,TD!$J$33:$K$43,2,0)," ")</f>
        <v>Infraestructura Tecnológica   (Sistemas de Información y Tecnologia)</v>
      </c>
      <c r="U459" s="54" t="str">
        <f t="shared" ref="U459:U522" si="28">CONCATENATE(S459,"-",T459)</f>
        <v>11-Infraestructura Tecnológica   (Sistemas de Información y Tecnologia)</v>
      </c>
      <c r="V459" s="54" t="s">
        <v>240</v>
      </c>
      <c r="W459" s="131" t="str">
        <f>IFERROR(VLOOKUP(V459,TD!$N$33:$O$45,2,0)," ")</f>
        <v>Servicios tecnológicos</v>
      </c>
      <c r="X459" s="54" t="str">
        <f t="shared" ref="X459:X522" si="29">CONCATENATE(V459,"_",W459)</f>
        <v>007_Servicios tecnológicos</v>
      </c>
      <c r="Y459" s="54" t="str">
        <f t="shared" ref="Y459:Y522" si="30">CONCATENATE(U459," ",X459)</f>
        <v>11-Infraestructura Tecnológica   (Sistemas de Información y Tecnologia) 007_Servicios tecnológicos</v>
      </c>
      <c r="Z459" s="131" t="str">
        <f t="shared" ref="Z459:Z522" si="31">CONCATENATE(P459,Q459,R459,S459,V459)</f>
        <v>O23011745992024020711007</v>
      </c>
      <c r="AA459" s="131" t="str">
        <f>IFERROR(VLOOKUP(Y459,TD!$K$46:$L$64,2,0)," ")</f>
        <v>PM/0131/0111/45990070207</v>
      </c>
      <c r="AB459" s="57" t="s">
        <v>139</v>
      </c>
      <c r="AC459" s="132" t="s">
        <v>205</v>
      </c>
    </row>
    <row r="460" spans="2:29" s="28" customFormat="1" ht="57">
      <c r="B460" s="85">
        <v>20241213</v>
      </c>
      <c r="C460" s="53" t="s">
        <v>210</v>
      </c>
      <c r="D460" s="129" t="s">
        <v>168</v>
      </c>
      <c r="E460" s="54" t="s">
        <v>381</v>
      </c>
      <c r="F460" s="129" t="s">
        <v>787</v>
      </c>
      <c r="G460" s="129" t="s">
        <v>110</v>
      </c>
      <c r="H460" s="117">
        <v>80111600</v>
      </c>
      <c r="I460" s="130">
        <v>8</v>
      </c>
      <c r="J460" s="130">
        <v>6</v>
      </c>
      <c r="K460" s="56">
        <v>0</v>
      </c>
      <c r="L460" s="57">
        <v>24000000</v>
      </c>
      <c r="M460" s="129" t="s">
        <v>173</v>
      </c>
      <c r="N460" s="57" t="s">
        <v>114</v>
      </c>
      <c r="O460" s="54" t="s">
        <v>222</v>
      </c>
      <c r="P460" s="131" t="str">
        <f>IFERROR(VLOOKUP(C460,TD!$B$32:$F$36,2,0)," ")</f>
        <v>O230117</v>
      </c>
      <c r="Q460" s="131" t="str">
        <f>IFERROR(VLOOKUP(C460,TD!$B$32:$F$36,3,0)," ")</f>
        <v>4503</v>
      </c>
      <c r="R460" s="131">
        <f>IFERROR(VLOOKUP(C460,TD!$B$32:$F$36,4,0)," ")</f>
        <v>20240255</v>
      </c>
      <c r="S460" s="54" t="s">
        <v>182</v>
      </c>
      <c r="T460" s="131" t="str">
        <f>IFERROR(VLOOKUP(S460,TD!$J$33:$K$43,2,0)," ")</f>
        <v>Servicio de inspecciones técnicas realizadas</v>
      </c>
      <c r="U460" s="54" t="str">
        <f t="shared" si="28"/>
        <v>06-Servicio de inspecciones técnicas realizadas</v>
      </c>
      <c r="V460" s="54" t="s">
        <v>235</v>
      </c>
      <c r="W460" s="131" t="str">
        <f>IFERROR(VLOOKUP(V460,TD!$N$33:$O$45,2,0)," ")</f>
        <v>Servicio prevención y control de incendios</v>
      </c>
      <c r="X460" s="54" t="str">
        <f t="shared" si="29"/>
        <v>035_Servicio prevención y control de incendios</v>
      </c>
      <c r="Y460" s="54" t="str">
        <f t="shared" si="30"/>
        <v>06-Servicio de inspecciones técnicas realizadas 035_Servicio prevención y control de incendios</v>
      </c>
      <c r="Z460" s="131" t="str">
        <f t="shared" si="31"/>
        <v>O23011745032024025506035</v>
      </c>
      <c r="AA460" s="131" t="str">
        <f>IFERROR(VLOOKUP(Y460,TD!$K$46:$L$64,2,0)," ")</f>
        <v>PM/0131/0106/45030350255</v>
      </c>
      <c r="AB460" s="57" t="s">
        <v>139</v>
      </c>
      <c r="AC460" s="132" t="s">
        <v>205</v>
      </c>
    </row>
    <row r="461" spans="2:29" s="28" customFormat="1" ht="57">
      <c r="B461" s="85">
        <v>20241214</v>
      </c>
      <c r="C461" s="53" t="s">
        <v>210</v>
      </c>
      <c r="D461" s="129" t="s">
        <v>168</v>
      </c>
      <c r="E461" s="54" t="s">
        <v>381</v>
      </c>
      <c r="F461" s="129" t="s">
        <v>788</v>
      </c>
      <c r="G461" s="129" t="s">
        <v>110</v>
      </c>
      <c r="H461" s="117" t="s">
        <v>808</v>
      </c>
      <c r="I461" s="130">
        <v>9</v>
      </c>
      <c r="J461" s="130">
        <v>1</v>
      </c>
      <c r="K461" s="56">
        <v>0</v>
      </c>
      <c r="L461" s="57">
        <v>18000000</v>
      </c>
      <c r="M461" s="129" t="s">
        <v>173</v>
      </c>
      <c r="N461" s="57" t="s">
        <v>101</v>
      </c>
      <c r="O461" s="54" t="s">
        <v>222</v>
      </c>
      <c r="P461" s="131" t="str">
        <f>IFERROR(VLOOKUP(C461,TD!$B$32:$F$36,2,0)," ")</f>
        <v>O230117</v>
      </c>
      <c r="Q461" s="131" t="str">
        <f>IFERROR(VLOOKUP(C461,TD!$B$32:$F$36,3,0)," ")</f>
        <v>4503</v>
      </c>
      <c r="R461" s="131">
        <f>IFERROR(VLOOKUP(C461,TD!$B$32:$F$36,4,0)," ")</f>
        <v>20240255</v>
      </c>
      <c r="S461" s="54" t="s">
        <v>182</v>
      </c>
      <c r="T461" s="131" t="str">
        <f>IFERROR(VLOOKUP(S461,TD!$J$33:$K$43,2,0)," ")</f>
        <v>Servicio de inspecciones técnicas realizadas</v>
      </c>
      <c r="U461" s="54" t="str">
        <f t="shared" si="28"/>
        <v>06-Servicio de inspecciones técnicas realizadas</v>
      </c>
      <c r="V461" s="54" t="s">
        <v>235</v>
      </c>
      <c r="W461" s="131" t="str">
        <f>IFERROR(VLOOKUP(V461,TD!$N$33:$O$45,2,0)," ")</f>
        <v>Servicio prevención y control de incendios</v>
      </c>
      <c r="X461" s="54" t="str">
        <f t="shared" si="29"/>
        <v>035_Servicio prevención y control de incendios</v>
      </c>
      <c r="Y461" s="54" t="str">
        <f t="shared" si="30"/>
        <v>06-Servicio de inspecciones técnicas realizadas 035_Servicio prevención y control de incendios</v>
      </c>
      <c r="Z461" s="131" t="str">
        <f t="shared" si="31"/>
        <v>O23011745032024025506035</v>
      </c>
      <c r="AA461" s="131" t="str">
        <f>IFERROR(VLOOKUP(Y461,TD!$K$46:$L$64,2,0)," ")</f>
        <v>PM/0131/0106/45030350255</v>
      </c>
      <c r="AB461" s="57" t="s">
        <v>139</v>
      </c>
      <c r="AC461" s="132" t="s">
        <v>205</v>
      </c>
    </row>
    <row r="462" spans="2:29" s="28" customFormat="1" ht="71.25">
      <c r="B462" s="85">
        <v>20241215</v>
      </c>
      <c r="C462" s="53" t="s">
        <v>210</v>
      </c>
      <c r="D462" s="129" t="s">
        <v>168</v>
      </c>
      <c r="E462" s="54" t="s">
        <v>381</v>
      </c>
      <c r="F462" s="129" t="s">
        <v>399</v>
      </c>
      <c r="G462" s="129" t="s">
        <v>156</v>
      </c>
      <c r="H462" s="117">
        <v>80111600</v>
      </c>
      <c r="I462" s="130">
        <v>8</v>
      </c>
      <c r="J462" s="130">
        <v>6</v>
      </c>
      <c r="K462" s="56">
        <v>0</v>
      </c>
      <c r="L462" s="57">
        <f>30000000-1662000</f>
        <v>28338000</v>
      </c>
      <c r="M462" s="129" t="s">
        <v>173</v>
      </c>
      <c r="N462" s="57" t="s">
        <v>114</v>
      </c>
      <c r="O462" s="54" t="s">
        <v>226</v>
      </c>
      <c r="P462" s="131" t="str">
        <f>IFERROR(VLOOKUP(C462,TD!$B$32:$F$36,2,0)," ")</f>
        <v>O230117</v>
      </c>
      <c r="Q462" s="131" t="str">
        <f>IFERROR(VLOOKUP(C462,TD!$B$32:$F$36,3,0)," ")</f>
        <v>4503</v>
      </c>
      <c r="R462" s="131">
        <f>IFERROR(VLOOKUP(C462,TD!$B$32:$F$36,4,0)," ")</f>
        <v>20240255</v>
      </c>
      <c r="S462" s="54" t="s">
        <v>180</v>
      </c>
      <c r="T462" s="131" t="str">
        <f>IFERROR(VLOOKUP(S462,TD!$J$33:$K$43,2,0)," ")</f>
        <v>Infraestructura Tecnológica   (Sistemas de Información y Tecnologia)</v>
      </c>
      <c r="U462" s="54" t="str">
        <f t="shared" si="28"/>
        <v>11-Infraestructura Tecnológica   (Sistemas de Información y Tecnologia)</v>
      </c>
      <c r="V462" s="54" t="s">
        <v>236</v>
      </c>
      <c r="W462" s="131" t="str">
        <f>IFERROR(VLOOKUP(V462,TD!$N$33:$O$45,2,0)," ")</f>
        <v>"Servicio de monitoreo y seguimiento para la gestión del riesgo"</v>
      </c>
      <c r="X462" s="54" t="str">
        <f t="shared" si="29"/>
        <v>018_"Servicio de monitoreo y seguimiento para la gestión del riesgo"</v>
      </c>
      <c r="Y462" s="54" t="str">
        <f t="shared" si="30"/>
        <v>11-Infraestructura Tecnológica   (Sistemas de Información y Tecnologia) 018_"Servicio de monitoreo y seguimiento para la gestión del riesgo"</v>
      </c>
      <c r="Z462" s="131" t="str">
        <f t="shared" si="31"/>
        <v>O23011745032024025511018</v>
      </c>
      <c r="AA462" s="131" t="str">
        <f>IFERROR(VLOOKUP(Y462,TD!$K$46:$L$64,2,0)," ")</f>
        <v>PM/0131/0111/45030180255</v>
      </c>
      <c r="AB462" s="57" t="s">
        <v>139</v>
      </c>
      <c r="AC462" s="132" t="s">
        <v>205</v>
      </c>
    </row>
    <row r="463" spans="2:29" s="28" customFormat="1" ht="42.75">
      <c r="B463" s="85">
        <v>20241216</v>
      </c>
      <c r="C463" s="53" t="s">
        <v>209</v>
      </c>
      <c r="D463" s="129" t="s">
        <v>163</v>
      </c>
      <c r="E463" s="54" t="s">
        <v>364</v>
      </c>
      <c r="F463" s="129" t="s">
        <v>632</v>
      </c>
      <c r="G463" s="129" t="s">
        <v>155</v>
      </c>
      <c r="H463" s="117">
        <v>43233205</v>
      </c>
      <c r="I463" s="130">
        <v>9</v>
      </c>
      <c r="J463" s="130">
        <v>1</v>
      </c>
      <c r="K463" s="56">
        <v>0</v>
      </c>
      <c r="L463" s="57">
        <v>48000000</v>
      </c>
      <c r="M463" s="129" t="s">
        <v>173</v>
      </c>
      <c r="N463" s="57" t="s">
        <v>101</v>
      </c>
      <c r="O463" s="54" t="s">
        <v>215</v>
      </c>
      <c r="P463" s="131" t="str">
        <f>IFERROR(VLOOKUP(C463,TD!$B$32:$F$36,2,0)," ")</f>
        <v>O230117</v>
      </c>
      <c r="Q463" s="131" t="str">
        <f>IFERROR(VLOOKUP(C463,TD!$B$32:$F$36,3,0)," ")</f>
        <v>4599</v>
      </c>
      <c r="R463" s="131">
        <f>IFERROR(VLOOKUP(C463,TD!$B$32:$F$36,4,0)," ")</f>
        <v>20240207</v>
      </c>
      <c r="S463" s="54" t="s">
        <v>180</v>
      </c>
      <c r="T463" s="131" t="str">
        <f>IFERROR(VLOOKUP(S463,TD!$J$33:$K$43,2,0)," ")</f>
        <v>Infraestructura Tecnológica   (Sistemas de Información y Tecnologia)</v>
      </c>
      <c r="U463" s="54" t="str">
        <f t="shared" si="28"/>
        <v>11-Infraestructura Tecnológica   (Sistemas de Información y Tecnologia)</v>
      </c>
      <c r="V463" s="54" t="s">
        <v>240</v>
      </c>
      <c r="W463" s="131" t="str">
        <f>IFERROR(VLOOKUP(V463,TD!$N$33:$O$45,2,0)," ")</f>
        <v>Servicios tecnológicos</v>
      </c>
      <c r="X463" s="54" t="str">
        <f t="shared" si="29"/>
        <v>007_Servicios tecnológicos</v>
      </c>
      <c r="Y463" s="54" t="str">
        <f t="shared" si="30"/>
        <v>11-Infraestructura Tecnológica   (Sistemas de Información y Tecnologia) 007_Servicios tecnológicos</v>
      </c>
      <c r="Z463" s="131" t="str">
        <f t="shared" si="31"/>
        <v>O23011745992024020711007</v>
      </c>
      <c r="AA463" s="131" t="str">
        <f>IFERROR(VLOOKUP(Y463,TD!$K$46:$L$64,2,0)," ")</f>
        <v>PM/0131/0111/45990070207</v>
      </c>
      <c r="AB463" s="57" t="s">
        <v>139</v>
      </c>
      <c r="AC463" s="132" t="s">
        <v>205</v>
      </c>
    </row>
    <row r="464" spans="2:29" s="28" customFormat="1" ht="71.25">
      <c r="B464" s="85">
        <v>20241217</v>
      </c>
      <c r="C464" s="53" t="s">
        <v>210</v>
      </c>
      <c r="D464" s="129" t="s">
        <v>168</v>
      </c>
      <c r="E464" s="54" t="s">
        <v>381</v>
      </c>
      <c r="F464" s="129" t="s">
        <v>807</v>
      </c>
      <c r="G464" s="129" t="s">
        <v>156</v>
      </c>
      <c r="H464" s="117">
        <v>80111600</v>
      </c>
      <c r="I464" s="130">
        <v>9</v>
      </c>
      <c r="J464" s="130">
        <v>4</v>
      </c>
      <c r="K464" s="56">
        <v>0</v>
      </c>
      <c r="L464" s="57">
        <v>32000000</v>
      </c>
      <c r="M464" s="129" t="s">
        <v>173</v>
      </c>
      <c r="N464" s="57" t="s">
        <v>114</v>
      </c>
      <c r="O464" s="54" t="s">
        <v>226</v>
      </c>
      <c r="P464" s="131" t="str">
        <f>IFERROR(VLOOKUP(C464,TD!$B$32:$F$36,2,0)," ")</f>
        <v>O230117</v>
      </c>
      <c r="Q464" s="131" t="str">
        <f>IFERROR(VLOOKUP(C464,TD!$B$32:$F$36,3,0)," ")</f>
        <v>4503</v>
      </c>
      <c r="R464" s="131">
        <f>IFERROR(VLOOKUP(C464,TD!$B$32:$F$36,4,0)," ")</f>
        <v>20240255</v>
      </c>
      <c r="S464" s="54" t="s">
        <v>180</v>
      </c>
      <c r="T464" s="131" t="str">
        <f>IFERROR(VLOOKUP(S464,TD!$J$33:$K$43,2,0)," ")</f>
        <v>Infraestructura Tecnológica   (Sistemas de Información y Tecnologia)</v>
      </c>
      <c r="U464" s="54" t="str">
        <f t="shared" si="28"/>
        <v>11-Infraestructura Tecnológica   (Sistemas de Información y Tecnologia)</v>
      </c>
      <c r="V464" s="54" t="s">
        <v>236</v>
      </c>
      <c r="W464" s="131" t="str">
        <f>IFERROR(VLOOKUP(V464,TD!$N$33:$O$45,2,0)," ")</f>
        <v>"Servicio de monitoreo y seguimiento para la gestión del riesgo"</v>
      </c>
      <c r="X464" s="54" t="str">
        <f t="shared" si="29"/>
        <v>018_"Servicio de monitoreo y seguimiento para la gestión del riesgo"</v>
      </c>
      <c r="Y464" s="54" t="str">
        <f t="shared" si="30"/>
        <v>11-Infraestructura Tecnológica   (Sistemas de Información y Tecnologia) 018_"Servicio de monitoreo y seguimiento para la gestión del riesgo"</v>
      </c>
      <c r="Z464" s="131" t="str">
        <f t="shared" si="31"/>
        <v>O23011745032024025511018</v>
      </c>
      <c r="AA464" s="131" t="str">
        <f>IFERROR(VLOOKUP(Y464,TD!$K$46:$L$64,2,0)," ")</f>
        <v>PM/0131/0111/45030180255</v>
      </c>
      <c r="AB464" s="57" t="s">
        <v>139</v>
      </c>
      <c r="AC464" s="132" t="s">
        <v>205</v>
      </c>
    </row>
    <row r="465" spans="2:29" s="28" customFormat="1" ht="71.25">
      <c r="B465" s="85">
        <v>20241218</v>
      </c>
      <c r="C465" s="53" t="s">
        <v>210</v>
      </c>
      <c r="D465" s="129" t="s">
        <v>168</v>
      </c>
      <c r="E465" s="54" t="s">
        <v>381</v>
      </c>
      <c r="F465" s="129" t="s">
        <v>399</v>
      </c>
      <c r="G465" s="129" t="s">
        <v>156</v>
      </c>
      <c r="H465" s="117">
        <v>80111600</v>
      </c>
      <c r="I465" s="130">
        <v>9</v>
      </c>
      <c r="J465" s="130">
        <v>4</v>
      </c>
      <c r="K465" s="56">
        <v>0</v>
      </c>
      <c r="L465" s="57">
        <v>20000000</v>
      </c>
      <c r="M465" s="129" t="s">
        <v>173</v>
      </c>
      <c r="N465" s="57" t="s">
        <v>114</v>
      </c>
      <c r="O465" s="54" t="s">
        <v>226</v>
      </c>
      <c r="P465" s="131" t="str">
        <f>IFERROR(VLOOKUP(C465,TD!$B$32:$F$36,2,0)," ")</f>
        <v>O230117</v>
      </c>
      <c r="Q465" s="131" t="str">
        <f>IFERROR(VLOOKUP(C465,TD!$B$32:$F$36,3,0)," ")</f>
        <v>4503</v>
      </c>
      <c r="R465" s="131">
        <f>IFERROR(VLOOKUP(C465,TD!$B$32:$F$36,4,0)," ")</f>
        <v>20240255</v>
      </c>
      <c r="S465" s="54" t="s">
        <v>180</v>
      </c>
      <c r="T465" s="131" t="str">
        <f>IFERROR(VLOOKUP(S465,TD!$J$33:$K$43,2,0)," ")</f>
        <v>Infraestructura Tecnológica   (Sistemas de Información y Tecnologia)</v>
      </c>
      <c r="U465" s="54" t="str">
        <f t="shared" si="28"/>
        <v>11-Infraestructura Tecnológica   (Sistemas de Información y Tecnologia)</v>
      </c>
      <c r="V465" s="54" t="s">
        <v>236</v>
      </c>
      <c r="W465" s="131" t="str">
        <f>IFERROR(VLOOKUP(V465,TD!$N$33:$O$45,2,0)," ")</f>
        <v>"Servicio de monitoreo y seguimiento para la gestión del riesgo"</v>
      </c>
      <c r="X465" s="54" t="str">
        <f t="shared" si="29"/>
        <v>018_"Servicio de monitoreo y seguimiento para la gestión del riesgo"</v>
      </c>
      <c r="Y465" s="54" t="str">
        <f t="shared" si="30"/>
        <v>11-Infraestructura Tecnológica   (Sistemas de Información y Tecnologia) 018_"Servicio de monitoreo y seguimiento para la gestión del riesgo"</v>
      </c>
      <c r="Z465" s="131" t="str">
        <f t="shared" si="31"/>
        <v>O23011745032024025511018</v>
      </c>
      <c r="AA465" s="131" t="str">
        <f>IFERROR(VLOOKUP(Y465,TD!$K$46:$L$64,2,0)," ")</f>
        <v>PM/0131/0111/45030180255</v>
      </c>
      <c r="AB465" s="57" t="s">
        <v>139</v>
      </c>
      <c r="AC465" s="132" t="s">
        <v>205</v>
      </c>
    </row>
    <row r="466" spans="2:29" s="28" customFormat="1" ht="57">
      <c r="B466" s="85">
        <v>20241219</v>
      </c>
      <c r="C466" s="53" t="s">
        <v>210</v>
      </c>
      <c r="D466" s="129" t="s">
        <v>166</v>
      </c>
      <c r="E466" s="54" t="s">
        <v>856</v>
      </c>
      <c r="F466" s="129" t="s">
        <v>809</v>
      </c>
      <c r="G466" s="129" t="s">
        <v>156</v>
      </c>
      <c r="H466" s="117">
        <v>80111600</v>
      </c>
      <c r="I466" s="130">
        <v>9</v>
      </c>
      <c r="J466" s="130">
        <v>5</v>
      </c>
      <c r="K466" s="56">
        <v>0</v>
      </c>
      <c r="L466" s="57">
        <f>25500000</f>
        <v>25500000</v>
      </c>
      <c r="M466" s="129" t="s">
        <v>173</v>
      </c>
      <c r="N466" s="57" t="s">
        <v>114</v>
      </c>
      <c r="O466" s="54" t="s">
        <v>230</v>
      </c>
      <c r="P466" s="131" t="str">
        <f>IFERROR(VLOOKUP(C466,TD!$B$32:$F$36,2,0)," ")</f>
        <v>O230117</v>
      </c>
      <c r="Q466" s="131" t="str">
        <f>IFERROR(VLOOKUP(C466,TD!$B$32:$F$36,3,0)," ")</f>
        <v>4503</v>
      </c>
      <c r="R466" s="131">
        <f>IFERROR(VLOOKUP(C466,TD!$B$32:$F$36,4,0)," ")</f>
        <v>20240255</v>
      </c>
      <c r="S466" s="54" t="s">
        <v>184</v>
      </c>
      <c r="T466" s="131" t="str">
        <f>IFERROR(VLOOKUP(S466,TD!$J$33:$K$43,2,0)," ")</f>
        <v>Servicio de formación en gestión del riesgo de incendios para el personal UAECOB</v>
      </c>
      <c r="U466" s="54" t="str">
        <f t="shared" si="28"/>
        <v>07-Servicio de formación en gestión del riesgo de incendios para el personal UAECOB</v>
      </c>
      <c r="V466" s="54" t="s">
        <v>234</v>
      </c>
      <c r="W466" s="131" t="str">
        <f>IFERROR(VLOOKUP(V466,TD!$N$33:$O$45,2,0)," ")</f>
        <v>Servicio de educación informal</v>
      </c>
      <c r="X466" s="54" t="str">
        <f t="shared" si="29"/>
        <v>002_Servicio de educación informal</v>
      </c>
      <c r="Y466" s="54" t="str">
        <f t="shared" si="30"/>
        <v>07-Servicio de formación en gestión del riesgo de incendios para el personal UAECOB 002_Servicio de educación informal</v>
      </c>
      <c r="Z466" s="131" t="str">
        <f t="shared" si="31"/>
        <v>O23011745032024025507002</v>
      </c>
      <c r="AA466" s="131" t="str">
        <f>IFERROR(VLOOKUP(Y466,TD!$K$46:$L$64,2,0)," ")</f>
        <v>PM/0131/0107/45030020255</v>
      </c>
      <c r="AB466" s="57" t="s">
        <v>139</v>
      </c>
      <c r="AC466" s="132" t="s">
        <v>205</v>
      </c>
    </row>
    <row r="467" spans="2:29" s="28" customFormat="1" ht="57">
      <c r="B467" s="85">
        <v>20241220</v>
      </c>
      <c r="C467" s="53" t="s">
        <v>210</v>
      </c>
      <c r="D467" s="129" t="s">
        <v>166</v>
      </c>
      <c r="E467" s="54" t="s">
        <v>856</v>
      </c>
      <c r="F467" s="129" t="s">
        <v>810</v>
      </c>
      <c r="G467" s="129" t="s">
        <v>156</v>
      </c>
      <c r="H467" s="117">
        <v>80111600</v>
      </c>
      <c r="I467" s="130">
        <v>9</v>
      </c>
      <c r="J467" s="130">
        <v>5</v>
      </c>
      <c r="K467" s="56">
        <v>0</v>
      </c>
      <c r="L467" s="57">
        <f>32500000</f>
        <v>32500000</v>
      </c>
      <c r="M467" s="129" t="s">
        <v>173</v>
      </c>
      <c r="N467" s="57" t="s">
        <v>114</v>
      </c>
      <c r="O467" s="54" t="s">
        <v>230</v>
      </c>
      <c r="P467" s="131" t="str">
        <f>IFERROR(VLOOKUP(C467,TD!$B$32:$F$36,2,0)," ")</f>
        <v>O230117</v>
      </c>
      <c r="Q467" s="131" t="str">
        <f>IFERROR(VLOOKUP(C467,TD!$B$32:$F$36,3,0)," ")</f>
        <v>4503</v>
      </c>
      <c r="R467" s="131">
        <f>IFERROR(VLOOKUP(C467,TD!$B$32:$F$36,4,0)," ")</f>
        <v>20240255</v>
      </c>
      <c r="S467" s="54" t="s">
        <v>184</v>
      </c>
      <c r="T467" s="131" t="str">
        <f>IFERROR(VLOOKUP(S467,TD!$J$33:$K$43,2,0)," ")</f>
        <v>Servicio de formación en gestión del riesgo de incendios para el personal UAECOB</v>
      </c>
      <c r="U467" s="54" t="str">
        <f t="shared" si="28"/>
        <v>07-Servicio de formación en gestión del riesgo de incendios para el personal UAECOB</v>
      </c>
      <c r="V467" s="54" t="s">
        <v>234</v>
      </c>
      <c r="W467" s="131" t="str">
        <f>IFERROR(VLOOKUP(V467,TD!$N$33:$O$45,2,0)," ")</f>
        <v>Servicio de educación informal</v>
      </c>
      <c r="X467" s="54" t="str">
        <f t="shared" si="29"/>
        <v>002_Servicio de educación informal</v>
      </c>
      <c r="Y467" s="54" t="str">
        <f t="shared" si="30"/>
        <v>07-Servicio de formación en gestión del riesgo de incendios para el personal UAECOB 002_Servicio de educación informal</v>
      </c>
      <c r="Z467" s="131" t="str">
        <f t="shared" si="31"/>
        <v>O23011745032024025507002</v>
      </c>
      <c r="AA467" s="131" t="str">
        <f>IFERROR(VLOOKUP(Y467,TD!$K$46:$L$64,2,0)," ")</f>
        <v>PM/0131/0107/45030020255</v>
      </c>
      <c r="AB467" s="57" t="s">
        <v>139</v>
      </c>
      <c r="AC467" s="132" t="s">
        <v>205</v>
      </c>
    </row>
    <row r="468" spans="2:29" s="28" customFormat="1" ht="57">
      <c r="B468" s="85">
        <v>20241221</v>
      </c>
      <c r="C468" s="53" t="s">
        <v>210</v>
      </c>
      <c r="D468" s="129" t="s">
        <v>166</v>
      </c>
      <c r="E468" s="54" t="s">
        <v>856</v>
      </c>
      <c r="F468" s="129" t="s">
        <v>811</v>
      </c>
      <c r="G468" s="129" t="s">
        <v>156</v>
      </c>
      <c r="H468" s="117">
        <v>80111600</v>
      </c>
      <c r="I468" s="130">
        <v>9</v>
      </c>
      <c r="J468" s="130">
        <v>5</v>
      </c>
      <c r="K468" s="56">
        <v>0</v>
      </c>
      <c r="L468" s="57">
        <f>27355000</f>
        <v>27355000</v>
      </c>
      <c r="M468" s="129" t="s">
        <v>173</v>
      </c>
      <c r="N468" s="57" t="s">
        <v>114</v>
      </c>
      <c r="O468" s="54" t="s">
        <v>230</v>
      </c>
      <c r="P468" s="131" t="str">
        <f>IFERROR(VLOOKUP(C468,TD!$B$32:$F$36,2,0)," ")</f>
        <v>O230117</v>
      </c>
      <c r="Q468" s="131" t="str">
        <f>IFERROR(VLOOKUP(C468,TD!$B$32:$F$36,3,0)," ")</f>
        <v>4503</v>
      </c>
      <c r="R468" s="131">
        <f>IFERROR(VLOOKUP(C468,TD!$B$32:$F$36,4,0)," ")</f>
        <v>20240255</v>
      </c>
      <c r="S468" s="54" t="s">
        <v>184</v>
      </c>
      <c r="T468" s="131" t="str">
        <f>IFERROR(VLOOKUP(S468,TD!$J$33:$K$43,2,0)," ")</f>
        <v>Servicio de formación en gestión del riesgo de incendios para el personal UAECOB</v>
      </c>
      <c r="U468" s="54" t="str">
        <f t="shared" si="28"/>
        <v>07-Servicio de formación en gestión del riesgo de incendios para el personal UAECOB</v>
      </c>
      <c r="V468" s="54" t="s">
        <v>234</v>
      </c>
      <c r="W468" s="131" t="str">
        <f>IFERROR(VLOOKUP(V468,TD!$N$33:$O$45,2,0)," ")</f>
        <v>Servicio de educación informal</v>
      </c>
      <c r="X468" s="54" t="str">
        <f t="shared" si="29"/>
        <v>002_Servicio de educación informal</v>
      </c>
      <c r="Y468" s="54" t="str">
        <f t="shared" si="30"/>
        <v>07-Servicio de formación en gestión del riesgo de incendios para el personal UAECOB 002_Servicio de educación informal</v>
      </c>
      <c r="Z468" s="131" t="str">
        <f t="shared" si="31"/>
        <v>O23011745032024025507002</v>
      </c>
      <c r="AA468" s="131" t="str">
        <f>IFERROR(VLOOKUP(Y468,TD!$K$46:$L$64,2,0)," ")</f>
        <v>PM/0131/0107/45030020255</v>
      </c>
      <c r="AB468" s="57" t="s">
        <v>139</v>
      </c>
      <c r="AC468" s="132" t="s">
        <v>205</v>
      </c>
    </row>
    <row r="469" spans="2:29" s="28" customFormat="1" ht="57">
      <c r="B469" s="85">
        <v>20241222</v>
      </c>
      <c r="C469" s="53" t="s">
        <v>210</v>
      </c>
      <c r="D469" s="129" t="s">
        <v>166</v>
      </c>
      <c r="E469" s="54" t="s">
        <v>856</v>
      </c>
      <c r="F469" s="129" t="s">
        <v>811</v>
      </c>
      <c r="G469" s="129" t="s">
        <v>156</v>
      </c>
      <c r="H469" s="117">
        <v>80111600</v>
      </c>
      <c r="I469" s="130">
        <v>9</v>
      </c>
      <c r="J469" s="130">
        <v>5</v>
      </c>
      <c r="K469" s="56">
        <v>0</v>
      </c>
      <c r="L469" s="57">
        <f>27355000</f>
        <v>27355000</v>
      </c>
      <c r="M469" s="129" t="s">
        <v>173</v>
      </c>
      <c r="N469" s="57" t="s">
        <v>114</v>
      </c>
      <c r="O469" s="54" t="s">
        <v>230</v>
      </c>
      <c r="P469" s="131" t="str">
        <f>IFERROR(VLOOKUP(C469,TD!$B$32:$F$36,2,0)," ")</f>
        <v>O230117</v>
      </c>
      <c r="Q469" s="131" t="str">
        <f>IFERROR(VLOOKUP(C469,TD!$B$32:$F$36,3,0)," ")</f>
        <v>4503</v>
      </c>
      <c r="R469" s="131">
        <f>IFERROR(VLOOKUP(C469,TD!$B$32:$F$36,4,0)," ")</f>
        <v>20240255</v>
      </c>
      <c r="S469" s="54" t="s">
        <v>184</v>
      </c>
      <c r="T469" s="131" t="str">
        <f>IFERROR(VLOOKUP(S469,TD!$J$33:$K$43,2,0)," ")</f>
        <v>Servicio de formación en gestión del riesgo de incendios para el personal UAECOB</v>
      </c>
      <c r="U469" s="54" t="str">
        <f t="shared" si="28"/>
        <v>07-Servicio de formación en gestión del riesgo de incendios para el personal UAECOB</v>
      </c>
      <c r="V469" s="54" t="s">
        <v>234</v>
      </c>
      <c r="W469" s="131" t="str">
        <f>IFERROR(VLOOKUP(V469,TD!$N$33:$O$45,2,0)," ")</f>
        <v>Servicio de educación informal</v>
      </c>
      <c r="X469" s="54" t="str">
        <f t="shared" si="29"/>
        <v>002_Servicio de educación informal</v>
      </c>
      <c r="Y469" s="54" t="str">
        <f t="shared" si="30"/>
        <v>07-Servicio de formación en gestión del riesgo de incendios para el personal UAECOB 002_Servicio de educación informal</v>
      </c>
      <c r="Z469" s="131" t="str">
        <f t="shared" si="31"/>
        <v>O23011745032024025507002</v>
      </c>
      <c r="AA469" s="131" t="str">
        <f>IFERROR(VLOOKUP(Y469,TD!$K$46:$L$64,2,0)," ")</f>
        <v>PM/0131/0107/45030020255</v>
      </c>
      <c r="AB469" s="57" t="s">
        <v>139</v>
      </c>
      <c r="AC469" s="132" t="s">
        <v>205</v>
      </c>
    </row>
    <row r="470" spans="2:29" s="28" customFormat="1" ht="57">
      <c r="B470" s="85">
        <v>20241223</v>
      </c>
      <c r="C470" s="53" t="s">
        <v>210</v>
      </c>
      <c r="D470" s="129" t="s">
        <v>166</v>
      </c>
      <c r="E470" s="54" t="s">
        <v>856</v>
      </c>
      <c r="F470" s="129" t="s">
        <v>812</v>
      </c>
      <c r="G470" s="129" t="s">
        <v>156</v>
      </c>
      <c r="H470" s="117">
        <v>80111600</v>
      </c>
      <c r="I470" s="130">
        <v>9</v>
      </c>
      <c r="J470" s="130">
        <v>5</v>
      </c>
      <c r="K470" s="56">
        <v>0</v>
      </c>
      <c r="L470" s="57">
        <f>40000000</f>
        <v>40000000</v>
      </c>
      <c r="M470" s="129" t="s">
        <v>173</v>
      </c>
      <c r="N470" s="57" t="s">
        <v>114</v>
      </c>
      <c r="O470" s="54" t="s">
        <v>230</v>
      </c>
      <c r="P470" s="131" t="str">
        <f>IFERROR(VLOOKUP(C470,TD!$B$32:$F$36,2,0)," ")</f>
        <v>O230117</v>
      </c>
      <c r="Q470" s="131" t="str">
        <f>IFERROR(VLOOKUP(C470,TD!$B$32:$F$36,3,0)," ")</f>
        <v>4503</v>
      </c>
      <c r="R470" s="131">
        <f>IFERROR(VLOOKUP(C470,TD!$B$32:$F$36,4,0)," ")</f>
        <v>20240255</v>
      </c>
      <c r="S470" s="54" t="s">
        <v>184</v>
      </c>
      <c r="T470" s="131" t="str">
        <f>IFERROR(VLOOKUP(S470,TD!$J$33:$K$43,2,0)," ")</f>
        <v>Servicio de formación en gestión del riesgo de incendios para el personal UAECOB</v>
      </c>
      <c r="U470" s="54" t="str">
        <f t="shared" si="28"/>
        <v>07-Servicio de formación en gestión del riesgo de incendios para el personal UAECOB</v>
      </c>
      <c r="V470" s="54" t="s">
        <v>234</v>
      </c>
      <c r="W470" s="131" t="str">
        <f>IFERROR(VLOOKUP(V470,TD!$N$33:$O$45,2,0)," ")</f>
        <v>Servicio de educación informal</v>
      </c>
      <c r="X470" s="54" t="str">
        <f t="shared" si="29"/>
        <v>002_Servicio de educación informal</v>
      </c>
      <c r="Y470" s="54" t="str">
        <f t="shared" si="30"/>
        <v>07-Servicio de formación en gestión del riesgo de incendios para el personal UAECOB 002_Servicio de educación informal</v>
      </c>
      <c r="Z470" s="131" t="str">
        <f t="shared" si="31"/>
        <v>O23011745032024025507002</v>
      </c>
      <c r="AA470" s="131" t="str">
        <f>IFERROR(VLOOKUP(Y470,TD!$K$46:$L$64,2,0)," ")</f>
        <v>PM/0131/0107/45030020255</v>
      </c>
      <c r="AB470" s="57" t="s">
        <v>139</v>
      </c>
      <c r="AC470" s="132" t="s">
        <v>205</v>
      </c>
    </row>
    <row r="471" spans="2:29" s="28" customFormat="1" ht="71.25">
      <c r="B471" s="85">
        <v>20241224</v>
      </c>
      <c r="C471" s="53" t="s">
        <v>210</v>
      </c>
      <c r="D471" s="129" t="s">
        <v>166</v>
      </c>
      <c r="E471" s="54" t="s">
        <v>856</v>
      </c>
      <c r="F471" s="129" t="s">
        <v>547</v>
      </c>
      <c r="G471" s="129" t="s">
        <v>157</v>
      </c>
      <c r="H471" s="117">
        <v>80111600</v>
      </c>
      <c r="I471" s="130">
        <v>9</v>
      </c>
      <c r="J471" s="130">
        <v>5</v>
      </c>
      <c r="K471" s="56">
        <v>0</v>
      </c>
      <c r="L471" s="57">
        <f>12950000</f>
        <v>12950000</v>
      </c>
      <c r="M471" s="129" t="s">
        <v>173</v>
      </c>
      <c r="N471" s="57" t="s">
        <v>114</v>
      </c>
      <c r="O471" s="54" t="s">
        <v>230</v>
      </c>
      <c r="P471" s="131" t="str">
        <f>IFERROR(VLOOKUP(C471,TD!$B$32:$F$36,2,0)," ")</f>
        <v>O230117</v>
      </c>
      <c r="Q471" s="131" t="str">
        <f>IFERROR(VLOOKUP(C471,TD!$B$32:$F$36,3,0)," ")</f>
        <v>4503</v>
      </c>
      <c r="R471" s="131">
        <f>IFERROR(VLOOKUP(C471,TD!$B$32:$F$36,4,0)," ")</f>
        <v>20240255</v>
      </c>
      <c r="S471" s="54" t="s">
        <v>184</v>
      </c>
      <c r="T471" s="131" t="str">
        <f>IFERROR(VLOOKUP(S471,TD!$J$33:$K$43,2,0)," ")</f>
        <v>Servicio de formación en gestión del riesgo de incendios para el personal UAECOB</v>
      </c>
      <c r="U471" s="54" t="str">
        <f t="shared" si="28"/>
        <v>07-Servicio de formación en gestión del riesgo de incendios para el personal UAECOB</v>
      </c>
      <c r="V471" s="54" t="s">
        <v>234</v>
      </c>
      <c r="W471" s="131" t="str">
        <f>IFERROR(VLOOKUP(V471,TD!$N$33:$O$45,2,0)," ")</f>
        <v>Servicio de educación informal</v>
      </c>
      <c r="X471" s="54" t="str">
        <f t="shared" si="29"/>
        <v>002_Servicio de educación informal</v>
      </c>
      <c r="Y471" s="54" t="str">
        <f t="shared" si="30"/>
        <v>07-Servicio de formación en gestión del riesgo de incendios para el personal UAECOB 002_Servicio de educación informal</v>
      </c>
      <c r="Z471" s="131" t="str">
        <f t="shared" si="31"/>
        <v>O23011745032024025507002</v>
      </c>
      <c r="AA471" s="131" t="str">
        <f>IFERROR(VLOOKUP(Y471,TD!$K$46:$L$64,2,0)," ")</f>
        <v>PM/0131/0107/45030020255</v>
      </c>
      <c r="AB471" s="57" t="s">
        <v>139</v>
      </c>
      <c r="AC471" s="132" t="s">
        <v>205</v>
      </c>
    </row>
    <row r="472" spans="2:29" s="28" customFormat="1" ht="71.25">
      <c r="B472" s="85">
        <v>20241225</v>
      </c>
      <c r="C472" s="53" t="s">
        <v>210</v>
      </c>
      <c r="D472" s="129" t="s">
        <v>169</v>
      </c>
      <c r="E472" s="54" t="s">
        <v>423</v>
      </c>
      <c r="F472" s="129" t="s">
        <v>450</v>
      </c>
      <c r="G472" s="129" t="s">
        <v>157</v>
      </c>
      <c r="H472" s="117">
        <v>80111600</v>
      </c>
      <c r="I472" s="130">
        <v>10</v>
      </c>
      <c r="J472" s="130">
        <v>3</v>
      </c>
      <c r="K472" s="56">
        <v>0</v>
      </c>
      <c r="L472" s="57">
        <v>9502080</v>
      </c>
      <c r="M472" s="129" t="s">
        <v>173</v>
      </c>
      <c r="N472" s="57" t="s">
        <v>114</v>
      </c>
      <c r="O472" s="54" t="s">
        <v>225</v>
      </c>
      <c r="P472" s="131" t="str">
        <f>IFERROR(VLOOKUP(C472,TD!$B$32:$F$36,2,0)," ")</f>
        <v>O230117</v>
      </c>
      <c r="Q472" s="131" t="str">
        <f>IFERROR(VLOOKUP(C472,TD!$B$32:$F$36,3,0)," ")</f>
        <v>4503</v>
      </c>
      <c r="R472" s="131">
        <f>IFERROR(VLOOKUP(C472,TD!$B$32:$F$36,4,0)," ")</f>
        <v>20240255</v>
      </c>
      <c r="S472" s="54" t="s">
        <v>188</v>
      </c>
      <c r="T472" s="131" t="str">
        <f>IFERROR(VLOOKUP(S472,TD!$J$33:$K$43,2,0)," ")</f>
        <v>Servicio de mantenimiento, dotación (HEA´s y equipo menor) y adquisición de vehiculos   especializados para la atención de emergencias.</v>
      </c>
      <c r="U472" s="54" t="str">
        <f t="shared" si="28"/>
        <v>09-Servicio de mantenimiento, dotación (HEA´s y equipo menor) y adquisición de vehiculos   especializados para la atención de emergencias.</v>
      </c>
      <c r="V472" s="54" t="s">
        <v>233</v>
      </c>
      <c r="W472" s="131" t="str">
        <f>IFERROR(VLOOKUP(V472,TD!$N$33:$O$45,2,0)," ")</f>
        <v>Servicio de atención a emergencias y desastres</v>
      </c>
      <c r="X472" s="54" t="str">
        <f t="shared" si="29"/>
        <v>004_Servicio de atención a emergencias y desastres</v>
      </c>
      <c r="Y472" s="54" t="str">
        <f t="shared" si="30"/>
        <v>09-Servicio de mantenimiento, dotación (HEA´s y equipo menor) y adquisición de vehiculos   especializados para la atención de emergencias. 004_Servicio de atención a emergencias y desastres</v>
      </c>
      <c r="Z472" s="131" t="str">
        <f t="shared" si="31"/>
        <v>O23011745032024025509004</v>
      </c>
      <c r="AA472" s="131" t="str">
        <f>IFERROR(VLOOKUP(Y472,TD!$K$46:$L$64,2,0)," ")</f>
        <v>PM/0131/0109/45030040255</v>
      </c>
      <c r="AB472" s="57" t="s">
        <v>139</v>
      </c>
      <c r="AC472" s="132" t="s">
        <v>205</v>
      </c>
    </row>
    <row r="473" spans="2:29" s="28" customFormat="1" ht="71.25">
      <c r="B473" s="85">
        <v>20241226</v>
      </c>
      <c r="C473" s="53" t="s">
        <v>210</v>
      </c>
      <c r="D473" s="129" t="s">
        <v>169</v>
      </c>
      <c r="E473" s="54" t="s">
        <v>423</v>
      </c>
      <c r="F473" s="129" t="s">
        <v>813</v>
      </c>
      <c r="G473" s="129" t="s">
        <v>156</v>
      </c>
      <c r="H473" s="117">
        <v>80111600</v>
      </c>
      <c r="I473" s="130">
        <v>12</v>
      </c>
      <c r="J473" s="130">
        <v>1</v>
      </c>
      <c r="K473" s="56">
        <v>0</v>
      </c>
      <c r="L473" s="57">
        <v>6180000</v>
      </c>
      <c r="M473" s="129" t="s">
        <v>173</v>
      </c>
      <c r="N473" s="57" t="s">
        <v>114</v>
      </c>
      <c r="O473" s="54" t="s">
        <v>225</v>
      </c>
      <c r="P473" s="131" t="str">
        <f>IFERROR(VLOOKUP(C473,TD!$B$32:$F$36,2,0)," ")</f>
        <v>O230117</v>
      </c>
      <c r="Q473" s="131" t="str">
        <f>IFERROR(VLOOKUP(C473,TD!$B$32:$F$36,3,0)," ")</f>
        <v>4503</v>
      </c>
      <c r="R473" s="131">
        <f>IFERROR(VLOOKUP(C473,TD!$B$32:$F$36,4,0)," ")</f>
        <v>20240255</v>
      </c>
      <c r="S473" s="54" t="s">
        <v>188</v>
      </c>
      <c r="T473" s="131" t="str">
        <f>IFERROR(VLOOKUP(S473,TD!$J$33:$K$43,2,0)," ")</f>
        <v>Servicio de mantenimiento, dotación (HEA´s y equipo menor) y adquisición de vehiculos   especializados para la atención de emergencias.</v>
      </c>
      <c r="U473" s="54" t="str">
        <f t="shared" si="28"/>
        <v>09-Servicio de mantenimiento, dotación (HEA´s y equipo menor) y adquisición de vehiculos   especializados para la atención de emergencias.</v>
      </c>
      <c r="V473" s="54" t="s">
        <v>233</v>
      </c>
      <c r="W473" s="131" t="str">
        <f>IFERROR(VLOOKUP(V473,TD!$N$33:$O$45,2,0)," ")</f>
        <v>Servicio de atención a emergencias y desastres</v>
      </c>
      <c r="X473" s="54" t="str">
        <f t="shared" si="29"/>
        <v>004_Servicio de atención a emergencias y desastres</v>
      </c>
      <c r="Y473" s="54" t="str">
        <f t="shared" si="30"/>
        <v>09-Servicio de mantenimiento, dotación (HEA´s y equipo menor) y adquisición de vehiculos   especializados para la atención de emergencias. 004_Servicio de atención a emergencias y desastres</v>
      </c>
      <c r="Z473" s="131" t="str">
        <f t="shared" si="31"/>
        <v>O23011745032024025509004</v>
      </c>
      <c r="AA473" s="131" t="str">
        <f>IFERROR(VLOOKUP(Y473,TD!$K$46:$L$64,2,0)," ")</f>
        <v>PM/0131/0109/45030040255</v>
      </c>
      <c r="AB473" s="57" t="s">
        <v>139</v>
      </c>
      <c r="AC473" s="132" t="s">
        <v>206</v>
      </c>
    </row>
    <row r="474" spans="2:29" s="28" customFormat="1" ht="71.25">
      <c r="B474" s="85">
        <v>20241227</v>
      </c>
      <c r="C474" s="53" t="s">
        <v>210</v>
      </c>
      <c r="D474" s="129" t="s">
        <v>169</v>
      </c>
      <c r="E474" s="54" t="s">
        <v>423</v>
      </c>
      <c r="F474" s="129" t="s">
        <v>814</v>
      </c>
      <c r="G474" s="129" t="s">
        <v>156</v>
      </c>
      <c r="H474" s="117">
        <v>80111600</v>
      </c>
      <c r="I474" s="130">
        <v>12</v>
      </c>
      <c r="J474" s="130">
        <v>1</v>
      </c>
      <c r="K474" s="56">
        <v>0</v>
      </c>
      <c r="L474" s="57">
        <v>8000000</v>
      </c>
      <c r="M474" s="129" t="s">
        <v>173</v>
      </c>
      <c r="N474" s="57" t="s">
        <v>114</v>
      </c>
      <c r="O474" s="54" t="s">
        <v>225</v>
      </c>
      <c r="P474" s="131" t="str">
        <f>IFERROR(VLOOKUP(C474,TD!$B$32:$F$36,2,0)," ")</f>
        <v>O230117</v>
      </c>
      <c r="Q474" s="131" t="str">
        <f>IFERROR(VLOOKUP(C474,TD!$B$32:$F$36,3,0)," ")</f>
        <v>4503</v>
      </c>
      <c r="R474" s="131">
        <f>IFERROR(VLOOKUP(C474,TD!$B$32:$F$36,4,0)," ")</f>
        <v>20240255</v>
      </c>
      <c r="S474" s="54" t="s">
        <v>188</v>
      </c>
      <c r="T474" s="131" t="str">
        <f>IFERROR(VLOOKUP(S474,TD!$J$33:$K$43,2,0)," ")</f>
        <v>Servicio de mantenimiento, dotación (HEA´s y equipo menor) y adquisición de vehiculos   especializados para la atención de emergencias.</v>
      </c>
      <c r="U474" s="54" t="str">
        <f t="shared" si="28"/>
        <v>09-Servicio de mantenimiento, dotación (HEA´s y equipo menor) y adquisición de vehiculos   especializados para la atención de emergencias.</v>
      </c>
      <c r="V474" s="54" t="s">
        <v>233</v>
      </c>
      <c r="W474" s="131" t="str">
        <f>IFERROR(VLOOKUP(V474,TD!$N$33:$O$45,2,0)," ")</f>
        <v>Servicio de atención a emergencias y desastres</v>
      </c>
      <c r="X474" s="54" t="str">
        <f t="shared" si="29"/>
        <v>004_Servicio de atención a emergencias y desastres</v>
      </c>
      <c r="Y474" s="54" t="str">
        <f t="shared" si="30"/>
        <v>09-Servicio de mantenimiento, dotación (HEA´s y equipo menor) y adquisición de vehiculos   especializados para la atención de emergencias. 004_Servicio de atención a emergencias y desastres</v>
      </c>
      <c r="Z474" s="131" t="str">
        <f t="shared" si="31"/>
        <v>O23011745032024025509004</v>
      </c>
      <c r="AA474" s="131" t="str">
        <f>IFERROR(VLOOKUP(Y474,TD!$K$46:$L$64,2,0)," ")</f>
        <v>PM/0131/0109/45030040255</v>
      </c>
      <c r="AB474" s="57" t="s">
        <v>139</v>
      </c>
      <c r="AC474" s="132" t="s">
        <v>206</v>
      </c>
    </row>
    <row r="475" spans="2:29" s="28" customFormat="1" ht="71.25">
      <c r="B475" s="85">
        <v>20241228</v>
      </c>
      <c r="C475" s="53" t="s">
        <v>210</v>
      </c>
      <c r="D475" s="129" t="s">
        <v>169</v>
      </c>
      <c r="E475" s="54" t="s">
        <v>423</v>
      </c>
      <c r="F475" s="129" t="s">
        <v>815</v>
      </c>
      <c r="G475" s="129" t="s">
        <v>156</v>
      </c>
      <c r="H475" s="117">
        <v>80111600</v>
      </c>
      <c r="I475" s="130">
        <v>12</v>
      </c>
      <c r="J475" s="130">
        <v>1</v>
      </c>
      <c r="K475" s="56">
        <v>0</v>
      </c>
      <c r="L475" s="57">
        <v>7430000</v>
      </c>
      <c r="M475" s="129" t="s">
        <v>173</v>
      </c>
      <c r="N475" s="57" t="s">
        <v>114</v>
      </c>
      <c r="O475" s="54" t="s">
        <v>225</v>
      </c>
      <c r="P475" s="131" t="str">
        <f>IFERROR(VLOOKUP(C475,TD!$B$32:$F$36,2,0)," ")</f>
        <v>O230117</v>
      </c>
      <c r="Q475" s="131" t="str">
        <f>IFERROR(VLOOKUP(C475,TD!$B$32:$F$36,3,0)," ")</f>
        <v>4503</v>
      </c>
      <c r="R475" s="131">
        <f>IFERROR(VLOOKUP(C475,TD!$B$32:$F$36,4,0)," ")</f>
        <v>20240255</v>
      </c>
      <c r="S475" s="54" t="s">
        <v>188</v>
      </c>
      <c r="T475" s="131" t="str">
        <f>IFERROR(VLOOKUP(S475,TD!$J$33:$K$43,2,0)," ")</f>
        <v>Servicio de mantenimiento, dotación (HEA´s y equipo menor) y adquisición de vehiculos   especializados para la atención de emergencias.</v>
      </c>
      <c r="U475" s="54" t="str">
        <f t="shared" si="28"/>
        <v>09-Servicio de mantenimiento, dotación (HEA´s y equipo menor) y adquisición de vehiculos   especializados para la atención de emergencias.</v>
      </c>
      <c r="V475" s="54" t="s">
        <v>233</v>
      </c>
      <c r="W475" s="131" t="str">
        <f>IFERROR(VLOOKUP(V475,TD!$N$33:$O$45,2,0)," ")</f>
        <v>Servicio de atención a emergencias y desastres</v>
      </c>
      <c r="X475" s="54" t="str">
        <f t="shared" si="29"/>
        <v>004_Servicio de atención a emergencias y desastres</v>
      </c>
      <c r="Y475" s="54" t="str">
        <f t="shared" si="30"/>
        <v>09-Servicio de mantenimiento, dotación (HEA´s y equipo menor) y adquisición de vehiculos   especializados para la atención de emergencias. 004_Servicio de atención a emergencias y desastres</v>
      </c>
      <c r="Z475" s="131" t="str">
        <f t="shared" si="31"/>
        <v>O23011745032024025509004</v>
      </c>
      <c r="AA475" s="131" t="str">
        <f>IFERROR(VLOOKUP(Y475,TD!$K$46:$L$64,2,0)," ")</f>
        <v>PM/0131/0109/45030040255</v>
      </c>
      <c r="AB475" s="57" t="s">
        <v>139</v>
      </c>
      <c r="AC475" s="132" t="s">
        <v>206</v>
      </c>
    </row>
    <row r="476" spans="2:29" s="28" customFormat="1" ht="71.25">
      <c r="B476" s="85">
        <v>20241229</v>
      </c>
      <c r="C476" s="53" t="s">
        <v>210</v>
      </c>
      <c r="D476" s="129" t="s">
        <v>169</v>
      </c>
      <c r="E476" s="54" t="s">
        <v>423</v>
      </c>
      <c r="F476" s="129" t="s">
        <v>816</v>
      </c>
      <c r="G476" s="129" t="s">
        <v>157</v>
      </c>
      <c r="H476" s="117">
        <v>80111600</v>
      </c>
      <c r="I476" s="130">
        <v>11</v>
      </c>
      <c r="J476" s="130">
        <v>1</v>
      </c>
      <c r="K476" s="56">
        <v>0</v>
      </c>
      <c r="L476" s="57">
        <v>3100000</v>
      </c>
      <c r="M476" s="129" t="s">
        <v>173</v>
      </c>
      <c r="N476" s="57" t="s">
        <v>114</v>
      </c>
      <c r="O476" s="54" t="s">
        <v>225</v>
      </c>
      <c r="P476" s="131" t="str">
        <f>IFERROR(VLOOKUP(C476,TD!$B$32:$F$36,2,0)," ")</f>
        <v>O230117</v>
      </c>
      <c r="Q476" s="131" t="str">
        <f>IFERROR(VLOOKUP(C476,TD!$B$32:$F$36,3,0)," ")</f>
        <v>4503</v>
      </c>
      <c r="R476" s="131">
        <f>IFERROR(VLOOKUP(C476,TD!$B$32:$F$36,4,0)," ")</f>
        <v>20240255</v>
      </c>
      <c r="S476" s="54" t="s">
        <v>188</v>
      </c>
      <c r="T476" s="131" t="str">
        <f>IFERROR(VLOOKUP(S476,TD!$J$33:$K$43,2,0)," ")</f>
        <v>Servicio de mantenimiento, dotación (HEA´s y equipo menor) y adquisición de vehiculos   especializados para la atención de emergencias.</v>
      </c>
      <c r="U476" s="54" t="str">
        <f t="shared" si="28"/>
        <v>09-Servicio de mantenimiento, dotación (HEA´s y equipo menor) y adquisición de vehiculos   especializados para la atención de emergencias.</v>
      </c>
      <c r="V476" s="54" t="s">
        <v>233</v>
      </c>
      <c r="W476" s="131" t="str">
        <f>IFERROR(VLOOKUP(V476,TD!$N$33:$O$45,2,0)," ")</f>
        <v>Servicio de atención a emergencias y desastres</v>
      </c>
      <c r="X476" s="54" t="str">
        <f t="shared" si="29"/>
        <v>004_Servicio de atención a emergencias y desastres</v>
      </c>
      <c r="Y476" s="54" t="str">
        <f t="shared" si="30"/>
        <v>09-Servicio de mantenimiento, dotación (HEA´s y equipo menor) y adquisición de vehiculos   especializados para la atención de emergencias. 004_Servicio de atención a emergencias y desastres</v>
      </c>
      <c r="Z476" s="131" t="str">
        <f t="shared" si="31"/>
        <v>O23011745032024025509004</v>
      </c>
      <c r="AA476" s="131" t="str">
        <f>IFERROR(VLOOKUP(Y476,TD!$K$46:$L$64,2,0)," ")</f>
        <v>PM/0131/0109/45030040255</v>
      </c>
      <c r="AB476" s="57" t="s">
        <v>139</v>
      </c>
      <c r="AC476" s="132" t="s">
        <v>206</v>
      </c>
    </row>
    <row r="477" spans="2:29" s="28" customFormat="1" ht="57">
      <c r="B477" s="85">
        <v>20241230</v>
      </c>
      <c r="C477" s="53" t="s">
        <v>210</v>
      </c>
      <c r="D477" s="129" t="s">
        <v>169</v>
      </c>
      <c r="E477" s="54" t="s">
        <v>423</v>
      </c>
      <c r="F477" s="129" t="s">
        <v>817</v>
      </c>
      <c r="G477" s="129" t="s">
        <v>156</v>
      </c>
      <c r="H477" s="117">
        <v>80111600</v>
      </c>
      <c r="I477" s="130">
        <v>9</v>
      </c>
      <c r="J477" s="130">
        <v>5</v>
      </c>
      <c r="K477" s="56">
        <v>0</v>
      </c>
      <c r="L477" s="57">
        <v>27500000</v>
      </c>
      <c r="M477" s="129" t="s">
        <v>173</v>
      </c>
      <c r="N477" s="57" t="s">
        <v>114</v>
      </c>
      <c r="O477" s="54" t="s">
        <v>225</v>
      </c>
      <c r="P477" s="131" t="str">
        <f>IFERROR(VLOOKUP(C477,TD!$B$32:$F$36,2,0)," ")</f>
        <v>O230117</v>
      </c>
      <c r="Q477" s="131" t="str">
        <f>IFERROR(VLOOKUP(C477,TD!$B$32:$F$36,3,0)," ")</f>
        <v>4503</v>
      </c>
      <c r="R477" s="131">
        <f>IFERROR(VLOOKUP(C477,TD!$B$32:$F$36,4,0)," ")</f>
        <v>20240255</v>
      </c>
      <c r="S477" s="54" t="s">
        <v>192</v>
      </c>
      <c r="T477" s="131" t="str">
        <f>IFERROR(VLOOKUP(S477,TD!$J$33:$K$43,2,0)," ")</f>
        <v>Servicio de apoyo   logístico  en eventos operativos y/o emergencias.</v>
      </c>
      <c r="U477" s="54" t="str">
        <f t="shared" si="28"/>
        <v>12-Servicio de apoyo   logístico  en eventos operativos y/o emergencias.</v>
      </c>
      <c r="V477" s="54" t="s">
        <v>233</v>
      </c>
      <c r="W477" s="131" t="str">
        <f>IFERROR(VLOOKUP(V477,TD!$N$33:$O$45,2,0)," ")</f>
        <v>Servicio de atención a emergencias y desastres</v>
      </c>
      <c r="X477" s="54" t="str">
        <f t="shared" si="29"/>
        <v>004_Servicio de atención a emergencias y desastres</v>
      </c>
      <c r="Y477" s="54" t="str">
        <f t="shared" si="30"/>
        <v>12-Servicio de apoyo   logístico  en eventos operativos y/o emergencias. 004_Servicio de atención a emergencias y desastres</v>
      </c>
      <c r="Z477" s="131" t="str">
        <f t="shared" si="31"/>
        <v>O23011745032024025512004</v>
      </c>
      <c r="AA477" s="131" t="str">
        <f>IFERROR(VLOOKUP(Y477,TD!$K$46:$L$64,2,0)," ")</f>
        <v>PM/0131/0112/45030040255</v>
      </c>
      <c r="AB477" s="57" t="s">
        <v>139</v>
      </c>
      <c r="AC477" s="132" t="s">
        <v>205</v>
      </c>
    </row>
    <row r="478" spans="2:29" s="28" customFormat="1" ht="57">
      <c r="B478" s="85">
        <v>20241231</v>
      </c>
      <c r="C478" s="53" t="s">
        <v>210</v>
      </c>
      <c r="D478" s="129" t="s">
        <v>169</v>
      </c>
      <c r="E478" s="54" t="s">
        <v>423</v>
      </c>
      <c r="F478" s="129" t="s">
        <v>818</v>
      </c>
      <c r="G478" s="129" t="s">
        <v>156</v>
      </c>
      <c r="H478" s="117">
        <v>80111600</v>
      </c>
      <c r="I478" s="130">
        <v>9</v>
      </c>
      <c r="J478" s="130">
        <v>5</v>
      </c>
      <c r="K478" s="56">
        <v>0</v>
      </c>
      <c r="L478" s="57">
        <v>40000000</v>
      </c>
      <c r="M478" s="129" t="s">
        <v>173</v>
      </c>
      <c r="N478" s="57" t="s">
        <v>114</v>
      </c>
      <c r="O478" s="54" t="s">
        <v>225</v>
      </c>
      <c r="P478" s="131" t="str">
        <f>IFERROR(VLOOKUP(C478,TD!$B$32:$F$36,2,0)," ")</f>
        <v>O230117</v>
      </c>
      <c r="Q478" s="131" t="str">
        <f>IFERROR(VLOOKUP(C478,TD!$B$32:$F$36,3,0)," ")</f>
        <v>4503</v>
      </c>
      <c r="R478" s="131">
        <f>IFERROR(VLOOKUP(C478,TD!$B$32:$F$36,4,0)," ")</f>
        <v>20240255</v>
      </c>
      <c r="S478" s="54" t="s">
        <v>192</v>
      </c>
      <c r="T478" s="131" t="str">
        <f>IFERROR(VLOOKUP(S478,TD!$J$33:$K$43,2,0)," ")</f>
        <v>Servicio de apoyo   logístico  en eventos operativos y/o emergencias.</v>
      </c>
      <c r="U478" s="54" t="str">
        <f t="shared" si="28"/>
        <v>12-Servicio de apoyo   logístico  en eventos operativos y/o emergencias.</v>
      </c>
      <c r="V478" s="54" t="s">
        <v>233</v>
      </c>
      <c r="W478" s="131" t="str">
        <f>IFERROR(VLOOKUP(V478,TD!$N$33:$O$45,2,0)," ")</f>
        <v>Servicio de atención a emergencias y desastres</v>
      </c>
      <c r="X478" s="54" t="str">
        <f t="shared" si="29"/>
        <v>004_Servicio de atención a emergencias y desastres</v>
      </c>
      <c r="Y478" s="54" t="str">
        <f t="shared" si="30"/>
        <v>12-Servicio de apoyo   logístico  en eventos operativos y/o emergencias. 004_Servicio de atención a emergencias y desastres</v>
      </c>
      <c r="Z478" s="131" t="str">
        <f t="shared" si="31"/>
        <v>O23011745032024025512004</v>
      </c>
      <c r="AA478" s="131" t="str">
        <f>IFERROR(VLOOKUP(Y478,TD!$K$46:$L$64,2,0)," ")</f>
        <v>PM/0131/0112/45030040255</v>
      </c>
      <c r="AB478" s="57" t="s">
        <v>139</v>
      </c>
      <c r="AC478" s="132" t="s">
        <v>205</v>
      </c>
    </row>
    <row r="479" spans="2:29" s="28" customFormat="1" ht="57">
      <c r="B479" s="85">
        <v>20241232</v>
      </c>
      <c r="C479" s="53" t="s">
        <v>210</v>
      </c>
      <c r="D479" s="129" t="s">
        <v>169</v>
      </c>
      <c r="E479" s="54" t="s">
        <v>423</v>
      </c>
      <c r="F479" s="129" t="s">
        <v>821</v>
      </c>
      <c r="G479" s="129" t="s">
        <v>138</v>
      </c>
      <c r="H479" s="55" t="s">
        <v>567</v>
      </c>
      <c r="I479" s="130">
        <v>0</v>
      </c>
      <c r="J479" s="130">
        <v>0</v>
      </c>
      <c r="K479" s="56">
        <v>0</v>
      </c>
      <c r="L479" s="57">
        <v>11556312</v>
      </c>
      <c r="M479" s="129" t="s">
        <v>174</v>
      </c>
      <c r="N479" s="57" t="s">
        <v>129</v>
      </c>
      <c r="O479" s="54" t="s">
        <v>225</v>
      </c>
      <c r="P479" s="131" t="str">
        <f>IFERROR(VLOOKUP(C479,TD!$B$32:$F$36,2,0)," ")</f>
        <v>O230117</v>
      </c>
      <c r="Q479" s="131" t="str">
        <f>IFERROR(VLOOKUP(C479,TD!$B$32:$F$36,3,0)," ")</f>
        <v>4503</v>
      </c>
      <c r="R479" s="131">
        <f>IFERROR(VLOOKUP(C479,TD!$B$32:$F$36,4,0)," ")</f>
        <v>20240255</v>
      </c>
      <c r="S479" s="54" t="s">
        <v>192</v>
      </c>
      <c r="T479" s="131" t="str">
        <f>IFERROR(VLOOKUP(S479,TD!$J$33:$K$43,2,0)," ")</f>
        <v>Servicio de apoyo   logístico  en eventos operativos y/o emergencias.</v>
      </c>
      <c r="U479" s="54" t="str">
        <f t="shared" si="28"/>
        <v>12-Servicio de apoyo   logístico  en eventos operativos y/o emergencias.</v>
      </c>
      <c r="V479" s="54" t="s">
        <v>233</v>
      </c>
      <c r="W479" s="131" t="str">
        <f>IFERROR(VLOOKUP(V479,TD!$N$33:$O$45,2,0)," ")</f>
        <v>Servicio de atención a emergencias y desastres</v>
      </c>
      <c r="X479" s="54" t="str">
        <f t="shared" si="29"/>
        <v>004_Servicio de atención a emergencias y desastres</v>
      </c>
      <c r="Y479" s="54" t="str">
        <f t="shared" si="30"/>
        <v>12-Servicio de apoyo   logístico  en eventos operativos y/o emergencias. 004_Servicio de atención a emergencias y desastres</v>
      </c>
      <c r="Z479" s="131" t="str">
        <f t="shared" si="31"/>
        <v>O23011745032024025512004</v>
      </c>
      <c r="AA479" s="131" t="str">
        <f>IFERROR(VLOOKUP(Y479,TD!$K$46:$L$64,2,0)," ")</f>
        <v>PM/0131/0112/45030040255</v>
      </c>
      <c r="AB479" s="57" t="s">
        <v>148</v>
      </c>
      <c r="AC479" s="132" t="s">
        <v>206</v>
      </c>
    </row>
    <row r="480" spans="2:29" s="28" customFormat="1" ht="57">
      <c r="B480" s="85">
        <v>20241233</v>
      </c>
      <c r="C480" s="53" t="s">
        <v>210</v>
      </c>
      <c r="D480" s="129" t="s">
        <v>169</v>
      </c>
      <c r="E480" s="54" t="s">
        <v>423</v>
      </c>
      <c r="F480" s="129" t="s">
        <v>819</v>
      </c>
      <c r="G480" s="129" t="s">
        <v>156</v>
      </c>
      <c r="H480" s="117">
        <v>80111600</v>
      </c>
      <c r="I480" s="130">
        <v>8</v>
      </c>
      <c r="J480" s="130">
        <v>5</v>
      </c>
      <c r="K480" s="56">
        <v>0</v>
      </c>
      <c r="L480" s="57">
        <v>6500000</v>
      </c>
      <c r="M480" s="129" t="s">
        <v>173</v>
      </c>
      <c r="N480" s="57" t="s">
        <v>114</v>
      </c>
      <c r="O480" s="54" t="s">
        <v>225</v>
      </c>
      <c r="P480" s="131" t="str">
        <f>IFERROR(VLOOKUP(C480,TD!$B$32:$F$36,2,0)," ")</f>
        <v>O230117</v>
      </c>
      <c r="Q480" s="131" t="str">
        <f>IFERROR(VLOOKUP(C480,TD!$B$32:$F$36,3,0)," ")</f>
        <v>4503</v>
      </c>
      <c r="R480" s="131">
        <f>IFERROR(VLOOKUP(C480,TD!$B$32:$F$36,4,0)," ")</f>
        <v>20240255</v>
      </c>
      <c r="S480" s="54" t="s">
        <v>192</v>
      </c>
      <c r="T480" s="131" t="str">
        <f>IFERROR(VLOOKUP(S480,TD!$J$33:$K$43,2,0)," ")</f>
        <v>Servicio de apoyo   logístico  en eventos operativos y/o emergencias.</v>
      </c>
      <c r="U480" s="54" t="str">
        <f t="shared" si="28"/>
        <v>12-Servicio de apoyo   logístico  en eventos operativos y/o emergencias.</v>
      </c>
      <c r="V480" s="54" t="s">
        <v>233</v>
      </c>
      <c r="W480" s="131" t="str">
        <f>IFERROR(VLOOKUP(V480,TD!$N$33:$O$45,2,0)," ")</f>
        <v>Servicio de atención a emergencias y desastres</v>
      </c>
      <c r="X480" s="54" t="str">
        <f t="shared" si="29"/>
        <v>004_Servicio de atención a emergencias y desastres</v>
      </c>
      <c r="Y480" s="54" t="str">
        <f t="shared" si="30"/>
        <v>12-Servicio de apoyo   logístico  en eventos operativos y/o emergencias. 004_Servicio de atención a emergencias y desastres</v>
      </c>
      <c r="Z480" s="131" t="str">
        <f t="shared" si="31"/>
        <v>O23011745032024025512004</v>
      </c>
      <c r="AA480" s="131" t="str">
        <f>IFERROR(VLOOKUP(Y480,TD!$K$46:$L$64,2,0)," ")</f>
        <v>PM/0131/0112/45030040255</v>
      </c>
      <c r="AB480" s="57" t="s">
        <v>139</v>
      </c>
      <c r="AC480" s="132" t="s">
        <v>206</v>
      </c>
    </row>
    <row r="481" spans="2:29" s="28" customFormat="1" ht="57">
      <c r="B481" s="85">
        <v>20241234</v>
      </c>
      <c r="C481" s="53" t="s">
        <v>210</v>
      </c>
      <c r="D481" s="129" t="s">
        <v>169</v>
      </c>
      <c r="E481" s="54" t="s">
        <v>423</v>
      </c>
      <c r="F481" s="129" t="s">
        <v>820</v>
      </c>
      <c r="G481" s="129" t="s">
        <v>156</v>
      </c>
      <c r="H481" s="117">
        <v>80111600</v>
      </c>
      <c r="I481" s="130">
        <v>12</v>
      </c>
      <c r="J481" s="130">
        <v>0</v>
      </c>
      <c r="K481" s="56">
        <v>14</v>
      </c>
      <c r="L481" s="57">
        <v>1587920</v>
      </c>
      <c r="M481" s="129" t="s">
        <v>173</v>
      </c>
      <c r="N481" s="57" t="s">
        <v>114</v>
      </c>
      <c r="O481" s="54" t="s">
        <v>225</v>
      </c>
      <c r="P481" s="131" t="str">
        <f>IFERROR(VLOOKUP(C481,TD!$B$32:$F$36,2,0)," ")</f>
        <v>O230117</v>
      </c>
      <c r="Q481" s="131" t="str">
        <f>IFERROR(VLOOKUP(C481,TD!$B$32:$F$36,3,0)," ")</f>
        <v>4503</v>
      </c>
      <c r="R481" s="131">
        <f>IFERROR(VLOOKUP(C481,TD!$B$32:$F$36,4,0)," ")</f>
        <v>20240255</v>
      </c>
      <c r="S481" s="54" t="s">
        <v>192</v>
      </c>
      <c r="T481" s="131" t="str">
        <f>IFERROR(VLOOKUP(S481,TD!$J$33:$K$43,2,0)," ")</f>
        <v>Servicio de apoyo   logístico  en eventos operativos y/o emergencias.</v>
      </c>
      <c r="U481" s="54" t="str">
        <f t="shared" si="28"/>
        <v>12-Servicio de apoyo   logístico  en eventos operativos y/o emergencias.</v>
      </c>
      <c r="V481" s="54" t="s">
        <v>233</v>
      </c>
      <c r="W481" s="131" t="str">
        <f>IFERROR(VLOOKUP(V481,TD!$N$33:$O$45,2,0)," ")</f>
        <v>Servicio de atención a emergencias y desastres</v>
      </c>
      <c r="X481" s="54" t="str">
        <f t="shared" si="29"/>
        <v>004_Servicio de atención a emergencias y desastres</v>
      </c>
      <c r="Y481" s="54" t="str">
        <f t="shared" si="30"/>
        <v>12-Servicio de apoyo   logístico  en eventos operativos y/o emergencias. 004_Servicio de atención a emergencias y desastres</v>
      </c>
      <c r="Z481" s="131" t="str">
        <f t="shared" si="31"/>
        <v>O23011745032024025512004</v>
      </c>
      <c r="AA481" s="131" t="str">
        <f>IFERROR(VLOOKUP(Y481,TD!$K$46:$L$64,2,0)," ")</f>
        <v>PM/0131/0112/45030040255</v>
      </c>
      <c r="AB481" s="57" t="s">
        <v>139</v>
      </c>
      <c r="AC481" s="132" t="s">
        <v>206</v>
      </c>
    </row>
    <row r="482" spans="2:29" s="28" customFormat="1" ht="85.5">
      <c r="B482" s="85">
        <v>20241235</v>
      </c>
      <c r="C482" s="53" t="s">
        <v>210</v>
      </c>
      <c r="D482" s="129" t="s">
        <v>169</v>
      </c>
      <c r="E482" s="54" t="s">
        <v>423</v>
      </c>
      <c r="F482" s="129" t="s">
        <v>823</v>
      </c>
      <c r="G482" s="129" t="s">
        <v>158</v>
      </c>
      <c r="H482" s="117" t="s">
        <v>743</v>
      </c>
      <c r="I482" s="130">
        <v>9</v>
      </c>
      <c r="J482" s="130">
        <v>4</v>
      </c>
      <c r="K482" s="56">
        <v>0</v>
      </c>
      <c r="L482" s="57">
        <v>55000000</v>
      </c>
      <c r="M482" s="129" t="s">
        <v>173</v>
      </c>
      <c r="N482" s="57" t="s">
        <v>114</v>
      </c>
      <c r="O482" s="54" t="s">
        <v>225</v>
      </c>
      <c r="P482" s="131" t="str">
        <f>IFERROR(VLOOKUP(C482,TD!$B$32:$F$36,2,0)," ")</f>
        <v>O230117</v>
      </c>
      <c r="Q482" s="131" t="str">
        <f>IFERROR(VLOOKUP(C482,TD!$B$32:$F$36,3,0)," ")</f>
        <v>4503</v>
      </c>
      <c r="R482" s="131">
        <f>IFERROR(VLOOKUP(C482,TD!$B$32:$F$36,4,0)," ")</f>
        <v>20240255</v>
      </c>
      <c r="S482" s="54" t="s">
        <v>188</v>
      </c>
      <c r="T482" s="131" t="str">
        <f>IFERROR(VLOOKUP(S482,TD!$J$33:$K$43,2,0)," ")</f>
        <v>Servicio de mantenimiento, dotación (HEA´s y equipo menor) y adquisición de vehiculos   especializados para la atención de emergencias.</v>
      </c>
      <c r="U482" s="54" t="str">
        <f t="shared" si="28"/>
        <v>09-Servicio de mantenimiento, dotación (HEA´s y equipo menor) y adquisición de vehiculos   especializados para la atención de emergencias.</v>
      </c>
      <c r="V482" s="54" t="s">
        <v>233</v>
      </c>
      <c r="W482" s="131" t="str">
        <f>IFERROR(VLOOKUP(V482,TD!$N$33:$O$45,2,0)," ")</f>
        <v>Servicio de atención a emergencias y desastres</v>
      </c>
      <c r="X482" s="54" t="str">
        <f t="shared" si="29"/>
        <v>004_Servicio de atención a emergencias y desastres</v>
      </c>
      <c r="Y482" s="54" t="str">
        <f t="shared" si="30"/>
        <v>09-Servicio de mantenimiento, dotación (HEA´s y equipo menor) y adquisición de vehiculos   especializados para la atención de emergencias. 004_Servicio de atención a emergencias y desastres</v>
      </c>
      <c r="Z482" s="131" t="str">
        <f t="shared" si="31"/>
        <v>O23011745032024025509004</v>
      </c>
      <c r="AA482" s="131" t="str">
        <f>IFERROR(VLOOKUP(Y482,TD!$K$46:$L$64,2,0)," ")</f>
        <v>PM/0131/0109/45030040255</v>
      </c>
      <c r="AB482" s="57" t="s">
        <v>88</v>
      </c>
      <c r="AC482" s="132" t="s">
        <v>206</v>
      </c>
    </row>
    <row r="483" spans="2:29" s="28" customFormat="1" ht="57">
      <c r="B483" s="85">
        <v>20241236</v>
      </c>
      <c r="C483" s="53" t="s">
        <v>209</v>
      </c>
      <c r="D483" s="129" t="s">
        <v>162</v>
      </c>
      <c r="E483" s="54" t="s">
        <v>364</v>
      </c>
      <c r="F483" s="129" t="s">
        <v>824</v>
      </c>
      <c r="G483" s="129" t="s">
        <v>156</v>
      </c>
      <c r="H483" s="117">
        <v>80111600</v>
      </c>
      <c r="I483" s="130">
        <v>9</v>
      </c>
      <c r="J483" s="130">
        <v>5</v>
      </c>
      <c r="K483" s="56">
        <v>0</v>
      </c>
      <c r="L483" s="57">
        <v>25000000</v>
      </c>
      <c r="M483" s="129" t="s">
        <v>173</v>
      </c>
      <c r="N483" s="57" t="s">
        <v>114</v>
      </c>
      <c r="O483" s="54" t="s">
        <v>221</v>
      </c>
      <c r="P483" s="131" t="str">
        <f>IFERROR(VLOOKUP(C483,TD!$B$32:$F$36,2,0)," ")</f>
        <v>O230117</v>
      </c>
      <c r="Q483" s="131" t="str">
        <f>IFERROR(VLOOKUP(C483,TD!$B$32:$F$36,3,0)," ")</f>
        <v>4599</v>
      </c>
      <c r="R483" s="131">
        <f>IFERROR(VLOOKUP(C483,TD!$B$32:$F$36,4,0)," ")</f>
        <v>20240207</v>
      </c>
      <c r="S483" s="54" t="s">
        <v>194</v>
      </c>
      <c r="T483" s="131" t="str">
        <f>IFERROR(VLOOKUP(S483,TD!$J$33:$K$43,2,0)," ")</f>
        <v>Servicios para la planeación y sistemas de gestión y comunicación estratégica</v>
      </c>
      <c r="U483" s="54" t="str">
        <f t="shared" si="28"/>
        <v>13-Servicios para la planeación y sistemas de gestión y comunicación estratégica</v>
      </c>
      <c r="V483" s="54" t="s">
        <v>243</v>
      </c>
      <c r="W483" s="131" t="str">
        <f>IFERROR(VLOOKUP(V483,TD!$N$33:$O$45,2,0)," ")</f>
        <v>Documentos de planeación</v>
      </c>
      <c r="X483" s="54" t="str">
        <f t="shared" si="29"/>
        <v>019_Documentos de planeación</v>
      </c>
      <c r="Y483" s="54" t="str">
        <f t="shared" si="30"/>
        <v>13-Servicios para la planeación y sistemas de gestión y comunicación estratégica 019_Documentos de planeación</v>
      </c>
      <c r="Z483" s="131" t="str">
        <f t="shared" si="31"/>
        <v>O23011745992024020713019</v>
      </c>
      <c r="AA483" s="131" t="str">
        <f>IFERROR(VLOOKUP(Y483,TD!$K$46:$L$64,2,0)," ")</f>
        <v>PM/0131/0113/45990190207</v>
      </c>
      <c r="AB483" s="57" t="s">
        <v>139</v>
      </c>
      <c r="AC483" s="132" t="s">
        <v>205</v>
      </c>
    </row>
    <row r="484" spans="2:29" s="28" customFormat="1" ht="57">
      <c r="B484" s="85">
        <v>20241237</v>
      </c>
      <c r="C484" s="53" t="s">
        <v>209</v>
      </c>
      <c r="D484" s="129" t="s">
        <v>162</v>
      </c>
      <c r="E484" s="54" t="s">
        <v>364</v>
      </c>
      <c r="F484" s="129" t="s">
        <v>825</v>
      </c>
      <c r="G484" s="129" t="s">
        <v>156</v>
      </c>
      <c r="H484" s="117">
        <v>80111600</v>
      </c>
      <c r="I484" s="130">
        <v>9</v>
      </c>
      <c r="J484" s="130">
        <v>5</v>
      </c>
      <c r="K484" s="56">
        <v>0</v>
      </c>
      <c r="L484" s="57">
        <v>25000000</v>
      </c>
      <c r="M484" s="129" t="s">
        <v>173</v>
      </c>
      <c r="N484" s="57" t="s">
        <v>114</v>
      </c>
      <c r="O484" s="54" t="s">
        <v>221</v>
      </c>
      <c r="P484" s="131" t="str">
        <f>IFERROR(VLOOKUP(C484,TD!$B$32:$F$36,2,0)," ")</f>
        <v>O230117</v>
      </c>
      <c r="Q484" s="131" t="str">
        <f>IFERROR(VLOOKUP(C484,TD!$B$32:$F$36,3,0)," ")</f>
        <v>4599</v>
      </c>
      <c r="R484" s="131">
        <f>IFERROR(VLOOKUP(C484,TD!$B$32:$F$36,4,0)," ")</f>
        <v>20240207</v>
      </c>
      <c r="S484" s="54" t="s">
        <v>194</v>
      </c>
      <c r="T484" s="131" t="str">
        <f>IFERROR(VLOOKUP(S484,TD!$J$33:$K$43,2,0)," ")</f>
        <v>Servicios para la planeación y sistemas de gestión y comunicación estratégica</v>
      </c>
      <c r="U484" s="54" t="str">
        <f t="shared" si="28"/>
        <v>13-Servicios para la planeación y sistemas de gestión y comunicación estratégica</v>
      </c>
      <c r="V484" s="54" t="s">
        <v>243</v>
      </c>
      <c r="W484" s="131" t="str">
        <f>IFERROR(VLOOKUP(V484,TD!$N$33:$O$45,2,0)," ")</f>
        <v>Documentos de planeación</v>
      </c>
      <c r="X484" s="54" t="str">
        <f t="shared" si="29"/>
        <v>019_Documentos de planeación</v>
      </c>
      <c r="Y484" s="54" t="str">
        <f t="shared" si="30"/>
        <v>13-Servicios para la planeación y sistemas de gestión y comunicación estratégica 019_Documentos de planeación</v>
      </c>
      <c r="Z484" s="131" t="str">
        <f t="shared" si="31"/>
        <v>O23011745992024020713019</v>
      </c>
      <c r="AA484" s="131" t="str">
        <f>IFERROR(VLOOKUP(Y484,TD!$K$46:$L$64,2,0)," ")</f>
        <v>PM/0131/0113/45990190207</v>
      </c>
      <c r="AB484" s="57" t="s">
        <v>139</v>
      </c>
      <c r="AC484" s="132" t="s">
        <v>205</v>
      </c>
    </row>
    <row r="485" spans="2:29" s="28" customFormat="1" ht="57">
      <c r="B485" s="85">
        <v>20241238</v>
      </c>
      <c r="C485" s="53" t="s">
        <v>209</v>
      </c>
      <c r="D485" s="129" t="s">
        <v>162</v>
      </c>
      <c r="E485" s="54" t="s">
        <v>364</v>
      </c>
      <c r="F485" s="129" t="s">
        <v>826</v>
      </c>
      <c r="G485" s="129" t="s">
        <v>156</v>
      </c>
      <c r="H485" s="117">
        <v>80111600</v>
      </c>
      <c r="I485" s="130">
        <v>9</v>
      </c>
      <c r="J485" s="130">
        <v>5</v>
      </c>
      <c r="K485" s="56">
        <v>0</v>
      </c>
      <c r="L485" s="57">
        <v>25000000</v>
      </c>
      <c r="M485" s="129" t="s">
        <v>173</v>
      </c>
      <c r="N485" s="57" t="s">
        <v>114</v>
      </c>
      <c r="O485" s="54" t="s">
        <v>221</v>
      </c>
      <c r="P485" s="131" t="str">
        <f>IFERROR(VLOOKUP(C485,TD!$B$32:$F$36,2,0)," ")</f>
        <v>O230117</v>
      </c>
      <c r="Q485" s="131" t="str">
        <f>IFERROR(VLOOKUP(C485,TD!$B$32:$F$36,3,0)," ")</f>
        <v>4599</v>
      </c>
      <c r="R485" s="131">
        <f>IFERROR(VLOOKUP(C485,TD!$B$32:$F$36,4,0)," ")</f>
        <v>20240207</v>
      </c>
      <c r="S485" s="54" t="s">
        <v>194</v>
      </c>
      <c r="T485" s="131" t="str">
        <f>IFERROR(VLOOKUP(S485,TD!$J$33:$K$43,2,0)," ")</f>
        <v>Servicios para la planeación y sistemas de gestión y comunicación estratégica</v>
      </c>
      <c r="U485" s="54" t="str">
        <f t="shared" si="28"/>
        <v>13-Servicios para la planeación y sistemas de gestión y comunicación estratégica</v>
      </c>
      <c r="V485" s="54" t="s">
        <v>243</v>
      </c>
      <c r="W485" s="131" t="str">
        <f>IFERROR(VLOOKUP(V485,TD!$N$33:$O$45,2,0)," ")</f>
        <v>Documentos de planeación</v>
      </c>
      <c r="X485" s="54" t="str">
        <f t="shared" si="29"/>
        <v>019_Documentos de planeación</v>
      </c>
      <c r="Y485" s="54" t="str">
        <f t="shared" si="30"/>
        <v>13-Servicios para la planeación y sistemas de gestión y comunicación estratégica 019_Documentos de planeación</v>
      </c>
      <c r="Z485" s="131" t="str">
        <f t="shared" si="31"/>
        <v>O23011745992024020713019</v>
      </c>
      <c r="AA485" s="131" t="str">
        <f>IFERROR(VLOOKUP(Y485,TD!$K$46:$L$64,2,0)," ")</f>
        <v>PM/0131/0113/45990190207</v>
      </c>
      <c r="AB485" s="57" t="s">
        <v>139</v>
      </c>
      <c r="AC485" s="132" t="s">
        <v>205</v>
      </c>
    </row>
    <row r="486" spans="2:29" s="28" customFormat="1" ht="57">
      <c r="B486" s="85">
        <v>20241239</v>
      </c>
      <c r="C486" s="53" t="s">
        <v>209</v>
      </c>
      <c r="D486" s="129" t="s">
        <v>162</v>
      </c>
      <c r="E486" s="54" t="s">
        <v>364</v>
      </c>
      <c r="F486" s="129" t="s">
        <v>827</v>
      </c>
      <c r="G486" s="129" t="s">
        <v>145</v>
      </c>
      <c r="H486" s="117">
        <v>80111600</v>
      </c>
      <c r="I486" s="130">
        <v>9</v>
      </c>
      <c r="J486" s="130">
        <v>5</v>
      </c>
      <c r="K486" s="56">
        <v>0</v>
      </c>
      <c r="L486" s="57">
        <v>15835000</v>
      </c>
      <c r="M486" s="129" t="s">
        <v>173</v>
      </c>
      <c r="N486" s="57" t="s">
        <v>114</v>
      </c>
      <c r="O486" s="54" t="s">
        <v>221</v>
      </c>
      <c r="P486" s="131" t="str">
        <f>IFERROR(VLOOKUP(C486,TD!$B$32:$F$36,2,0)," ")</f>
        <v>O230117</v>
      </c>
      <c r="Q486" s="131" t="str">
        <f>IFERROR(VLOOKUP(C486,TD!$B$32:$F$36,3,0)," ")</f>
        <v>4599</v>
      </c>
      <c r="R486" s="131">
        <f>IFERROR(VLOOKUP(C486,TD!$B$32:$F$36,4,0)," ")</f>
        <v>20240207</v>
      </c>
      <c r="S486" s="54" t="s">
        <v>194</v>
      </c>
      <c r="T486" s="131" t="str">
        <f>IFERROR(VLOOKUP(S486,TD!$J$33:$K$43,2,0)," ")</f>
        <v>Servicios para la planeación y sistemas de gestión y comunicación estratégica</v>
      </c>
      <c r="U486" s="54" t="str">
        <f t="shared" si="28"/>
        <v>13-Servicios para la planeación y sistemas de gestión y comunicación estratégica</v>
      </c>
      <c r="V486" s="54" t="s">
        <v>243</v>
      </c>
      <c r="W486" s="131" t="str">
        <f>IFERROR(VLOOKUP(V486,TD!$N$33:$O$45,2,0)," ")</f>
        <v>Documentos de planeación</v>
      </c>
      <c r="X486" s="54" t="str">
        <f t="shared" si="29"/>
        <v>019_Documentos de planeación</v>
      </c>
      <c r="Y486" s="54" t="str">
        <f t="shared" si="30"/>
        <v>13-Servicios para la planeación y sistemas de gestión y comunicación estratégica 019_Documentos de planeación</v>
      </c>
      <c r="Z486" s="131" t="str">
        <f t="shared" si="31"/>
        <v>O23011745992024020713019</v>
      </c>
      <c r="AA486" s="131" t="str">
        <f>IFERROR(VLOOKUP(Y486,TD!$K$46:$L$64,2,0)," ")</f>
        <v>PM/0131/0113/45990190207</v>
      </c>
      <c r="AB486" s="57" t="s">
        <v>139</v>
      </c>
      <c r="AC486" s="132" t="s">
        <v>205</v>
      </c>
    </row>
    <row r="487" spans="2:29" s="28" customFormat="1" ht="57">
      <c r="B487" s="85">
        <v>20241240</v>
      </c>
      <c r="C487" s="53" t="s">
        <v>347</v>
      </c>
      <c r="D487" s="129" t="s">
        <v>167</v>
      </c>
      <c r="E487" s="54" t="s">
        <v>568</v>
      </c>
      <c r="F487" s="129" t="s">
        <v>828</v>
      </c>
      <c r="G487" s="129" t="s">
        <v>97</v>
      </c>
      <c r="H487" s="118" t="s">
        <v>625</v>
      </c>
      <c r="I487" s="130">
        <v>9</v>
      </c>
      <c r="J487" s="130">
        <v>5</v>
      </c>
      <c r="K487" s="56">
        <v>0</v>
      </c>
      <c r="L487" s="57">
        <v>27890100</v>
      </c>
      <c r="M487" s="129" t="s">
        <v>173</v>
      </c>
      <c r="N487" s="57" t="s">
        <v>101</v>
      </c>
      <c r="O487" s="54" t="s">
        <v>348</v>
      </c>
      <c r="P487" s="131" t="str">
        <f>IFERROR(VLOOKUP(C487,TD!$B$32:$F$36,2,0)," ")</f>
        <v>NA</v>
      </c>
      <c r="Q487" s="131" t="str">
        <f>IFERROR(VLOOKUP(C487,TD!$B$32:$F$36,3,0)," ")</f>
        <v>NA</v>
      </c>
      <c r="R487" s="131" t="str">
        <f>IFERROR(VLOOKUP(C487,TD!$B$32:$F$36,4,0)," ")</f>
        <v>NA</v>
      </c>
      <c r="S487" s="54" t="s">
        <v>567</v>
      </c>
      <c r="T487" s="131" t="str">
        <f>IFERROR(VLOOKUP(S487,TD!$J$33:$K$43,2,0)," ")</f>
        <v>N/A</v>
      </c>
      <c r="U487" s="54" t="str">
        <f t="shared" si="28"/>
        <v>N/A-N/A</v>
      </c>
      <c r="V487" s="54" t="s">
        <v>567</v>
      </c>
      <c r="W487" s="131" t="str">
        <f>IFERROR(VLOOKUP(V487,TD!$N$33:$O$45,2,0)," ")</f>
        <v>N/A</v>
      </c>
      <c r="X487" s="54" t="str">
        <f t="shared" si="29"/>
        <v>N/A_N/A</v>
      </c>
      <c r="Y487" s="54" t="str">
        <f t="shared" si="30"/>
        <v>N/A-N/A N/A_N/A</v>
      </c>
      <c r="Z487" s="131" t="str">
        <f t="shared" si="31"/>
        <v>NANANAN/AN/A</v>
      </c>
      <c r="AA487" s="131" t="str">
        <f>IFERROR(VLOOKUP(Y487,TD!$K$46:$L$64,2,0)," ")</f>
        <v>N/A</v>
      </c>
      <c r="AB487" s="57" t="s">
        <v>349</v>
      </c>
      <c r="AC487" s="132" t="s">
        <v>206</v>
      </c>
    </row>
    <row r="488" spans="2:29" s="28" customFormat="1" ht="57">
      <c r="B488" s="85">
        <v>20241241</v>
      </c>
      <c r="C488" s="53" t="s">
        <v>209</v>
      </c>
      <c r="D488" s="129" t="s">
        <v>167</v>
      </c>
      <c r="E488" s="54" t="s">
        <v>568</v>
      </c>
      <c r="F488" s="129" t="s">
        <v>829</v>
      </c>
      <c r="G488" s="129" t="s">
        <v>156</v>
      </c>
      <c r="H488" s="118">
        <v>80111600</v>
      </c>
      <c r="I488" s="130">
        <v>9</v>
      </c>
      <c r="J488" s="130">
        <v>3</v>
      </c>
      <c r="K488" s="56">
        <v>0</v>
      </c>
      <c r="L488" s="57">
        <v>21900000</v>
      </c>
      <c r="M488" s="129" t="s">
        <v>173</v>
      </c>
      <c r="N488" s="57" t="s">
        <v>114</v>
      </c>
      <c r="O488" s="54" t="s">
        <v>220</v>
      </c>
      <c r="P488" s="131" t="str">
        <f>IFERROR(VLOOKUP(C488,TD!$B$32:$F$36,2,0)," ")</f>
        <v>O230117</v>
      </c>
      <c r="Q488" s="131" t="str">
        <f>IFERROR(VLOOKUP(C488,TD!$B$32:$F$36,3,0)," ")</f>
        <v>4599</v>
      </c>
      <c r="R488" s="131">
        <f>IFERROR(VLOOKUP(C488,TD!$B$32:$F$36,4,0)," ")</f>
        <v>20240207</v>
      </c>
      <c r="S488" s="54" t="s">
        <v>186</v>
      </c>
      <c r="T488" s="131" t="str">
        <f>IFERROR(VLOOKUP(S488,TD!$J$33:$K$43,2,0)," ")</f>
        <v>Infraestructura física, mantenimiento y dotación (Sedes construidas, mantenidas reforzadas)</v>
      </c>
      <c r="U488" s="54" t="str">
        <f t="shared" si="28"/>
        <v>08-Infraestructura física, mantenimiento y dotación (Sedes construidas, mantenidas reforzadas)</v>
      </c>
      <c r="V488" s="54" t="s">
        <v>239</v>
      </c>
      <c r="W488" s="131" t="str">
        <f>IFERROR(VLOOKUP(V488,TD!$N$33:$O$45,2,0)," ")</f>
        <v>Sedes mantenidas</v>
      </c>
      <c r="X488" s="54" t="str">
        <f t="shared" si="29"/>
        <v>016_Sedes mantenidas</v>
      </c>
      <c r="Y488" s="54" t="str">
        <f t="shared" si="30"/>
        <v>08-Infraestructura física, mantenimiento y dotación (Sedes construidas, mantenidas reforzadas) 016_Sedes mantenidas</v>
      </c>
      <c r="Z488" s="131" t="str">
        <f t="shared" si="31"/>
        <v>O23011745992024020708016</v>
      </c>
      <c r="AA488" s="131" t="str">
        <f>IFERROR(VLOOKUP(Y488,TD!$K$46:$L$64,2,0)," ")</f>
        <v>PM/0131/0108/45990160207</v>
      </c>
      <c r="AB488" s="57" t="s">
        <v>121</v>
      </c>
      <c r="AC488" s="54" t="s">
        <v>205</v>
      </c>
    </row>
    <row r="489" spans="2:29" s="28" customFormat="1" ht="57">
      <c r="B489" s="85">
        <v>20241242</v>
      </c>
      <c r="C489" s="53" t="s">
        <v>209</v>
      </c>
      <c r="D489" s="129" t="s">
        <v>167</v>
      </c>
      <c r="E489" s="54" t="s">
        <v>568</v>
      </c>
      <c r="F489" s="129" t="s">
        <v>830</v>
      </c>
      <c r="G489" s="129" t="s">
        <v>97</v>
      </c>
      <c r="H489" s="118" t="s">
        <v>832</v>
      </c>
      <c r="I489" s="130">
        <v>9</v>
      </c>
      <c r="J489" s="130">
        <v>4</v>
      </c>
      <c r="K489" s="56">
        <v>0</v>
      </c>
      <c r="L489" s="57">
        <v>9988046</v>
      </c>
      <c r="M489" s="129" t="s">
        <v>173</v>
      </c>
      <c r="N489" s="57" t="s">
        <v>101</v>
      </c>
      <c r="O489" s="54" t="s">
        <v>219</v>
      </c>
      <c r="P489" s="131" t="str">
        <f>IFERROR(VLOOKUP(C489,TD!$B$32:$F$36,2,0)," ")</f>
        <v>O230117</v>
      </c>
      <c r="Q489" s="131" t="str">
        <f>IFERROR(VLOOKUP(C489,TD!$B$32:$F$36,3,0)," ")</f>
        <v>4599</v>
      </c>
      <c r="R489" s="131">
        <f>IFERROR(VLOOKUP(C489,TD!$B$32:$F$36,4,0)," ")</f>
        <v>20240207</v>
      </c>
      <c r="S489" s="54" t="s">
        <v>186</v>
      </c>
      <c r="T489" s="131" t="str">
        <f>IFERROR(VLOOKUP(S489,TD!$J$33:$K$43,2,0)," ")</f>
        <v>Infraestructura física, mantenimiento y dotación (Sedes construidas, mantenidas reforzadas)</v>
      </c>
      <c r="U489" s="54" t="str">
        <f t="shared" si="28"/>
        <v>08-Infraestructura física, mantenimiento y dotación (Sedes construidas, mantenidas reforzadas)</v>
      </c>
      <c r="V489" s="54" t="s">
        <v>239</v>
      </c>
      <c r="W489" s="131" t="str">
        <f>IFERROR(VLOOKUP(V489,TD!$N$33:$O$45,2,0)," ")</f>
        <v>Sedes mantenidas</v>
      </c>
      <c r="X489" s="54" t="str">
        <f t="shared" si="29"/>
        <v>016_Sedes mantenidas</v>
      </c>
      <c r="Y489" s="54" t="str">
        <f t="shared" si="30"/>
        <v>08-Infraestructura física, mantenimiento y dotación (Sedes construidas, mantenidas reforzadas) 016_Sedes mantenidas</v>
      </c>
      <c r="Z489" s="131" t="str">
        <f t="shared" si="31"/>
        <v>O23011745992024020708016</v>
      </c>
      <c r="AA489" s="131" t="str">
        <f>IFERROR(VLOOKUP(Y489,TD!$K$46:$L$64,2,0)," ")</f>
        <v>PM/0131/0108/45990160207</v>
      </c>
      <c r="AB489" s="57" t="s">
        <v>139</v>
      </c>
      <c r="AC489" s="132" t="s">
        <v>205</v>
      </c>
    </row>
    <row r="490" spans="2:29" s="28" customFormat="1" ht="71.25">
      <c r="B490" s="85">
        <v>20241243</v>
      </c>
      <c r="C490" s="53" t="s">
        <v>209</v>
      </c>
      <c r="D490" s="129" t="s">
        <v>167</v>
      </c>
      <c r="E490" s="54" t="s">
        <v>568</v>
      </c>
      <c r="F490" s="129" t="s">
        <v>589</v>
      </c>
      <c r="G490" s="129" t="s">
        <v>157</v>
      </c>
      <c r="H490" s="118" t="s">
        <v>612</v>
      </c>
      <c r="I490" s="130">
        <v>9</v>
      </c>
      <c r="J490" s="130">
        <v>4</v>
      </c>
      <c r="K490" s="56">
        <v>0</v>
      </c>
      <c r="L490" s="57">
        <v>12669440</v>
      </c>
      <c r="M490" s="129" t="s">
        <v>173</v>
      </c>
      <c r="N490" s="57" t="s">
        <v>114</v>
      </c>
      <c r="O490" s="54" t="s">
        <v>220</v>
      </c>
      <c r="P490" s="131" t="str">
        <f>IFERROR(VLOOKUP(C490,TD!$B$32:$F$36,2,0)," ")</f>
        <v>O230117</v>
      </c>
      <c r="Q490" s="131" t="str">
        <f>IFERROR(VLOOKUP(C490,TD!$B$32:$F$36,3,0)," ")</f>
        <v>4599</v>
      </c>
      <c r="R490" s="131">
        <f>IFERROR(VLOOKUP(C490,TD!$B$32:$F$36,4,0)," ")</f>
        <v>20240207</v>
      </c>
      <c r="S490" s="54" t="s">
        <v>186</v>
      </c>
      <c r="T490" s="131" t="str">
        <f>IFERROR(VLOOKUP(S490,TD!$J$33:$K$43,2,0)," ")</f>
        <v>Infraestructura física, mantenimiento y dotación (Sedes construidas, mantenidas reforzadas)</v>
      </c>
      <c r="U490" s="54" t="str">
        <f t="shared" si="28"/>
        <v>08-Infraestructura física, mantenimiento y dotación (Sedes construidas, mantenidas reforzadas)</v>
      </c>
      <c r="V490" s="54" t="s">
        <v>239</v>
      </c>
      <c r="W490" s="131" t="str">
        <f>IFERROR(VLOOKUP(V491,TD!$N$33:$O$45,2,0)," ")</f>
        <v>Sedes mantenidas</v>
      </c>
      <c r="X490" s="54" t="str">
        <f t="shared" si="29"/>
        <v>016_Sedes mantenidas</v>
      </c>
      <c r="Y490" s="54" t="str">
        <f t="shared" si="30"/>
        <v>08-Infraestructura física, mantenimiento y dotación (Sedes construidas, mantenidas reforzadas) 016_Sedes mantenidas</v>
      </c>
      <c r="Z490" s="131" t="str">
        <f t="shared" si="31"/>
        <v>O23011745992024020708016</v>
      </c>
      <c r="AA490" s="131" t="str">
        <f>IFERROR(VLOOKUP(Y490,TD!$K$46:$L$64,2,0)," ")</f>
        <v>PM/0131/0108/45990160207</v>
      </c>
      <c r="AB490" s="57" t="s">
        <v>139</v>
      </c>
      <c r="AC490" s="132" t="s">
        <v>205</v>
      </c>
    </row>
    <row r="491" spans="2:29" s="28" customFormat="1" ht="71.25">
      <c r="B491" s="85">
        <v>20241244</v>
      </c>
      <c r="C491" s="53" t="s">
        <v>209</v>
      </c>
      <c r="D491" s="129" t="s">
        <v>167</v>
      </c>
      <c r="E491" s="54" t="s">
        <v>568</v>
      </c>
      <c r="F491" s="129" t="s">
        <v>831</v>
      </c>
      <c r="G491" s="129" t="s">
        <v>157</v>
      </c>
      <c r="H491" s="118" t="s">
        <v>612</v>
      </c>
      <c r="I491" s="130">
        <v>9</v>
      </c>
      <c r="J491" s="130">
        <v>4</v>
      </c>
      <c r="K491" s="56">
        <v>0</v>
      </c>
      <c r="L491" s="57">
        <v>11085760</v>
      </c>
      <c r="M491" s="129" t="s">
        <v>173</v>
      </c>
      <c r="N491" s="57" t="s">
        <v>114</v>
      </c>
      <c r="O491" s="54" t="s">
        <v>220</v>
      </c>
      <c r="P491" s="131" t="str">
        <f>IFERROR(VLOOKUP(C491,TD!$B$32:$F$36,2,0)," ")</f>
        <v>O230117</v>
      </c>
      <c r="Q491" s="131" t="str">
        <f>IFERROR(VLOOKUP(C491,TD!$B$32:$F$36,3,0)," ")</f>
        <v>4599</v>
      </c>
      <c r="R491" s="131">
        <f>IFERROR(VLOOKUP(C491,TD!$B$32:$F$36,4,0)," ")</f>
        <v>20240207</v>
      </c>
      <c r="S491" s="54" t="s">
        <v>186</v>
      </c>
      <c r="T491" s="131" t="str">
        <f>IFERROR(VLOOKUP(S491,TD!$J$33:$K$43,2,0)," ")</f>
        <v>Infraestructura física, mantenimiento y dotación (Sedes construidas, mantenidas reforzadas)</v>
      </c>
      <c r="U491" s="54" t="str">
        <f t="shared" si="28"/>
        <v>08-Infraestructura física, mantenimiento y dotación (Sedes construidas, mantenidas reforzadas)</v>
      </c>
      <c r="V491" s="54" t="s">
        <v>239</v>
      </c>
      <c r="W491" s="131" t="str">
        <f>IFERROR(VLOOKUP(V491,TD!$N$33:$O$45,2,0)," ")</f>
        <v>Sedes mantenidas</v>
      </c>
      <c r="X491" s="54" t="str">
        <f t="shared" si="29"/>
        <v>016_Sedes mantenidas</v>
      </c>
      <c r="Y491" s="54" t="str">
        <f t="shared" si="30"/>
        <v>08-Infraestructura física, mantenimiento y dotación (Sedes construidas, mantenidas reforzadas) 016_Sedes mantenidas</v>
      </c>
      <c r="Z491" s="131" t="str">
        <f t="shared" si="31"/>
        <v>O23011745992024020708016</v>
      </c>
      <c r="AA491" s="131" t="str">
        <f>IFERROR(VLOOKUP(Y491,TD!$K$46:$L$64,2,0)," ")</f>
        <v>PM/0131/0108/45990160207</v>
      </c>
      <c r="AB491" s="57" t="s">
        <v>139</v>
      </c>
      <c r="AC491" s="132" t="s">
        <v>205</v>
      </c>
    </row>
    <row r="492" spans="2:29" s="28" customFormat="1" ht="57">
      <c r="B492" s="85">
        <v>20241245</v>
      </c>
      <c r="C492" s="53" t="s">
        <v>209</v>
      </c>
      <c r="D492" s="129" t="s">
        <v>163</v>
      </c>
      <c r="E492" s="54" t="s">
        <v>364</v>
      </c>
      <c r="F492" s="129" t="s">
        <v>833</v>
      </c>
      <c r="G492" s="129" t="s">
        <v>156</v>
      </c>
      <c r="H492" s="117">
        <v>80111600</v>
      </c>
      <c r="I492" s="130">
        <v>9</v>
      </c>
      <c r="J492" s="130">
        <v>4</v>
      </c>
      <c r="K492" s="56">
        <v>20</v>
      </c>
      <c r="L492" s="57">
        <v>32667000</v>
      </c>
      <c r="M492" s="129" t="s">
        <v>173</v>
      </c>
      <c r="N492" s="57" t="s">
        <v>114</v>
      </c>
      <c r="O492" s="54" t="s">
        <v>216</v>
      </c>
      <c r="P492" s="131" t="str">
        <f>IFERROR(VLOOKUP(C492,TD!$B$32:$F$36,2,0)," ")</f>
        <v>O230117</v>
      </c>
      <c r="Q492" s="131" t="str">
        <f>IFERROR(VLOOKUP(C492,TD!$B$32:$F$36,3,0)," ")</f>
        <v>4599</v>
      </c>
      <c r="R492" s="131">
        <f>IFERROR(VLOOKUP(C492,TD!$B$32:$F$36,4,0)," ")</f>
        <v>20240207</v>
      </c>
      <c r="S492" s="54" t="s">
        <v>180</v>
      </c>
      <c r="T492" s="131" t="str">
        <f>IFERROR(VLOOKUP(S492,TD!$J$33:$K$43,2,0)," ")</f>
        <v>Infraestructura Tecnológica   (Sistemas de Información y Tecnologia)</v>
      </c>
      <c r="U492" s="54" t="str">
        <f t="shared" si="28"/>
        <v>11-Infraestructura Tecnológica   (Sistemas de Información y Tecnologia)</v>
      </c>
      <c r="V492" s="54" t="s">
        <v>240</v>
      </c>
      <c r="W492" s="131" t="str">
        <f>IFERROR(VLOOKUP(V492,TD!$N$33:$O$45,2,0)," ")</f>
        <v>Servicios tecnológicos</v>
      </c>
      <c r="X492" s="54" t="str">
        <f t="shared" si="29"/>
        <v>007_Servicios tecnológicos</v>
      </c>
      <c r="Y492" s="54" t="str">
        <f t="shared" si="30"/>
        <v>11-Infraestructura Tecnológica   (Sistemas de Información y Tecnologia) 007_Servicios tecnológicos</v>
      </c>
      <c r="Z492" s="131" t="str">
        <f t="shared" si="31"/>
        <v>O23011745992024020711007</v>
      </c>
      <c r="AA492" s="131" t="str">
        <f>IFERROR(VLOOKUP(Y492,TD!$K$46:$L$64,2,0)," ")</f>
        <v>PM/0131/0111/45990070207</v>
      </c>
      <c r="AB492" s="57" t="s">
        <v>139</v>
      </c>
      <c r="AC492" s="132" t="s">
        <v>205</v>
      </c>
    </row>
    <row r="493" spans="2:29" s="28" customFormat="1" ht="71.25">
      <c r="B493" s="85">
        <v>20241246</v>
      </c>
      <c r="C493" s="53" t="s">
        <v>209</v>
      </c>
      <c r="D493" s="129" t="s">
        <v>163</v>
      </c>
      <c r="E493" s="54" t="s">
        <v>364</v>
      </c>
      <c r="F493" s="129" t="s">
        <v>834</v>
      </c>
      <c r="G493" s="129" t="s">
        <v>157</v>
      </c>
      <c r="H493" s="117">
        <v>80111600</v>
      </c>
      <c r="I493" s="130">
        <v>10</v>
      </c>
      <c r="J493" s="130">
        <v>4</v>
      </c>
      <c r="K493" s="56">
        <v>0</v>
      </c>
      <c r="L493" s="57">
        <v>14800000</v>
      </c>
      <c r="M493" s="129" t="s">
        <v>173</v>
      </c>
      <c r="N493" s="57" t="s">
        <v>114</v>
      </c>
      <c r="O493" s="54" t="s">
        <v>216</v>
      </c>
      <c r="P493" s="131" t="str">
        <f>IFERROR(VLOOKUP(C493,TD!$B$32:$F$36,2,0)," ")</f>
        <v>O230117</v>
      </c>
      <c r="Q493" s="131" t="str">
        <f>IFERROR(VLOOKUP(C493,TD!$B$32:$F$36,3,0)," ")</f>
        <v>4599</v>
      </c>
      <c r="R493" s="131">
        <f>IFERROR(VLOOKUP(C493,TD!$B$32:$F$36,4,0)," ")</f>
        <v>20240207</v>
      </c>
      <c r="S493" s="54" t="s">
        <v>180</v>
      </c>
      <c r="T493" s="131" t="str">
        <f>IFERROR(VLOOKUP(S493,TD!$J$33:$K$43,2,0)," ")</f>
        <v>Infraestructura Tecnológica   (Sistemas de Información y Tecnologia)</v>
      </c>
      <c r="U493" s="54" t="str">
        <f t="shared" si="28"/>
        <v>11-Infraestructura Tecnológica   (Sistemas de Información y Tecnologia)</v>
      </c>
      <c r="V493" s="54" t="s">
        <v>240</v>
      </c>
      <c r="W493" s="131" t="str">
        <f>IFERROR(VLOOKUP(V493,TD!$N$33:$O$45,2,0)," ")</f>
        <v>Servicios tecnológicos</v>
      </c>
      <c r="X493" s="54" t="str">
        <f t="shared" si="29"/>
        <v>007_Servicios tecnológicos</v>
      </c>
      <c r="Y493" s="54" t="str">
        <f t="shared" si="30"/>
        <v>11-Infraestructura Tecnológica   (Sistemas de Información y Tecnologia) 007_Servicios tecnológicos</v>
      </c>
      <c r="Z493" s="131" t="str">
        <f t="shared" si="31"/>
        <v>O23011745992024020711007</v>
      </c>
      <c r="AA493" s="131" t="str">
        <f>IFERROR(VLOOKUP(Y493,TD!$K$46:$L$64,2,0)," ")</f>
        <v>PM/0131/0111/45990070207</v>
      </c>
      <c r="AB493" s="57" t="s">
        <v>139</v>
      </c>
      <c r="AC493" s="132" t="s">
        <v>205</v>
      </c>
    </row>
    <row r="494" spans="2:29" s="28" customFormat="1" ht="71.25">
      <c r="B494" s="85">
        <v>20241247</v>
      </c>
      <c r="C494" s="53" t="s">
        <v>209</v>
      </c>
      <c r="D494" s="129" t="s">
        <v>163</v>
      </c>
      <c r="E494" s="54" t="s">
        <v>364</v>
      </c>
      <c r="F494" s="129" t="s">
        <v>835</v>
      </c>
      <c r="G494" s="129" t="s">
        <v>157</v>
      </c>
      <c r="H494" s="117">
        <v>80111600</v>
      </c>
      <c r="I494" s="130">
        <v>9</v>
      </c>
      <c r="J494" s="130">
        <v>4</v>
      </c>
      <c r="K494" s="56">
        <v>0</v>
      </c>
      <c r="L494" s="57">
        <v>14000000</v>
      </c>
      <c r="M494" s="129" t="s">
        <v>173</v>
      </c>
      <c r="N494" s="57" t="s">
        <v>114</v>
      </c>
      <c r="O494" s="54" t="s">
        <v>216</v>
      </c>
      <c r="P494" s="131" t="str">
        <f>IFERROR(VLOOKUP(C494,TD!$B$32:$F$36,2,0)," ")</f>
        <v>O230117</v>
      </c>
      <c r="Q494" s="131" t="str">
        <f>IFERROR(VLOOKUP(C494,TD!$B$32:$F$36,3,0)," ")</f>
        <v>4599</v>
      </c>
      <c r="R494" s="131">
        <f>IFERROR(VLOOKUP(C494,TD!$B$32:$F$36,4,0)," ")</f>
        <v>20240207</v>
      </c>
      <c r="S494" s="54" t="s">
        <v>180</v>
      </c>
      <c r="T494" s="131" t="str">
        <f>IFERROR(VLOOKUP(S494,TD!$J$33:$K$43,2,0)," ")</f>
        <v>Infraestructura Tecnológica   (Sistemas de Información y Tecnologia)</v>
      </c>
      <c r="U494" s="54" t="str">
        <f t="shared" si="28"/>
        <v>11-Infraestructura Tecnológica   (Sistemas de Información y Tecnologia)</v>
      </c>
      <c r="V494" s="54" t="s">
        <v>240</v>
      </c>
      <c r="W494" s="131" t="str">
        <f>IFERROR(VLOOKUP(V494,TD!$N$33:$O$45,2,0)," ")</f>
        <v>Servicios tecnológicos</v>
      </c>
      <c r="X494" s="54" t="str">
        <f t="shared" si="29"/>
        <v>007_Servicios tecnológicos</v>
      </c>
      <c r="Y494" s="54" t="str">
        <f t="shared" si="30"/>
        <v>11-Infraestructura Tecnológica   (Sistemas de Información y Tecnologia) 007_Servicios tecnológicos</v>
      </c>
      <c r="Z494" s="131" t="str">
        <f t="shared" si="31"/>
        <v>O23011745992024020711007</v>
      </c>
      <c r="AA494" s="131" t="str">
        <f>IFERROR(VLOOKUP(Y494,TD!$K$46:$L$64,2,0)," ")</f>
        <v>PM/0131/0111/45990070207</v>
      </c>
      <c r="AB494" s="57" t="s">
        <v>139</v>
      </c>
      <c r="AC494" s="132" t="s">
        <v>205</v>
      </c>
    </row>
    <row r="495" spans="2:29" s="28" customFormat="1" ht="71.25">
      <c r="B495" s="85">
        <v>20241248</v>
      </c>
      <c r="C495" s="53" t="s">
        <v>209</v>
      </c>
      <c r="D495" s="129" t="s">
        <v>163</v>
      </c>
      <c r="E495" s="54" t="s">
        <v>364</v>
      </c>
      <c r="F495" s="129" t="s">
        <v>836</v>
      </c>
      <c r="G495" s="129" t="s">
        <v>157</v>
      </c>
      <c r="H495" s="117">
        <v>80111600</v>
      </c>
      <c r="I495" s="130">
        <v>9</v>
      </c>
      <c r="J495" s="130">
        <v>4</v>
      </c>
      <c r="K495" s="56">
        <v>0</v>
      </c>
      <c r="L495" s="57">
        <v>14000000</v>
      </c>
      <c r="M495" s="129" t="s">
        <v>173</v>
      </c>
      <c r="N495" s="57" t="s">
        <v>114</v>
      </c>
      <c r="O495" s="54" t="s">
        <v>216</v>
      </c>
      <c r="P495" s="131" t="str">
        <f>IFERROR(VLOOKUP(C495,TD!$B$32:$F$36,2,0)," ")</f>
        <v>O230117</v>
      </c>
      <c r="Q495" s="131" t="str">
        <f>IFERROR(VLOOKUP(C495,TD!$B$32:$F$36,3,0)," ")</f>
        <v>4599</v>
      </c>
      <c r="R495" s="131">
        <f>IFERROR(VLOOKUP(C495,TD!$B$32:$F$36,4,0)," ")</f>
        <v>20240207</v>
      </c>
      <c r="S495" s="54" t="s">
        <v>180</v>
      </c>
      <c r="T495" s="131" t="str">
        <f>IFERROR(VLOOKUP(S495,TD!$J$33:$K$43,2,0)," ")</f>
        <v>Infraestructura Tecnológica   (Sistemas de Información y Tecnologia)</v>
      </c>
      <c r="U495" s="54" t="str">
        <f t="shared" si="28"/>
        <v>11-Infraestructura Tecnológica   (Sistemas de Información y Tecnologia)</v>
      </c>
      <c r="V495" s="54" t="s">
        <v>240</v>
      </c>
      <c r="W495" s="131" t="str">
        <f>IFERROR(VLOOKUP(V495,TD!$N$33:$O$45,2,0)," ")</f>
        <v>Servicios tecnológicos</v>
      </c>
      <c r="X495" s="54" t="str">
        <f t="shared" si="29"/>
        <v>007_Servicios tecnológicos</v>
      </c>
      <c r="Y495" s="54" t="str">
        <f t="shared" si="30"/>
        <v>11-Infraestructura Tecnológica   (Sistemas de Información y Tecnologia) 007_Servicios tecnológicos</v>
      </c>
      <c r="Z495" s="131" t="str">
        <f t="shared" si="31"/>
        <v>O23011745992024020711007</v>
      </c>
      <c r="AA495" s="131" t="str">
        <f>IFERROR(VLOOKUP(Y495,TD!$K$46:$L$64,2,0)," ")</f>
        <v>PM/0131/0111/45990070207</v>
      </c>
      <c r="AB495" s="57" t="s">
        <v>139</v>
      </c>
      <c r="AC495" s="132" t="s">
        <v>205</v>
      </c>
    </row>
    <row r="496" spans="2:29" s="28" customFormat="1" ht="42.75">
      <c r="B496" s="85">
        <v>20241249</v>
      </c>
      <c r="C496" s="53" t="s">
        <v>209</v>
      </c>
      <c r="D496" s="129" t="s">
        <v>163</v>
      </c>
      <c r="E496" s="54" t="s">
        <v>364</v>
      </c>
      <c r="F496" s="129" t="s">
        <v>837</v>
      </c>
      <c r="G496" s="129" t="s">
        <v>155</v>
      </c>
      <c r="H496" s="117" t="s">
        <v>678</v>
      </c>
      <c r="I496" s="130">
        <v>10</v>
      </c>
      <c r="J496" s="130">
        <v>1</v>
      </c>
      <c r="K496" s="56">
        <v>0</v>
      </c>
      <c r="L496" s="57">
        <v>20245335</v>
      </c>
      <c r="M496" s="129" t="s">
        <v>173</v>
      </c>
      <c r="N496" s="57" t="s">
        <v>114</v>
      </c>
      <c r="O496" s="54" t="s">
        <v>216</v>
      </c>
      <c r="P496" s="131" t="str">
        <f>IFERROR(VLOOKUP(C496,TD!$B$32:$F$36,2,0)," ")</f>
        <v>O230117</v>
      </c>
      <c r="Q496" s="131" t="str">
        <f>IFERROR(VLOOKUP(C496,TD!$B$32:$F$36,3,0)," ")</f>
        <v>4599</v>
      </c>
      <c r="R496" s="131">
        <f>IFERROR(VLOOKUP(C496,TD!$B$32:$F$36,4,0)," ")</f>
        <v>20240207</v>
      </c>
      <c r="S496" s="54" t="s">
        <v>180</v>
      </c>
      <c r="T496" s="131" t="str">
        <f>IFERROR(VLOOKUP(S496,TD!$J$33:$K$43,2,0)," ")</f>
        <v>Infraestructura Tecnológica   (Sistemas de Información y Tecnologia)</v>
      </c>
      <c r="U496" s="54" t="str">
        <f t="shared" si="28"/>
        <v>11-Infraestructura Tecnológica   (Sistemas de Información y Tecnologia)</v>
      </c>
      <c r="V496" s="54" t="s">
        <v>240</v>
      </c>
      <c r="W496" s="131" t="str">
        <f>IFERROR(VLOOKUP(V496,TD!$N$33:$O$45,2,0)," ")</f>
        <v>Servicios tecnológicos</v>
      </c>
      <c r="X496" s="54" t="str">
        <f t="shared" si="29"/>
        <v>007_Servicios tecnológicos</v>
      </c>
      <c r="Y496" s="54" t="str">
        <f t="shared" si="30"/>
        <v>11-Infraestructura Tecnológica   (Sistemas de Información y Tecnologia) 007_Servicios tecnológicos</v>
      </c>
      <c r="Z496" s="131" t="str">
        <f t="shared" si="31"/>
        <v>O23011745992024020711007</v>
      </c>
      <c r="AA496" s="131" t="str">
        <f>IFERROR(VLOOKUP(Y496,TD!$K$46:$L$64,2,0)," ")</f>
        <v>PM/0131/0111/45990070207</v>
      </c>
      <c r="AB496" s="57" t="s">
        <v>139</v>
      </c>
      <c r="AC496" s="132" t="s">
        <v>205</v>
      </c>
    </row>
    <row r="497" spans="2:29" s="28" customFormat="1" ht="71.25">
      <c r="B497" s="85">
        <v>20241250</v>
      </c>
      <c r="C497" s="53" t="s">
        <v>209</v>
      </c>
      <c r="D497" s="129" t="s">
        <v>163</v>
      </c>
      <c r="E497" s="54" t="s">
        <v>364</v>
      </c>
      <c r="F497" s="129" t="s">
        <v>840</v>
      </c>
      <c r="G497" s="129" t="s">
        <v>156</v>
      </c>
      <c r="H497" s="117">
        <v>80111600</v>
      </c>
      <c r="I497" s="130">
        <v>10</v>
      </c>
      <c r="J497" s="130">
        <v>1</v>
      </c>
      <c r="K497" s="56">
        <v>0</v>
      </c>
      <c r="L497" s="57">
        <v>1546666</v>
      </c>
      <c r="M497" s="129" t="s">
        <v>174</v>
      </c>
      <c r="N497" s="57" t="s">
        <v>114</v>
      </c>
      <c r="O497" s="54" t="s">
        <v>216</v>
      </c>
      <c r="P497" s="131" t="str">
        <f>IFERROR(VLOOKUP(C497,TD!$B$32:$F$36,2,0)," ")</f>
        <v>O230117</v>
      </c>
      <c r="Q497" s="131" t="str">
        <f>IFERROR(VLOOKUP(C497,TD!$B$32:$F$36,3,0)," ")</f>
        <v>4599</v>
      </c>
      <c r="R497" s="131">
        <f>IFERROR(VLOOKUP(C497,TD!$B$32:$F$36,4,0)," ")</f>
        <v>20240207</v>
      </c>
      <c r="S497" s="54" t="s">
        <v>180</v>
      </c>
      <c r="T497" s="131" t="str">
        <f>IFERROR(VLOOKUP(S497,TD!$J$33:$K$43,2,0)," ")</f>
        <v>Infraestructura Tecnológica   (Sistemas de Información y Tecnologia)</v>
      </c>
      <c r="U497" s="54" t="str">
        <f t="shared" si="28"/>
        <v>11-Infraestructura Tecnológica   (Sistemas de Información y Tecnologia)</v>
      </c>
      <c r="V497" s="54" t="s">
        <v>240</v>
      </c>
      <c r="W497" s="131" t="str">
        <f>IFERROR(VLOOKUP(V497,TD!$N$33:$O$45,2,0)," ")</f>
        <v>Servicios tecnológicos</v>
      </c>
      <c r="X497" s="54" t="str">
        <f t="shared" si="29"/>
        <v>007_Servicios tecnológicos</v>
      </c>
      <c r="Y497" s="54" t="str">
        <f t="shared" si="30"/>
        <v>11-Infraestructura Tecnológica   (Sistemas de Información y Tecnologia) 007_Servicios tecnológicos</v>
      </c>
      <c r="Z497" s="131" t="str">
        <f t="shared" si="31"/>
        <v>O23011745992024020711007</v>
      </c>
      <c r="AA497" s="131" t="str">
        <f>IFERROR(VLOOKUP(Y497,TD!$K$46:$L$64,2,0)," ")</f>
        <v>PM/0131/0111/45990070207</v>
      </c>
      <c r="AB497" s="57" t="s">
        <v>139</v>
      </c>
      <c r="AC497" s="132" t="s">
        <v>206</v>
      </c>
    </row>
    <row r="498" spans="2:29" s="28" customFormat="1" ht="57">
      <c r="B498" s="85">
        <v>20241251</v>
      </c>
      <c r="C498" s="53" t="s">
        <v>209</v>
      </c>
      <c r="D498" s="129" t="s">
        <v>163</v>
      </c>
      <c r="E498" s="54" t="s">
        <v>364</v>
      </c>
      <c r="F498" s="129" t="s">
        <v>839</v>
      </c>
      <c r="G498" s="129" t="s">
        <v>156</v>
      </c>
      <c r="H498" s="117">
        <v>80111600</v>
      </c>
      <c r="I498" s="130">
        <v>10</v>
      </c>
      <c r="J498" s="130">
        <v>1</v>
      </c>
      <c r="K498" s="56">
        <v>0</v>
      </c>
      <c r="L498" s="57">
        <v>200000</v>
      </c>
      <c r="M498" s="129" t="s">
        <v>174</v>
      </c>
      <c r="N498" s="57" t="s">
        <v>114</v>
      </c>
      <c r="O498" s="54" t="s">
        <v>216</v>
      </c>
      <c r="P498" s="131" t="str">
        <f>IFERROR(VLOOKUP(C498,TD!$B$32:$F$36,2,0)," ")</f>
        <v>O230117</v>
      </c>
      <c r="Q498" s="131" t="str">
        <f>IFERROR(VLOOKUP(C498,TD!$B$32:$F$36,3,0)," ")</f>
        <v>4599</v>
      </c>
      <c r="R498" s="131">
        <f>IFERROR(VLOOKUP(C498,TD!$B$32:$F$36,4,0)," ")</f>
        <v>20240207</v>
      </c>
      <c r="S498" s="54" t="s">
        <v>180</v>
      </c>
      <c r="T498" s="131" t="str">
        <f>IFERROR(VLOOKUP(S498,TD!$J$33:$K$43,2,0)," ")</f>
        <v>Infraestructura Tecnológica   (Sistemas de Información y Tecnologia)</v>
      </c>
      <c r="U498" s="54" t="str">
        <f t="shared" si="28"/>
        <v>11-Infraestructura Tecnológica   (Sistemas de Información y Tecnologia)</v>
      </c>
      <c r="V498" s="54" t="s">
        <v>240</v>
      </c>
      <c r="W498" s="131" t="str">
        <f>IFERROR(VLOOKUP(V498,TD!$N$33:$O$45,2,0)," ")</f>
        <v>Servicios tecnológicos</v>
      </c>
      <c r="X498" s="54" t="str">
        <f t="shared" si="29"/>
        <v>007_Servicios tecnológicos</v>
      </c>
      <c r="Y498" s="54" t="str">
        <f t="shared" si="30"/>
        <v>11-Infraestructura Tecnológica   (Sistemas de Información y Tecnologia) 007_Servicios tecnológicos</v>
      </c>
      <c r="Z498" s="131" t="str">
        <f t="shared" si="31"/>
        <v>O23011745992024020711007</v>
      </c>
      <c r="AA498" s="131" t="str">
        <f>IFERROR(VLOOKUP(Y498,TD!$K$46:$L$64,2,0)," ")</f>
        <v>PM/0131/0111/45990070207</v>
      </c>
      <c r="AB498" s="57" t="s">
        <v>139</v>
      </c>
      <c r="AC498" s="132" t="s">
        <v>206</v>
      </c>
    </row>
    <row r="499" spans="2:29" s="28" customFormat="1" ht="57">
      <c r="B499" s="85">
        <v>20241252</v>
      </c>
      <c r="C499" s="53" t="s">
        <v>209</v>
      </c>
      <c r="D499" s="129" t="s">
        <v>163</v>
      </c>
      <c r="E499" s="54" t="s">
        <v>364</v>
      </c>
      <c r="F499" s="129" t="s">
        <v>838</v>
      </c>
      <c r="G499" s="129" t="s">
        <v>156</v>
      </c>
      <c r="H499" s="117">
        <v>80111600</v>
      </c>
      <c r="I499" s="130">
        <v>9</v>
      </c>
      <c r="J499" s="130">
        <v>4</v>
      </c>
      <c r="K499" s="56">
        <v>0</v>
      </c>
      <c r="L499" s="57">
        <v>24000000</v>
      </c>
      <c r="M499" s="129" t="s">
        <v>173</v>
      </c>
      <c r="N499" s="57" t="s">
        <v>114</v>
      </c>
      <c r="O499" s="54" t="s">
        <v>216</v>
      </c>
      <c r="P499" s="131" t="str">
        <f>IFERROR(VLOOKUP(C499,TD!$B$32:$F$36,2,0)," ")</f>
        <v>O230117</v>
      </c>
      <c r="Q499" s="131" t="str">
        <f>IFERROR(VLOOKUP(C499,TD!$B$32:$F$36,3,0)," ")</f>
        <v>4599</v>
      </c>
      <c r="R499" s="131">
        <f>IFERROR(VLOOKUP(C499,TD!$B$32:$F$36,4,0)," ")</f>
        <v>20240207</v>
      </c>
      <c r="S499" s="54" t="s">
        <v>180</v>
      </c>
      <c r="T499" s="131" t="str">
        <f>IFERROR(VLOOKUP(S499,TD!$J$33:$K$43,2,0)," ")</f>
        <v>Infraestructura Tecnológica   (Sistemas de Información y Tecnologia)</v>
      </c>
      <c r="U499" s="54" t="str">
        <f t="shared" si="28"/>
        <v>11-Infraestructura Tecnológica   (Sistemas de Información y Tecnologia)</v>
      </c>
      <c r="V499" s="54" t="s">
        <v>240</v>
      </c>
      <c r="W499" s="131" t="str">
        <f>IFERROR(VLOOKUP(V499,TD!$N$33:$O$45,2,0)," ")</f>
        <v>Servicios tecnológicos</v>
      </c>
      <c r="X499" s="54" t="str">
        <f t="shared" si="29"/>
        <v>007_Servicios tecnológicos</v>
      </c>
      <c r="Y499" s="54" t="str">
        <f t="shared" si="30"/>
        <v>11-Infraestructura Tecnológica   (Sistemas de Información y Tecnologia) 007_Servicios tecnológicos</v>
      </c>
      <c r="Z499" s="131" t="str">
        <f t="shared" si="31"/>
        <v>O23011745992024020711007</v>
      </c>
      <c r="AA499" s="131" t="str">
        <f>IFERROR(VLOOKUP(Y499,TD!$K$46:$L$64,2,0)," ")</f>
        <v>PM/0131/0111/45990070207</v>
      </c>
      <c r="AB499" s="57" t="s">
        <v>139</v>
      </c>
      <c r="AC499" s="132" t="s">
        <v>205</v>
      </c>
    </row>
    <row r="500" spans="2:29" s="28" customFormat="1" ht="57">
      <c r="B500" s="85">
        <v>20241253</v>
      </c>
      <c r="C500" s="53" t="s">
        <v>209</v>
      </c>
      <c r="D500" s="129" t="s">
        <v>165</v>
      </c>
      <c r="E500" s="54" t="s">
        <v>525</v>
      </c>
      <c r="F500" s="129" t="s">
        <v>842</v>
      </c>
      <c r="G500" s="129" t="s">
        <v>156</v>
      </c>
      <c r="H500" s="117">
        <v>80111600</v>
      </c>
      <c r="I500" s="130">
        <v>9</v>
      </c>
      <c r="J500" s="130">
        <v>5</v>
      </c>
      <c r="K500" s="56">
        <v>0</v>
      </c>
      <c r="L500" s="57">
        <f>38250000+3583715</f>
        <v>41833715</v>
      </c>
      <c r="M500" s="129" t="s">
        <v>173</v>
      </c>
      <c r="N500" s="57" t="s">
        <v>114</v>
      </c>
      <c r="O500" s="54" t="s">
        <v>220</v>
      </c>
      <c r="P500" s="131" t="str">
        <f>IFERROR(VLOOKUP(C500,TD!$B$32:$F$36,2,0)," ")</f>
        <v>O230117</v>
      </c>
      <c r="Q500" s="131" t="str">
        <f>IFERROR(VLOOKUP(C500,TD!$B$32:$F$36,3,0)," ")</f>
        <v>4599</v>
      </c>
      <c r="R500" s="131">
        <f>IFERROR(VLOOKUP(C500,TD!$B$32:$F$36,4,0)," ")</f>
        <v>20240207</v>
      </c>
      <c r="S500" s="54" t="s">
        <v>186</v>
      </c>
      <c r="T500" s="131" t="str">
        <f>IFERROR(VLOOKUP(S500,TD!$J$33:$K$43,2,0)," ")</f>
        <v>Infraestructura física, mantenimiento y dotación (Sedes construidas, mantenidas reforzadas)</v>
      </c>
      <c r="U500" s="54" t="str">
        <f t="shared" si="28"/>
        <v>08-Infraestructura física, mantenimiento y dotación (Sedes construidas, mantenidas reforzadas)</v>
      </c>
      <c r="V500" s="54" t="s">
        <v>239</v>
      </c>
      <c r="W500" s="131" t="str">
        <f>IFERROR(VLOOKUP(V500,TD!$N$33:$O$45,2,0)," ")</f>
        <v>Sedes mantenidas</v>
      </c>
      <c r="X500" s="54" t="str">
        <f t="shared" si="29"/>
        <v>016_Sedes mantenidas</v>
      </c>
      <c r="Y500" s="54" t="str">
        <f t="shared" si="30"/>
        <v>08-Infraestructura física, mantenimiento y dotación (Sedes construidas, mantenidas reforzadas) 016_Sedes mantenidas</v>
      </c>
      <c r="Z500" s="131" t="str">
        <f t="shared" si="31"/>
        <v>O23011745992024020708016</v>
      </c>
      <c r="AA500" s="131" t="str">
        <f>IFERROR(VLOOKUP(Y500,TD!$K$46:$L$64,2,0)," ")</f>
        <v>PM/0131/0108/45990160207</v>
      </c>
      <c r="AB500" s="57" t="s">
        <v>139</v>
      </c>
      <c r="AC500" s="132" t="s">
        <v>205</v>
      </c>
    </row>
    <row r="501" spans="2:29" s="28" customFormat="1" ht="57">
      <c r="B501" s="85">
        <v>20241254</v>
      </c>
      <c r="C501" s="53" t="s">
        <v>209</v>
      </c>
      <c r="D501" s="129" t="s">
        <v>165</v>
      </c>
      <c r="E501" s="54" t="s">
        <v>525</v>
      </c>
      <c r="F501" s="129" t="s">
        <v>843</v>
      </c>
      <c r="G501" s="129" t="s">
        <v>156</v>
      </c>
      <c r="H501" s="117">
        <v>80111600</v>
      </c>
      <c r="I501" s="130">
        <v>9</v>
      </c>
      <c r="J501" s="130">
        <v>2</v>
      </c>
      <c r="K501" s="56">
        <v>0</v>
      </c>
      <c r="L501" s="57">
        <v>21420000</v>
      </c>
      <c r="M501" s="129" t="s">
        <v>173</v>
      </c>
      <c r="N501" s="57" t="s">
        <v>114</v>
      </c>
      <c r="O501" s="54" t="s">
        <v>220</v>
      </c>
      <c r="P501" s="131" t="str">
        <f>IFERROR(VLOOKUP(C501,TD!$B$32:$F$36,2,0)," ")</f>
        <v>O230117</v>
      </c>
      <c r="Q501" s="131" t="str">
        <f>IFERROR(VLOOKUP(C501,TD!$B$32:$F$36,3,0)," ")</f>
        <v>4599</v>
      </c>
      <c r="R501" s="131">
        <f>IFERROR(VLOOKUP(C501,TD!$B$32:$F$36,4,0)," ")</f>
        <v>20240207</v>
      </c>
      <c r="S501" s="54" t="s">
        <v>186</v>
      </c>
      <c r="T501" s="131" t="str">
        <f>IFERROR(VLOOKUP(S501,TD!$J$33:$K$43,2,0)," ")</f>
        <v>Infraestructura física, mantenimiento y dotación (Sedes construidas, mantenidas reforzadas)</v>
      </c>
      <c r="U501" s="54" t="str">
        <f t="shared" si="28"/>
        <v>08-Infraestructura física, mantenimiento y dotación (Sedes construidas, mantenidas reforzadas)</v>
      </c>
      <c r="V501" s="54" t="s">
        <v>239</v>
      </c>
      <c r="W501" s="131" t="str">
        <f>IFERROR(VLOOKUP(V501,TD!$N$33:$O$45,2,0)," ")</f>
        <v>Sedes mantenidas</v>
      </c>
      <c r="X501" s="54" t="str">
        <f t="shared" si="29"/>
        <v>016_Sedes mantenidas</v>
      </c>
      <c r="Y501" s="54" t="str">
        <f t="shared" si="30"/>
        <v>08-Infraestructura física, mantenimiento y dotación (Sedes construidas, mantenidas reforzadas) 016_Sedes mantenidas</v>
      </c>
      <c r="Z501" s="131" t="str">
        <f t="shared" si="31"/>
        <v>O23011745992024020708016</v>
      </c>
      <c r="AA501" s="131" t="str">
        <f>IFERROR(VLOOKUP(Y501,TD!$K$46:$L$64,2,0)," ")</f>
        <v>PM/0131/0108/45990160207</v>
      </c>
      <c r="AB501" s="57" t="s">
        <v>139</v>
      </c>
      <c r="AC501" s="132" t="s">
        <v>205</v>
      </c>
    </row>
    <row r="502" spans="2:29" s="28" customFormat="1" ht="99.75">
      <c r="B502" s="85">
        <v>20241255</v>
      </c>
      <c r="C502" s="53" t="s">
        <v>209</v>
      </c>
      <c r="D502" s="129" t="s">
        <v>37</v>
      </c>
      <c r="E502" s="54" t="s">
        <v>408</v>
      </c>
      <c r="F502" s="129" t="s">
        <v>844</v>
      </c>
      <c r="G502" s="129" t="s">
        <v>156</v>
      </c>
      <c r="H502" s="117">
        <v>80111600</v>
      </c>
      <c r="I502" s="130">
        <v>9</v>
      </c>
      <c r="J502" s="130">
        <v>4</v>
      </c>
      <c r="K502" s="56">
        <v>0</v>
      </c>
      <c r="L502" s="57">
        <v>26000000</v>
      </c>
      <c r="M502" s="129" t="s">
        <v>173</v>
      </c>
      <c r="N502" s="57" t="s">
        <v>114</v>
      </c>
      <c r="O502" s="54" t="s">
        <v>213</v>
      </c>
      <c r="P502" s="131" t="str">
        <f>IFERROR(VLOOKUP(C502,TD!$B$32:$F$36,2,0)," ")</f>
        <v>O230117</v>
      </c>
      <c r="Q502" s="131" t="str">
        <f>IFERROR(VLOOKUP(C502,TD!$B$32:$F$36,3,0)," ")</f>
        <v>4599</v>
      </c>
      <c r="R502" s="131">
        <f>IFERROR(VLOOKUP(C502,TD!$B$32:$F$36,4,0)," ")</f>
        <v>20240207</v>
      </c>
      <c r="S502" s="54" t="s">
        <v>194</v>
      </c>
      <c r="T502" s="131" t="str">
        <f>IFERROR(VLOOKUP(S502,TD!$J$33:$K$43,2,0)," ")</f>
        <v>Servicios para la planeación y sistemas de gestión y comunicación estratégica</v>
      </c>
      <c r="U502" s="54" t="str">
        <f t="shared" si="28"/>
        <v>13-Servicios para la planeación y sistemas de gestión y comunicación estratégica</v>
      </c>
      <c r="V502" s="54" t="s">
        <v>242</v>
      </c>
      <c r="W502" s="131" t="str">
        <f>IFERROR(VLOOKUP(V502,TD!$N$33:$O$45,2,0)," ")</f>
        <v>Servicio de Implementación Sistemas de Gestión</v>
      </c>
      <c r="X502" s="54" t="str">
        <f t="shared" si="29"/>
        <v>023_Servicio de Implementación Sistemas de Gestión</v>
      </c>
      <c r="Y502" s="54" t="str">
        <f t="shared" si="30"/>
        <v>13-Servicios para la planeación y sistemas de gestión y comunicación estratégica 023_Servicio de Implementación Sistemas de Gestión</v>
      </c>
      <c r="Z502" s="131" t="str">
        <f t="shared" si="31"/>
        <v>O23011745992024020713023</v>
      </c>
      <c r="AA502" s="131" t="str">
        <f>IFERROR(VLOOKUP(Y502,TD!$K$46:$L$64,2,0)," ")</f>
        <v>PM/0131/0113/45990230207</v>
      </c>
      <c r="AB502" s="57" t="s">
        <v>139</v>
      </c>
      <c r="AC502" s="132" t="s">
        <v>205</v>
      </c>
    </row>
    <row r="503" spans="2:29" s="28" customFormat="1" ht="99.75">
      <c r="B503" s="85">
        <v>20241256</v>
      </c>
      <c r="C503" s="53" t="s">
        <v>209</v>
      </c>
      <c r="D503" s="129" t="s">
        <v>37</v>
      </c>
      <c r="E503" s="54" t="s">
        <v>408</v>
      </c>
      <c r="F503" s="129" t="s">
        <v>845</v>
      </c>
      <c r="G503" s="129" t="s">
        <v>156</v>
      </c>
      <c r="H503" s="117">
        <v>80111600</v>
      </c>
      <c r="I503" s="130">
        <v>9</v>
      </c>
      <c r="J503" s="130">
        <v>4</v>
      </c>
      <c r="K503" s="56">
        <v>0</v>
      </c>
      <c r="L503" s="57">
        <f>61787340-20000000</f>
        <v>41787340</v>
      </c>
      <c r="M503" s="129" t="s">
        <v>173</v>
      </c>
      <c r="N503" s="57" t="s">
        <v>114</v>
      </c>
      <c r="O503" s="54" t="s">
        <v>213</v>
      </c>
      <c r="P503" s="131" t="str">
        <f>IFERROR(VLOOKUP(C503,TD!$B$32:$F$36,2,0)," ")</f>
        <v>O230117</v>
      </c>
      <c r="Q503" s="131" t="str">
        <f>IFERROR(VLOOKUP(C503,TD!$B$32:$F$36,3,0)," ")</f>
        <v>4599</v>
      </c>
      <c r="R503" s="131">
        <f>IFERROR(VLOOKUP(C503,TD!$B$32:$F$36,4,0)," ")</f>
        <v>20240207</v>
      </c>
      <c r="S503" s="54" t="s">
        <v>194</v>
      </c>
      <c r="T503" s="131" t="str">
        <f>IFERROR(VLOOKUP(S503,TD!$J$33:$K$43,2,0)," ")</f>
        <v>Servicios para la planeación y sistemas de gestión y comunicación estratégica</v>
      </c>
      <c r="U503" s="54" t="str">
        <f t="shared" si="28"/>
        <v>13-Servicios para la planeación y sistemas de gestión y comunicación estratégica</v>
      </c>
      <c r="V503" s="54" t="s">
        <v>242</v>
      </c>
      <c r="W503" s="131" t="str">
        <f>IFERROR(VLOOKUP(V503,TD!$N$33:$O$45,2,0)," ")</f>
        <v>Servicio de Implementación Sistemas de Gestión</v>
      </c>
      <c r="X503" s="54" t="str">
        <f t="shared" si="29"/>
        <v>023_Servicio de Implementación Sistemas de Gestión</v>
      </c>
      <c r="Y503" s="54" t="str">
        <f t="shared" si="30"/>
        <v>13-Servicios para la planeación y sistemas de gestión y comunicación estratégica 023_Servicio de Implementación Sistemas de Gestión</v>
      </c>
      <c r="Z503" s="131" t="str">
        <f t="shared" si="31"/>
        <v>O23011745992024020713023</v>
      </c>
      <c r="AA503" s="131" t="str">
        <f>IFERROR(VLOOKUP(Y503,TD!$K$46:$L$64,2,0)," ")</f>
        <v>PM/0131/0113/45990230207</v>
      </c>
      <c r="AB503" s="57" t="s">
        <v>139</v>
      </c>
      <c r="AC503" s="132" t="s">
        <v>206</v>
      </c>
    </row>
    <row r="504" spans="2:29" s="28" customFormat="1" ht="42.75">
      <c r="B504" s="85">
        <v>20241257</v>
      </c>
      <c r="C504" s="53" t="s">
        <v>210</v>
      </c>
      <c r="D504" s="129" t="s">
        <v>170</v>
      </c>
      <c r="E504" s="54" t="s">
        <v>461</v>
      </c>
      <c r="F504" s="129" t="s">
        <v>847</v>
      </c>
      <c r="G504" s="129" t="s">
        <v>110</v>
      </c>
      <c r="H504" s="117" t="s">
        <v>502</v>
      </c>
      <c r="I504" s="130">
        <v>9</v>
      </c>
      <c r="J504" s="130">
        <v>3</v>
      </c>
      <c r="K504" s="56">
        <v>0</v>
      </c>
      <c r="L504" s="57">
        <v>300000000</v>
      </c>
      <c r="M504" s="129" t="s">
        <v>173</v>
      </c>
      <c r="N504" s="57" t="s">
        <v>101</v>
      </c>
      <c r="O504" s="54" t="s">
        <v>223</v>
      </c>
      <c r="P504" s="131" t="str">
        <f>IFERROR(VLOOKUP(C504,TD!$B$32:$F$36,2,0)," ")</f>
        <v>O230117</v>
      </c>
      <c r="Q504" s="131" t="str">
        <f>IFERROR(VLOOKUP(C504,TD!$B$32:$F$36,3,0)," ")</f>
        <v>4503</v>
      </c>
      <c r="R504" s="131">
        <f>IFERROR(VLOOKUP(C504,TD!$B$32:$F$36,4,0)," ")</f>
        <v>20240255</v>
      </c>
      <c r="S504" s="54" t="s">
        <v>190</v>
      </c>
      <c r="T504" s="131" t="str">
        <f>IFERROR(VLOOKUP(S504,TD!$J$33:$K$43,2,0)," ")</f>
        <v>Servicio de dotación y equipamento para el personal operativo</v>
      </c>
      <c r="U504" s="54" t="str">
        <f t="shared" si="28"/>
        <v>10-Servicio de dotación y equipamento para el personal operativo</v>
      </c>
      <c r="V504" s="54" t="s">
        <v>233</v>
      </c>
      <c r="W504" s="131" t="str">
        <f>IFERROR(VLOOKUP(V504,TD!$N$33:$O$45,2,0)," ")</f>
        <v>Servicio de atención a emergencias y desastres</v>
      </c>
      <c r="X504" s="54" t="str">
        <f t="shared" si="29"/>
        <v>004_Servicio de atención a emergencias y desastres</v>
      </c>
      <c r="Y504" s="54" t="str">
        <f t="shared" si="30"/>
        <v>10-Servicio de dotación y equipamento para el personal operativo 004_Servicio de atención a emergencias y desastres</v>
      </c>
      <c r="Z504" s="131" t="str">
        <f t="shared" si="31"/>
        <v>O23011745032024025510004</v>
      </c>
      <c r="AA504" s="131" t="str">
        <f>IFERROR(VLOOKUP(Y504,TD!$K$46:$L$64,2,0)," ")</f>
        <v>PM/0131/0110/45030040255</v>
      </c>
      <c r="AB504" s="57" t="s">
        <v>88</v>
      </c>
      <c r="AC504" s="132" t="s">
        <v>205</v>
      </c>
    </row>
    <row r="505" spans="2:29" s="28" customFormat="1" ht="71.25">
      <c r="B505" s="85">
        <v>20241258</v>
      </c>
      <c r="C505" s="53" t="s">
        <v>210</v>
      </c>
      <c r="D505" s="129" t="s">
        <v>170</v>
      </c>
      <c r="E505" s="54" t="s">
        <v>461</v>
      </c>
      <c r="F505" s="129" t="s">
        <v>848</v>
      </c>
      <c r="G505" s="129" t="s">
        <v>156</v>
      </c>
      <c r="H505" s="117">
        <v>80111600</v>
      </c>
      <c r="I505" s="130">
        <v>9</v>
      </c>
      <c r="J505" s="130">
        <v>5</v>
      </c>
      <c r="K505" s="56">
        <v>0</v>
      </c>
      <c r="L505" s="57">
        <v>35000000</v>
      </c>
      <c r="M505" s="129" t="s">
        <v>173</v>
      </c>
      <c r="N505" s="57" t="s">
        <v>114</v>
      </c>
      <c r="O505" s="54" t="s">
        <v>223</v>
      </c>
      <c r="P505" s="131" t="str">
        <f>IFERROR(VLOOKUP(C505,TD!$B$32:$F$36,2,0)," ")</f>
        <v>O230117</v>
      </c>
      <c r="Q505" s="131" t="str">
        <f>IFERROR(VLOOKUP(C505,TD!$B$32:$F$36,3,0)," ")</f>
        <v>4503</v>
      </c>
      <c r="R505" s="131">
        <f>IFERROR(VLOOKUP(C505,TD!$B$32:$F$36,4,0)," ")</f>
        <v>20240255</v>
      </c>
      <c r="S505" s="54" t="s">
        <v>176</v>
      </c>
      <c r="T505" s="131" t="str">
        <f>IFERROR(VLOOKUP(S505,TD!$J$33:$K$43,2,0)," ")</f>
        <v>Servicio de atención a incidentes y emergencias.</v>
      </c>
      <c r="U505" s="54" t="str">
        <f t="shared" si="28"/>
        <v>04-Servicio de atención a incidentes y emergencias.</v>
      </c>
      <c r="V505" s="54" t="s">
        <v>233</v>
      </c>
      <c r="W505" s="131" t="str">
        <f>IFERROR(VLOOKUP(V505,TD!$N$33:$O$45,2,0)," ")</f>
        <v>Servicio de atención a emergencias y desastres</v>
      </c>
      <c r="X505" s="54" t="str">
        <f t="shared" si="29"/>
        <v>004_Servicio de atención a emergencias y desastres</v>
      </c>
      <c r="Y505" s="54" t="str">
        <f t="shared" si="30"/>
        <v>04-Servicio de atención a incidentes y emergencias. 004_Servicio de atención a emergencias y desastres</v>
      </c>
      <c r="Z505" s="131" t="str">
        <f t="shared" si="31"/>
        <v>O23011745032024025504004</v>
      </c>
      <c r="AA505" s="131" t="str">
        <f>IFERROR(VLOOKUP(Y505,TD!$K$46:$L$64,2,0)," ")</f>
        <v>PM/0131/0104/45030040255</v>
      </c>
      <c r="AB505" s="57" t="s">
        <v>139</v>
      </c>
      <c r="AC505" s="132" t="s">
        <v>205</v>
      </c>
    </row>
    <row r="506" spans="2:29" s="28" customFormat="1" ht="71.25">
      <c r="B506" s="85">
        <v>20241259</v>
      </c>
      <c r="C506" s="53" t="s">
        <v>210</v>
      </c>
      <c r="D506" s="129" t="s">
        <v>167</v>
      </c>
      <c r="E506" s="54" t="s">
        <v>568</v>
      </c>
      <c r="F506" s="129" t="s">
        <v>849</v>
      </c>
      <c r="G506" s="129" t="s">
        <v>156</v>
      </c>
      <c r="H506" s="117" t="s">
        <v>612</v>
      </c>
      <c r="I506" s="130">
        <v>8</v>
      </c>
      <c r="J506" s="130">
        <v>4</v>
      </c>
      <c r="K506" s="56">
        <v>0</v>
      </c>
      <c r="L506" s="57">
        <v>30000000</v>
      </c>
      <c r="M506" s="129" t="s">
        <v>173</v>
      </c>
      <c r="N506" s="57" t="s">
        <v>114</v>
      </c>
      <c r="O506" s="54" t="s">
        <v>228</v>
      </c>
      <c r="P506" s="131" t="str">
        <f>IFERROR(VLOOKUP(C506,TD!$B$32:$F$36,2,0)," ")</f>
        <v>O230117</v>
      </c>
      <c r="Q506" s="131" t="str">
        <f>IFERROR(VLOOKUP(C506,TD!$B$32:$F$36,3,0)," ")</f>
        <v>4503</v>
      </c>
      <c r="R506" s="131">
        <f>IFERROR(VLOOKUP(C506,TD!$B$32:$F$36,4,0)," ")</f>
        <v>20240255</v>
      </c>
      <c r="S506" s="54" t="s">
        <v>186</v>
      </c>
      <c r="T506" s="131" t="str">
        <f>IFERROR(VLOOKUP(S506,TD!$J$33:$K$43,2,0)," ")</f>
        <v>Infraestructura física, mantenimiento y dotación (Sedes construidas, mantenidas reforzadas)</v>
      </c>
      <c r="U506" s="54" t="str">
        <f t="shared" si="28"/>
        <v>08-Infraestructura física, mantenimiento y dotación (Sedes construidas, mantenidas reforzadas)</v>
      </c>
      <c r="V506" s="54" t="s">
        <v>237</v>
      </c>
      <c r="W506" s="131" t="str">
        <f>IFERROR(VLOOKUP(V506,TD!$N$33:$O$45,2,0)," ")</f>
        <v>Estaciones de bomberos adecuadas</v>
      </c>
      <c r="X506" s="54" t="str">
        <f t="shared" si="29"/>
        <v>014_Estaciones de bomberos adecuadas</v>
      </c>
      <c r="Y506" s="54" t="str">
        <f t="shared" si="30"/>
        <v>08-Infraestructura física, mantenimiento y dotación (Sedes construidas, mantenidas reforzadas) 014_Estaciones de bomberos adecuadas</v>
      </c>
      <c r="Z506" s="131" t="str">
        <f t="shared" si="31"/>
        <v>O23011745032024025508014</v>
      </c>
      <c r="AA506" s="131" t="str">
        <f>IFERROR(VLOOKUP(Y506,TD!$K$46:$L$64,2,0)," ")</f>
        <v>PM/0131/0108/45030140255</v>
      </c>
      <c r="AB506" s="57" t="s">
        <v>139</v>
      </c>
      <c r="AC506" s="132" t="s">
        <v>205</v>
      </c>
    </row>
    <row r="507" spans="2:29" s="28" customFormat="1" ht="57">
      <c r="B507" s="85">
        <v>20241260</v>
      </c>
      <c r="C507" s="53" t="s">
        <v>209</v>
      </c>
      <c r="D507" s="129" t="s">
        <v>162</v>
      </c>
      <c r="E507" s="54" t="s">
        <v>364</v>
      </c>
      <c r="F507" s="129" t="s">
        <v>850</v>
      </c>
      <c r="G507" s="129" t="s">
        <v>156</v>
      </c>
      <c r="H507" s="117">
        <v>80111600</v>
      </c>
      <c r="I507" s="130">
        <v>9</v>
      </c>
      <c r="J507" s="130">
        <v>5</v>
      </c>
      <c r="K507" s="56">
        <v>0</v>
      </c>
      <c r="L507" s="57">
        <v>37500000</v>
      </c>
      <c r="M507" s="129" t="s">
        <v>173</v>
      </c>
      <c r="N507" s="57" t="s">
        <v>114</v>
      </c>
      <c r="O507" s="54" t="s">
        <v>221</v>
      </c>
      <c r="P507" s="131" t="str">
        <f>IFERROR(VLOOKUP(C507,TD!$B$32:$F$36,2,0)," ")</f>
        <v>O230117</v>
      </c>
      <c r="Q507" s="131" t="str">
        <f>IFERROR(VLOOKUP(C507,TD!$B$32:$F$36,3,0)," ")</f>
        <v>4599</v>
      </c>
      <c r="R507" s="131">
        <f>IFERROR(VLOOKUP(C507,TD!$B$32:$F$36,4,0)," ")</f>
        <v>20240207</v>
      </c>
      <c r="S507" s="54" t="s">
        <v>194</v>
      </c>
      <c r="T507" s="131" t="str">
        <f>IFERROR(VLOOKUP(S507,TD!$J$33:$K$43,2,0)," ")</f>
        <v>Servicios para la planeación y sistemas de gestión y comunicación estratégica</v>
      </c>
      <c r="U507" s="54" t="str">
        <f t="shared" si="28"/>
        <v>13-Servicios para la planeación y sistemas de gestión y comunicación estratégica</v>
      </c>
      <c r="V507" s="54" t="s">
        <v>243</v>
      </c>
      <c r="W507" s="131" t="str">
        <f>IFERROR(VLOOKUP(V507,TD!$N$33:$O$45,2,0)," ")</f>
        <v>Documentos de planeación</v>
      </c>
      <c r="X507" s="54" t="str">
        <f t="shared" si="29"/>
        <v>019_Documentos de planeación</v>
      </c>
      <c r="Y507" s="54" t="str">
        <f t="shared" si="30"/>
        <v>13-Servicios para la planeación y sistemas de gestión y comunicación estratégica 019_Documentos de planeación</v>
      </c>
      <c r="Z507" s="131" t="str">
        <f t="shared" si="31"/>
        <v>O23011745992024020713019</v>
      </c>
      <c r="AA507" s="131" t="str">
        <f>IFERROR(VLOOKUP(Y507,TD!$K$46:$L$64,2,0)," ")</f>
        <v>PM/0131/0113/45990190207</v>
      </c>
      <c r="AB507" s="57" t="s">
        <v>139</v>
      </c>
      <c r="AC507" s="132" t="s">
        <v>205</v>
      </c>
    </row>
    <row r="508" spans="2:29" s="28" customFormat="1" ht="71.25">
      <c r="B508" s="85">
        <v>20241261</v>
      </c>
      <c r="C508" s="53" t="s">
        <v>209</v>
      </c>
      <c r="D508" s="129" t="s">
        <v>162</v>
      </c>
      <c r="E508" s="54" t="s">
        <v>364</v>
      </c>
      <c r="F508" s="129" t="s">
        <v>851</v>
      </c>
      <c r="G508" s="129" t="s">
        <v>157</v>
      </c>
      <c r="H508" s="117">
        <v>80111600</v>
      </c>
      <c r="I508" s="130">
        <v>9</v>
      </c>
      <c r="J508" s="130">
        <v>5</v>
      </c>
      <c r="K508" s="56">
        <v>0</v>
      </c>
      <c r="L508" s="57">
        <v>18947600</v>
      </c>
      <c r="M508" s="129" t="s">
        <v>173</v>
      </c>
      <c r="N508" s="57" t="s">
        <v>114</v>
      </c>
      <c r="O508" s="54" t="s">
        <v>221</v>
      </c>
      <c r="P508" s="131" t="str">
        <f>IFERROR(VLOOKUP(C508,TD!$B$32:$F$36,2,0)," ")</f>
        <v>O230117</v>
      </c>
      <c r="Q508" s="131" t="str">
        <f>IFERROR(VLOOKUP(C508,TD!$B$32:$F$36,3,0)," ")</f>
        <v>4599</v>
      </c>
      <c r="R508" s="131">
        <f>IFERROR(VLOOKUP(C508,TD!$B$32:$F$36,4,0)," ")</f>
        <v>20240207</v>
      </c>
      <c r="S508" s="54" t="s">
        <v>194</v>
      </c>
      <c r="T508" s="131" t="str">
        <f>IFERROR(VLOOKUP(S508,TD!$J$33:$K$43,2,0)," ")</f>
        <v>Servicios para la planeación y sistemas de gestión y comunicación estratégica</v>
      </c>
      <c r="U508" s="54" t="str">
        <f t="shared" si="28"/>
        <v>13-Servicios para la planeación y sistemas de gestión y comunicación estratégica</v>
      </c>
      <c r="V508" s="54" t="s">
        <v>243</v>
      </c>
      <c r="W508" s="131" t="str">
        <f>IFERROR(VLOOKUP(V508,TD!$N$33:$O$45,2,0)," ")</f>
        <v>Documentos de planeación</v>
      </c>
      <c r="X508" s="54" t="str">
        <f t="shared" si="29"/>
        <v>019_Documentos de planeación</v>
      </c>
      <c r="Y508" s="54" t="str">
        <f t="shared" si="30"/>
        <v>13-Servicios para la planeación y sistemas de gestión y comunicación estratégica 019_Documentos de planeación</v>
      </c>
      <c r="Z508" s="131" t="str">
        <f t="shared" si="31"/>
        <v>O23011745992024020713019</v>
      </c>
      <c r="AA508" s="131" t="str">
        <f>IFERROR(VLOOKUP(Y508,TD!$K$46:$L$64,2,0)," ")</f>
        <v>PM/0131/0113/45990190207</v>
      </c>
      <c r="AB508" s="57" t="s">
        <v>139</v>
      </c>
      <c r="AC508" s="132" t="s">
        <v>205</v>
      </c>
    </row>
    <row r="509" spans="2:29" s="28" customFormat="1" ht="57">
      <c r="B509" s="85">
        <v>20241262</v>
      </c>
      <c r="C509" s="53" t="s">
        <v>209</v>
      </c>
      <c r="D509" s="129" t="s">
        <v>162</v>
      </c>
      <c r="E509" s="54" t="s">
        <v>364</v>
      </c>
      <c r="F509" s="129" t="s">
        <v>852</v>
      </c>
      <c r="G509" s="129" t="s">
        <v>156</v>
      </c>
      <c r="H509" s="117">
        <v>80111600</v>
      </c>
      <c r="I509" s="130">
        <v>9</v>
      </c>
      <c r="J509" s="130">
        <v>5</v>
      </c>
      <c r="K509" s="56">
        <v>0</v>
      </c>
      <c r="L509" s="57">
        <v>25000000</v>
      </c>
      <c r="M509" s="129" t="s">
        <v>173</v>
      </c>
      <c r="N509" s="57" t="s">
        <v>114</v>
      </c>
      <c r="O509" s="54" t="s">
        <v>221</v>
      </c>
      <c r="P509" s="131" t="str">
        <f>IFERROR(VLOOKUP(C509,TD!$B$32:$F$36,2,0)," ")</f>
        <v>O230117</v>
      </c>
      <c r="Q509" s="131" t="str">
        <f>IFERROR(VLOOKUP(C509,TD!$B$32:$F$36,3,0)," ")</f>
        <v>4599</v>
      </c>
      <c r="R509" s="131">
        <f>IFERROR(VLOOKUP(C509,TD!$B$32:$F$36,4,0)," ")</f>
        <v>20240207</v>
      </c>
      <c r="S509" s="54" t="s">
        <v>194</v>
      </c>
      <c r="T509" s="131" t="str">
        <f>IFERROR(VLOOKUP(S509,TD!$J$33:$K$43,2,0)," ")</f>
        <v>Servicios para la planeación y sistemas de gestión y comunicación estratégica</v>
      </c>
      <c r="U509" s="54" t="str">
        <f t="shared" si="28"/>
        <v>13-Servicios para la planeación y sistemas de gestión y comunicación estratégica</v>
      </c>
      <c r="V509" s="54" t="s">
        <v>243</v>
      </c>
      <c r="W509" s="131" t="str">
        <f>IFERROR(VLOOKUP(V509,TD!$N$33:$O$45,2,0)," ")</f>
        <v>Documentos de planeación</v>
      </c>
      <c r="X509" s="54" t="str">
        <f t="shared" si="29"/>
        <v>019_Documentos de planeación</v>
      </c>
      <c r="Y509" s="54" t="str">
        <f t="shared" si="30"/>
        <v>13-Servicios para la planeación y sistemas de gestión y comunicación estratégica 019_Documentos de planeación</v>
      </c>
      <c r="Z509" s="131" t="str">
        <f t="shared" si="31"/>
        <v>O23011745992024020713019</v>
      </c>
      <c r="AA509" s="131" t="str">
        <f>IFERROR(VLOOKUP(Y509,TD!$K$46:$L$64,2,0)," ")</f>
        <v>PM/0131/0113/45990190207</v>
      </c>
      <c r="AB509" s="57" t="s">
        <v>139</v>
      </c>
      <c r="AC509" s="132" t="s">
        <v>205</v>
      </c>
    </row>
    <row r="510" spans="2:29" s="28" customFormat="1" ht="99.75">
      <c r="B510" s="85">
        <v>20241263</v>
      </c>
      <c r="C510" s="53" t="s">
        <v>209</v>
      </c>
      <c r="D510" s="129" t="s">
        <v>37</v>
      </c>
      <c r="E510" s="54" t="s">
        <v>408</v>
      </c>
      <c r="F510" s="129" t="s">
        <v>846</v>
      </c>
      <c r="G510" s="129" t="s">
        <v>156</v>
      </c>
      <c r="H510" s="117">
        <v>80111600</v>
      </c>
      <c r="I510" s="130">
        <v>10</v>
      </c>
      <c r="J510" s="130">
        <v>3</v>
      </c>
      <c r="K510" s="56">
        <v>0</v>
      </c>
      <c r="L510" s="57">
        <f>30000000-9000000</f>
        <v>21000000</v>
      </c>
      <c r="M510" s="129" t="s">
        <v>173</v>
      </c>
      <c r="N510" s="57" t="s">
        <v>114</v>
      </c>
      <c r="O510" s="54" t="s">
        <v>213</v>
      </c>
      <c r="P510" s="131" t="str">
        <f>IFERROR(VLOOKUP(C510,TD!$B$32:$F$36,2,0)," ")</f>
        <v>O230117</v>
      </c>
      <c r="Q510" s="131" t="str">
        <f>IFERROR(VLOOKUP(C510,TD!$B$32:$F$36,3,0)," ")</f>
        <v>4599</v>
      </c>
      <c r="R510" s="131">
        <f>IFERROR(VLOOKUP(C510,TD!$B$32:$F$36,4,0)," ")</f>
        <v>20240207</v>
      </c>
      <c r="S510" s="54" t="s">
        <v>194</v>
      </c>
      <c r="T510" s="131" t="str">
        <f>IFERROR(VLOOKUP(S510,TD!$J$33:$K$43,2,0)," ")</f>
        <v>Servicios para la planeación y sistemas de gestión y comunicación estratégica</v>
      </c>
      <c r="U510" s="54" t="str">
        <f t="shared" si="28"/>
        <v>13-Servicios para la planeación y sistemas de gestión y comunicación estratégica</v>
      </c>
      <c r="V510" s="54" t="s">
        <v>242</v>
      </c>
      <c r="W510" s="131" t="str">
        <f>IFERROR(VLOOKUP(V510,TD!$N$33:$O$45,2,0)," ")</f>
        <v>Servicio de Implementación Sistemas de Gestión</v>
      </c>
      <c r="X510" s="54" t="str">
        <f t="shared" si="29"/>
        <v>023_Servicio de Implementación Sistemas de Gestión</v>
      </c>
      <c r="Y510" s="54" t="str">
        <f t="shared" si="30"/>
        <v>13-Servicios para la planeación y sistemas de gestión y comunicación estratégica 023_Servicio de Implementación Sistemas de Gestión</v>
      </c>
      <c r="Z510" s="131" t="str">
        <f t="shared" si="31"/>
        <v>O23011745992024020713023</v>
      </c>
      <c r="AA510" s="131" t="str">
        <f>IFERROR(VLOOKUP(Y510,TD!$K$46:$L$64,2,0)," ")</f>
        <v>PM/0131/0113/45990230207</v>
      </c>
      <c r="AB510" s="57" t="s">
        <v>139</v>
      </c>
      <c r="AC510" s="132" t="s">
        <v>205</v>
      </c>
    </row>
    <row r="511" spans="2:29" s="28" customFormat="1">
      <c r="B511" s="85"/>
      <c r="C511" s="53"/>
      <c r="D511" s="129"/>
      <c r="E511" s="54"/>
      <c r="F511" s="129"/>
      <c r="G511" s="129"/>
      <c r="H511" s="55"/>
      <c r="I511" s="133"/>
      <c r="J511" s="130"/>
      <c r="K511" s="56"/>
      <c r="L511" s="57"/>
      <c r="M511" s="129"/>
      <c r="N511" s="57"/>
      <c r="O511" s="54"/>
      <c r="P511" s="131" t="str">
        <f>IFERROR(VLOOKUP(C511,TD!$B$32:$F$36,2,0)," ")</f>
        <v xml:space="preserve"> </v>
      </c>
      <c r="Q511" s="131" t="str">
        <f>IFERROR(VLOOKUP(C511,TD!$B$32:$F$36,3,0)," ")</f>
        <v xml:space="preserve"> </v>
      </c>
      <c r="R511" s="131" t="str">
        <f>IFERROR(VLOOKUP(C511,TD!$B$32:$F$36,4,0)," ")</f>
        <v xml:space="preserve"> </v>
      </c>
      <c r="S511" s="54"/>
      <c r="T511" s="131" t="str">
        <f>IFERROR(VLOOKUP(S511,TD!$J$33:$K$43,2,0)," ")</f>
        <v xml:space="preserve"> </v>
      </c>
      <c r="U511" s="54" t="str">
        <f t="shared" si="28"/>
        <v xml:space="preserve">- </v>
      </c>
      <c r="V511" s="54"/>
      <c r="W511" s="131" t="str">
        <f>IFERROR(VLOOKUP(V511,TD!$N$33:$O$45,2,0)," ")</f>
        <v xml:space="preserve"> </v>
      </c>
      <c r="X511" s="54" t="str">
        <f t="shared" si="29"/>
        <v xml:space="preserve">_ </v>
      </c>
      <c r="Y511" s="54" t="str">
        <f t="shared" si="30"/>
        <v xml:space="preserve">-  _ </v>
      </c>
      <c r="Z511" s="131" t="str">
        <f t="shared" si="31"/>
        <v xml:space="preserve">   </v>
      </c>
      <c r="AA511" s="131" t="str">
        <f>IFERROR(VLOOKUP(Y511,TD!$K$46:$L$64,2,0)," ")</f>
        <v xml:space="preserve"> </v>
      </c>
      <c r="AB511" s="57"/>
      <c r="AC511" s="132"/>
    </row>
    <row r="512" spans="2:29" s="28" customFormat="1">
      <c r="B512" s="85"/>
      <c r="C512" s="53"/>
      <c r="D512" s="129"/>
      <c r="E512" s="54"/>
      <c r="F512" s="129"/>
      <c r="G512" s="129"/>
      <c r="H512" s="55"/>
      <c r="I512" s="133"/>
      <c r="J512" s="130"/>
      <c r="K512" s="56"/>
      <c r="L512" s="57"/>
      <c r="M512" s="129"/>
      <c r="N512" s="57"/>
      <c r="O512" s="54"/>
      <c r="P512" s="131" t="str">
        <f>IFERROR(VLOOKUP(C512,TD!$B$32:$F$36,2,0)," ")</f>
        <v xml:space="preserve"> </v>
      </c>
      <c r="Q512" s="131" t="str">
        <f>IFERROR(VLOOKUP(C512,TD!$B$32:$F$36,3,0)," ")</f>
        <v xml:space="preserve"> </v>
      </c>
      <c r="R512" s="131" t="str">
        <f>IFERROR(VLOOKUP(C512,TD!$B$32:$F$36,4,0)," ")</f>
        <v xml:space="preserve"> </v>
      </c>
      <c r="S512" s="54"/>
      <c r="T512" s="131" t="str">
        <f>IFERROR(VLOOKUP(S512,TD!$J$33:$K$43,2,0)," ")</f>
        <v xml:space="preserve"> </v>
      </c>
      <c r="U512" s="54" t="str">
        <f t="shared" si="28"/>
        <v xml:space="preserve">- </v>
      </c>
      <c r="V512" s="54"/>
      <c r="W512" s="131" t="str">
        <f>IFERROR(VLOOKUP(V512,TD!$N$33:$O$45,2,0)," ")</f>
        <v xml:space="preserve"> </v>
      </c>
      <c r="X512" s="54" t="str">
        <f t="shared" si="29"/>
        <v xml:space="preserve">_ </v>
      </c>
      <c r="Y512" s="54" t="str">
        <f t="shared" si="30"/>
        <v xml:space="preserve">-  _ </v>
      </c>
      <c r="Z512" s="131" t="str">
        <f t="shared" si="31"/>
        <v xml:space="preserve">   </v>
      </c>
      <c r="AA512" s="131" t="str">
        <f>IFERROR(VLOOKUP(Y512,TD!$K$46:$L$64,2,0)," ")</f>
        <v xml:space="preserve"> </v>
      </c>
      <c r="AB512" s="57"/>
      <c r="AC512" s="132"/>
    </row>
    <row r="513" spans="2:29" s="28" customFormat="1">
      <c r="B513" s="85"/>
      <c r="C513" s="53"/>
      <c r="D513" s="129"/>
      <c r="E513" s="54"/>
      <c r="F513" s="129"/>
      <c r="G513" s="129"/>
      <c r="H513" s="55"/>
      <c r="I513" s="133"/>
      <c r="J513" s="130"/>
      <c r="K513" s="56"/>
      <c r="L513" s="57"/>
      <c r="M513" s="129"/>
      <c r="N513" s="57"/>
      <c r="O513" s="54"/>
      <c r="P513" s="131" t="str">
        <f>IFERROR(VLOOKUP(C513,TD!$B$32:$F$36,2,0)," ")</f>
        <v xml:space="preserve"> </v>
      </c>
      <c r="Q513" s="131" t="str">
        <f>IFERROR(VLOOKUP(C513,TD!$B$32:$F$36,3,0)," ")</f>
        <v xml:space="preserve"> </v>
      </c>
      <c r="R513" s="131" t="str">
        <f>IFERROR(VLOOKUP(C513,TD!$B$32:$F$36,4,0)," ")</f>
        <v xml:space="preserve"> </v>
      </c>
      <c r="S513" s="54"/>
      <c r="T513" s="131" t="str">
        <f>IFERROR(VLOOKUP(S513,TD!$J$33:$K$43,2,0)," ")</f>
        <v xml:space="preserve"> </v>
      </c>
      <c r="U513" s="54" t="str">
        <f t="shared" si="28"/>
        <v xml:space="preserve">- </v>
      </c>
      <c r="V513" s="54"/>
      <c r="W513" s="131" t="str">
        <f>IFERROR(VLOOKUP(V513,TD!$N$33:$O$45,2,0)," ")</f>
        <v xml:space="preserve"> </v>
      </c>
      <c r="X513" s="54" t="str">
        <f t="shared" si="29"/>
        <v xml:space="preserve">_ </v>
      </c>
      <c r="Y513" s="54" t="str">
        <f t="shared" si="30"/>
        <v xml:space="preserve">-  _ </v>
      </c>
      <c r="Z513" s="131" t="str">
        <f t="shared" si="31"/>
        <v xml:space="preserve">   </v>
      </c>
      <c r="AA513" s="131" t="str">
        <f>IFERROR(VLOOKUP(Y513,TD!$K$46:$L$64,2,0)," ")</f>
        <v xml:space="preserve"> </v>
      </c>
      <c r="AB513" s="57"/>
      <c r="AC513" s="132"/>
    </row>
    <row r="514" spans="2:29" s="28" customFormat="1">
      <c r="B514" s="85"/>
      <c r="C514" s="53"/>
      <c r="D514" s="129"/>
      <c r="E514" s="54"/>
      <c r="F514" s="129"/>
      <c r="G514" s="129"/>
      <c r="H514" s="55"/>
      <c r="I514" s="133"/>
      <c r="J514" s="130"/>
      <c r="K514" s="56"/>
      <c r="L514" s="57"/>
      <c r="M514" s="129"/>
      <c r="N514" s="57"/>
      <c r="O514" s="54"/>
      <c r="P514" s="131" t="str">
        <f>IFERROR(VLOOKUP(C514,TD!$B$32:$F$36,2,0)," ")</f>
        <v xml:space="preserve"> </v>
      </c>
      <c r="Q514" s="131" t="str">
        <f>IFERROR(VLOOKUP(C514,TD!$B$32:$F$36,3,0)," ")</f>
        <v xml:space="preserve"> </v>
      </c>
      <c r="R514" s="131" t="str">
        <f>IFERROR(VLOOKUP(C514,TD!$B$32:$F$36,4,0)," ")</f>
        <v xml:space="preserve"> </v>
      </c>
      <c r="S514" s="54"/>
      <c r="T514" s="131" t="str">
        <f>IFERROR(VLOOKUP(S514,TD!$J$33:$K$43,2,0)," ")</f>
        <v xml:space="preserve"> </v>
      </c>
      <c r="U514" s="54" t="str">
        <f t="shared" si="28"/>
        <v xml:space="preserve">- </v>
      </c>
      <c r="V514" s="54"/>
      <c r="W514" s="131" t="str">
        <f>IFERROR(VLOOKUP(V514,TD!$N$33:$O$45,2,0)," ")</f>
        <v xml:space="preserve"> </v>
      </c>
      <c r="X514" s="54" t="str">
        <f t="shared" si="29"/>
        <v xml:space="preserve">_ </v>
      </c>
      <c r="Y514" s="54" t="str">
        <f t="shared" si="30"/>
        <v xml:space="preserve">-  _ </v>
      </c>
      <c r="Z514" s="131" t="str">
        <f t="shared" si="31"/>
        <v xml:space="preserve">   </v>
      </c>
      <c r="AA514" s="131" t="str">
        <f>IFERROR(VLOOKUP(Y514,TD!$K$46:$L$64,2,0)," ")</f>
        <v xml:space="preserve"> </v>
      </c>
      <c r="AB514" s="57"/>
      <c r="AC514" s="132"/>
    </row>
    <row r="515" spans="2:29" s="28" customFormat="1">
      <c r="B515" s="85"/>
      <c r="C515" s="53"/>
      <c r="D515" s="129"/>
      <c r="E515" s="54"/>
      <c r="F515" s="129"/>
      <c r="G515" s="129"/>
      <c r="H515" s="55"/>
      <c r="I515" s="133"/>
      <c r="J515" s="130"/>
      <c r="K515" s="56"/>
      <c r="L515" s="57"/>
      <c r="M515" s="129"/>
      <c r="N515" s="57"/>
      <c r="O515" s="54"/>
      <c r="P515" s="131" t="str">
        <f>IFERROR(VLOOKUP(C515,TD!$B$32:$F$36,2,0)," ")</f>
        <v xml:space="preserve"> </v>
      </c>
      <c r="Q515" s="131" t="str">
        <f>IFERROR(VLOOKUP(C515,TD!$B$32:$F$36,3,0)," ")</f>
        <v xml:space="preserve"> </v>
      </c>
      <c r="R515" s="131" t="str">
        <f>IFERROR(VLOOKUP(C515,TD!$B$32:$F$36,4,0)," ")</f>
        <v xml:space="preserve"> </v>
      </c>
      <c r="S515" s="54"/>
      <c r="T515" s="131" t="str">
        <f>IFERROR(VLOOKUP(S515,TD!$J$33:$K$43,2,0)," ")</f>
        <v xml:space="preserve"> </v>
      </c>
      <c r="U515" s="54" t="str">
        <f t="shared" si="28"/>
        <v xml:space="preserve">- </v>
      </c>
      <c r="V515" s="54"/>
      <c r="W515" s="131" t="str">
        <f>IFERROR(VLOOKUP(V515,TD!$N$33:$O$45,2,0)," ")</f>
        <v xml:space="preserve"> </v>
      </c>
      <c r="X515" s="54" t="str">
        <f t="shared" si="29"/>
        <v xml:space="preserve">_ </v>
      </c>
      <c r="Y515" s="54" t="str">
        <f t="shared" si="30"/>
        <v xml:space="preserve">-  _ </v>
      </c>
      <c r="Z515" s="131" t="str">
        <f t="shared" si="31"/>
        <v xml:space="preserve">   </v>
      </c>
      <c r="AA515" s="131" t="str">
        <f>IFERROR(VLOOKUP(Y515,TD!$K$46:$L$64,2,0)," ")</f>
        <v xml:space="preserve"> </v>
      </c>
      <c r="AB515" s="57"/>
      <c r="AC515" s="132"/>
    </row>
    <row r="516" spans="2:29" s="28" customFormat="1">
      <c r="B516" s="85"/>
      <c r="C516" s="53"/>
      <c r="D516" s="129"/>
      <c r="E516" s="54"/>
      <c r="F516" s="129"/>
      <c r="G516" s="129"/>
      <c r="H516" s="55"/>
      <c r="I516" s="133"/>
      <c r="J516" s="130"/>
      <c r="K516" s="56"/>
      <c r="L516" s="57"/>
      <c r="M516" s="129"/>
      <c r="N516" s="57"/>
      <c r="O516" s="54"/>
      <c r="P516" s="131" t="str">
        <f>IFERROR(VLOOKUP(C516,TD!$B$32:$F$36,2,0)," ")</f>
        <v xml:space="preserve"> </v>
      </c>
      <c r="Q516" s="131" t="str">
        <f>IFERROR(VLOOKUP(C516,TD!$B$32:$F$36,3,0)," ")</f>
        <v xml:space="preserve"> </v>
      </c>
      <c r="R516" s="131" t="str">
        <f>IFERROR(VLOOKUP(C516,TD!$B$32:$F$36,4,0)," ")</f>
        <v xml:space="preserve"> </v>
      </c>
      <c r="S516" s="54"/>
      <c r="T516" s="131" t="str">
        <f>IFERROR(VLOOKUP(S516,TD!$J$33:$K$43,2,0)," ")</f>
        <v xml:space="preserve"> </v>
      </c>
      <c r="U516" s="54" t="str">
        <f t="shared" si="28"/>
        <v xml:space="preserve">- </v>
      </c>
      <c r="V516" s="54"/>
      <c r="W516" s="131" t="str">
        <f>IFERROR(VLOOKUP(V516,TD!$N$33:$O$45,2,0)," ")</f>
        <v xml:space="preserve"> </v>
      </c>
      <c r="X516" s="54" t="str">
        <f t="shared" si="29"/>
        <v xml:space="preserve">_ </v>
      </c>
      <c r="Y516" s="54" t="str">
        <f t="shared" si="30"/>
        <v xml:space="preserve">-  _ </v>
      </c>
      <c r="Z516" s="131" t="str">
        <f t="shared" si="31"/>
        <v xml:space="preserve">   </v>
      </c>
      <c r="AA516" s="131" t="str">
        <f>IFERROR(VLOOKUP(Y516,TD!$K$46:$L$64,2,0)," ")</f>
        <v xml:space="preserve"> </v>
      </c>
      <c r="AB516" s="57"/>
      <c r="AC516" s="132"/>
    </row>
    <row r="517" spans="2:29" s="28" customFormat="1">
      <c r="B517" s="85"/>
      <c r="C517" s="53"/>
      <c r="D517" s="129"/>
      <c r="E517" s="54"/>
      <c r="F517" s="129"/>
      <c r="G517" s="129"/>
      <c r="H517" s="55"/>
      <c r="I517" s="133"/>
      <c r="J517" s="130"/>
      <c r="K517" s="56"/>
      <c r="L517" s="57"/>
      <c r="M517" s="129"/>
      <c r="N517" s="57"/>
      <c r="O517" s="54"/>
      <c r="P517" s="131" t="str">
        <f>IFERROR(VLOOKUP(C517,TD!$B$32:$F$36,2,0)," ")</f>
        <v xml:space="preserve"> </v>
      </c>
      <c r="Q517" s="131" t="str">
        <f>IFERROR(VLOOKUP(C517,TD!$B$32:$F$36,3,0)," ")</f>
        <v xml:space="preserve"> </v>
      </c>
      <c r="R517" s="131" t="str">
        <f>IFERROR(VLOOKUP(C517,TD!$B$32:$F$36,4,0)," ")</f>
        <v xml:space="preserve"> </v>
      </c>
      <c r="S517" s="54"/>
      <c r="T517" s="131" t="str">
        <f>IFERROR(VLOOKUP(S517,TD!$J$33:$K$43,2,0)," ")</f>
        <v xml:space="preserve"> </v>
      </c>
      <c r="U517" s="54" t="str">
        <f t="shared" si="28"/>
        <v xml:space="preserve">- </v>
      </c>
      <c r="V517" s="54"/>
      <c r="W517" s="131" t="str">
        <f>IFERROR(VLOOKUP(V517,TD!$N$33:$O$45,2,0)," ")</f>
        <v xml:space="preserve"> </v>
      </c>
      <c r="X517" s="54" t="str">
        <f t="shared" si="29"/>
        <v xml:space="preserve">_ </v>
      </c>
      <c r="Y517" s="54" t="str">
        <f t="shared" si="30"/>
        <v xml:space="preserve">-  _ </v>
      </c>
      <c r="Z517" s="131" t="str">
        <f t="shared" si="31"/>
        <v xml:space="preserve">   </v>
      </c>
      <c r="AA517" s="131" t="str">
        <f>IFERROR(VLOOKUP(Y517,TD!$K$46:$L$64,2,0)," ")</f>
        <v xml:space="preserve"> </v>
      </c>
      <c r="AB517" s="57"/>
      <c r="AC517" s="132"/>
    </row>
    <row r="518" spans="2:29" s="28" customFormat="1">
      <c r="B518" s="85"/>
      <c r="C518" s="53"/>
      <c r="D518" s="129"/>
      <c r="E518" s="54"/>
      <c r="F518" s="129"/>
      <c r="G518" s="129"/>
      <c r="H518" s="55"/>
      <c r="I518" s="133"/>
      <c r="J518" s="130"/>
      <c r="K518" s="56"/>
      <c r="L518" s="57"/>
      <c r="M518" s="129"/>
      <c r="N518" s="57"/>
      <c r="O518" s="54"/>
      <c r="P518" s="131" t="str">
        <f>IFERROR(VLOOKUP(C518,TD!$B$32:$F$36,2,0)," ")</f>
        <v xml:space="preserve"> </v>
      </c>
      <c r="Q518" s="131" t="str">
        <f>IFERROR(VLOOKUP(C518,TD!$B$32:$F$36,3,0)," ")</f>
        <v xml:space="preserve"> </v>
      </c>
      <c r="R518" s="131" t="str">
        <f>IFERROR(VLOOKUP(C518,TD!$B$32:$F$36,4,0)," ")</f>
        <v xml:space="preserve"> </v>
      </c>
      <c r="S518" s="54"/>
      <c r="T518" s="131" t="str">
        <f>IFERROR(VLOOKUP(S518,TD!$J$33:$K$43,2,0)," ")</f>
        <v xml:space="preserve"> </v>
      </c>
      <c r="U518" s="54" t="str">
        <f t="shared" si="28"/>
        <v xml:space="preserve">- </v>
      </c>
      <c r="V518" s="54"/>
      <c r="W518" s="131" t="str">
        <f>IFERROR(VLOOKUP(V518,TD!$N$33:$O$45,2,0)," ")</f>
        <v xml:space="preserve"> </v>
      </c>
      <c r="X518" s="54" t="str">
        <f t="shared" si="29"/>
        <v xml:space="preserve">_ </v>
      </c>
      <c r="Y518" s="54" t="str">
        <f t="shared" si="30"/>
        <v xml:space="preserve">-  _ </v>
      </c>
      <c r="Z518" s="131" t="str">
        <f t="shared" si="31"/>
        <v xml:space="preserve">   </v>
      </c>
      <c r="AA518" s="131" t="str">
        <f>IFERROR(VLOOKUP(Y518,TD!$K$46:$L$64,2,0)," ")</f>
        <v xml:space="preserve"> </v>
      </c>
      <c r="AB518" s="57"/>
      <c r="AC518" s="132"/>
    </row>
    <row r="519" spans="2:29" s="28" customFormat="1">
      <c r="B519" s="85"/>
      <c r="C519" s="53"/>
      <c r="D519" s="129"/>
      <c r="E519" s="54"/>
      <c r="F519" s="129"/>
      <c r="G519" s="129"/>
      <c r="H519" s="55"/>
      <c r="I519" s="133"/>
      <c r="J519" s="130"/>
      <c r="K519" s="56"/>
      <c r="L519" s="57"/>
      <c r="M519" s="129"/>
      <c r="N519" s="57"/>
      <c r="O519" s="54"/>
      <c r="P519" s="131" t="str">
        <f>IFERROR(VLOOKUP(C519,TD!$B$32:$F$36,2,0)," ")</f>
        <v xml:space="preserve"> </v>
      </c>
      <c r="Q519" s="131" t="str">
        <f>IFERROR(VLOOKUP(C519,TD!$B$32:$F$36,3,0)," ")</f>
        <v xml:space="preserve"> </v>
      </c>
      <c r="R519" s="131" t="str">
        <f>IFERROR(VLOOKUP(C519,TD!$B$32:$F$36,4,0)," ")</f>
        <v xml:space="preserve"> </v>
      </c>
      <c r="S519" s="54"/>
      <c r="T519" s="131" t="str">
        <f>IFERROR(VLOOKUP(S519,TD!$J$33:$K$43,2,0)," ")</f>
        <v xml:space="preserve"> </v>
      </c>
      <c r="U519" s="54" t="str">
        <f t="shared" si="28"/>
        <v xml:space="preserve">- </v>
      </c>
      <c r="V519" s="54"/>
      <c r="W519" s="131" t="str">
        <f>IFERROR(VLOOKUP(V519,TD!$N$33:$O$45,2,0)," ")</f>
        <v xml:space="preserve"> </v>
      </c>
      <c r="X519" s="54" t="str">
        <f t="shared" si="29"/>
        <v xml:space="preserve">_ </v>
      </c>
      <c r="Y519" s="54" t="str">
        <f t="shared" si="30"/>
        <v xml:space="preserve">-  _ </v>
      </c>
      <c r="Z519" s="131" t="str">
        <f t="shared" si="31"/>
        <v xml:space="preserve">   </v>
      </c>
      <c r="AA519" s="131" t="str">
        <f>IFERROR(VLOOKUP(Y519,TD!$K$46:$L$64,2,0)," ")</f>
        <v xml:space="preserve"> </v>
      </c>
      <c r="AB519" s="57"/>
      <c r="AC519" s="132"/>
    </row>
    <row r="520" spans="2:29" s="28" customFormat="1">
      <c r="B520" s="85"/>
      <c r="C520" s="53"/>
      <c r="D520" s="129"/>
      <c r="E520" s="54"/>
      <c r="F520" s="129"/>
      <c r="G520" s="129"/>
      <c r="H520" s="55"/>
      <c r="I520" s="133"/>
      <c r="J520" s="130"/>
      <c r="K520" s="56"/>
      <c r="L520" s="57"/>
      <c r="M520" s="129"/>
      <c r="N520" s="57"/>
      <c r="O520" s="54"/>
      <c r="P520" s="131" t="str">
        <f>IFERROR(VLOOKUP(C520,TD!$B$32:$F$36,2,0)," ")</f>
        <v xml:space="preserve"> </v>
      </c>
      <c r="Q520" s="131" t="str">
        <f>IFERROR(VLOOKUP(C520,TD!$B$32:$F$36,3,0)," ")</f>
        <v xml:space="preserve"> </v>
      </c>
      <c r="R520" s="131" t="str">
        <f>IFERROR(VLOOKUP(C520,TD!$B$32:$F$36,4,0)," ")</f>
        <v xml:space="preserve"> </v>
      </c>
      <c r="S520" s="54"/>
      <c r="T520" s="131" t="str">
        <f>IFERROR(VLOOKUP(S520,TD!$J$33:$K$43,2,0)," ")</f>
        <v xml:space="preserve"> </v>
      </c>
      <c r="U520" s="54" t="str">
        <f t="shared" si="28"/>
        <v xml:space="preserve">- </v>
      </c>
      <c r="V520" s="54"/>
      <c r="W520" s="131" t="str">
        <f>IFERROR(VLOOKUP(V520,TD!$N$33:$O$45,2,0)," ")</f>
        <v xml:space="preserve"> </v>
      </c>
      <c r="X520" s="54" t="str">
        <f t="shared" si="29"/>
        <v xml:space="preserve">_ </v>
      </c>
      <c r="Y520" s="54" t="str">
        <f t="shared" si="30"/>
        <v xml:space="preserve">-  _ </v>
      </c>
      <c r="Z520" s="131" t="str">
        <f t="shared" si="31"/>
        <v xml:space="preserve">   </v>
      </c>
      <c r="AA520" s="131" t="str">
        <f>IFERROR(VLOOKUP(Y520,TD!$K$46:$L$64,2,0)," ")</f>
        <v xml:space="preserve"> </v>
      </c>
      <c r="AB520" s="57"/>
      <c r="AC520" s="132"/>
    </row>
    <row r="521" spans="2:29" s="28" customFormat="1">
      <c r="B521" s="85"/>
      <c r="C521" s="53"/>
      <c r="D521" s="129"/>
      <c r="E521" s="54"/>
      <c r="F521" s="129"/>
      <c r="G521" s="129"/>
      <c r="H521" s="55"/>
      <c r="I521" s="133"/>
      <c r="J521" s="130"/>
      <c r="K521" s="56"/>
      <c r="L521" s="57"/>
      <c r="M521" s="129"/>
      <c r="N521" s="57"/>
      <c r="O521" s="54"/>
      <c r="P521" s="131" t="str">
        <f>IFERROR(VLOOKUP(C521,TD!$B$32:$F$36,2,0)," ")</f>
        <v xml:space="preserve"> </v>
      </c>
      <c r="Q521" s="131" t="str">
        <f>IFERROR(VLOOKUP(C521,TD!$B$32:$F$36,3,0)," ")</f>
        <v xml:space="preserve"> </v>
      </c>
      <c r="R521" s="131" t="str">
        <f>IFERROR(VLOOKUP(C521,TD!$B$32:$F$36,4,0)," ")</f>
        <v xml:space="preserve"> </v>
      </c>
      <c r="S521" s="54"/>
      <c r="T521" s="131" t="str">
        <f>IFERROR(VLOOKUP(S521,TD!$J$33:$K$43,2,0)," ")</f>
        <v xml:space="preserve"> </v>
      </c>
      <c r="U521" s="54" t="str">
        <f t="shared" si="28"/>
        <v xml:space="preserve">- </v>
      </c>
      <c r="V521" s="54"/>
      <c r="W521" s="131" t="str">
        <f>IFERROR(VLOOKUP(V521,TD!$N$33:$O$45,2,0)," ")</f>
        <v xml:space="preserve"> </v>
      </c>
      <c r="X521" s="54" t="str">
        <f t="shared" si="29"/>
        <v xml:space="preserve">_ </v>
      </c>
      <c r="Y521" s="54" t="str">
        <f t="shared" si="30"/>
        <v xml:space="preserve">-  _ </v>
      </c>
      <c r="Z521" s="131" t="str">
        <f t="shared" si="31"/>
        <v xml:space="preserve">   </v>
      </c>
      <c r="AA521" s="131" t="str">
        <f>IFERROR(VLOOKUP(Y521,TD!$K$46:$L$64,2,0)," ")</f>
        <v xml:space="preserve"> </v>
      </c>
      <c r="AB521" s="57"/>
      <c r="AC521" s="132"/>
    </row>
    <row r="522" spans="2:29" s="28" customFormat="1">
      <c r="B522" s="85"/>
      <c r="C522" s="53"/>
      <c r="D522" s="129"/>
      <c r="E522" s="54"/>
      <c r="F522" s="129"/>
      <c r="G522" s="129"/>
      <c r="H522" s="55"/>
      <c r="I522" s="133"/>
      <c r="J522" s="130"/>
      <c r="K522" s="56"/>
      <c r="L522" s="57"/>
      <c r="M522" s="129"/>
      <c r="N522" s="57"/>
      <c r="O522" s="54"/>
      <c r="P522" s="131" t="str">
        <f>IFERROR(VLOOKUP(C522,TD!$B$32:$F$36,2,0)," ")</f>
        <v xml:space="preserve"> </v>
      </c>
      <c r="Q522" s="131" t="str">
        <f>IFERROR(VLOOKUP(C522,TD!$B$32:$F$36,3,0)," ")</f>
        <v xml:space="preserve"> </v>
      </c>
      <c r="R522" s="131" t="str">
        <f>IFERROR(VLOOKUP(C522,TD!$B$32:$F$36,4,0)," ")</f>
        <v xml:space="preserve"> </v>
      </c>
      <c r="S522" s="54"/>
      <c r="T522" s="131" t="str">
        <f>IFERROR(VLOOKUP(S522,TD!$J$33:$K$43,2,0)," ")</f>
        <v xml:space="preserve"> </v>
      </c>
      <c r="U522" s="54" t="str">
        <f t="shared" si="28"/>
        <v xml:space="preserve">- </v>
      </c>
      <c r="V522" s="54"/>
      <c r="W522" s="131" t="str">
        <f>IFERROR(VLOOKUP(V522,TD!$N$33:$O$45,2,0)," ")</f>
        <v xml:space="preserve"> </v>
      </c>
      <c r="X522" s="54" t="str">
        <f t="shared" si="29"/>
        <v xml:space="preserve">_ </v>
      </c>
      <c r="Y522" s="54" t="str">
        <f t="shared" si="30"/>
        <v xml:space="preserve">-  _ </v>
      </c>
      <c r="Z522" s="131" t="str">
        <f t="shared" si="31"/>
        <v xml:space="preserve">   </v>
      </c>
      <c r="AA522" s="131" t="str">
        <f>IFERROR(VLOOKUP(Y522,TD!$K$46:$L$64,2,0)," ")</f>
        <v xml:space="preserve"> </v>
      </c>
      <c r="AB522" s="57"/>
      <c r="AC522" s="132"/>
    </row>
    <row r="523" spans="2:29" s="28" customFormat="1">
      <c r="B523" s="85"/>
      <c r="C523" s="53"/>
      <c r="D523" s="129"/>
      <c r="E523" s="54"/>
      <c r="F523" s="129"/>
      <c r="G523" s="129"/>
      <c r="H523" s="55"/>
      <c r="I523" s="133"/>
      <c r="J523" s="130"/>
      <c r="K523" s="56"/>
      <c r="L523" s="57"/>
      <c r="M523" s="129"/>
      <c r="N523" s="57"/>
      <c r="O523" s="54"/>
      <c r="P523" s="131" t="str">
        <f>IFERROR(VLOOKUP(C523,TD!$B$32:$F$36,2,0)," ")</f>
        <v xml:space="preserve"> </v>
      </c>
      <c r="Q523" s="131" t="str">
        <f>IFERROR(VLOOKUP(C523,TD!$B$32:$F$36,3,0)," ")</f>
        <v xml:space="preserve"> </v>
      </c>
      <c r="R523" s="131" t="str">
        <f>IFERROR(VLOOKUP(C523,TD!$B$32:$F$36,4,0)," ")</f>
        <v xml:space="preserve"> </v>
      </c>
      <c r="S523" s="54"/>
      <c r="T523" s="131" t="str">
        <f>IFERROR(VLOOKUP(S523,TD!$J$33:$K$43,2,0)," ")</f>
        <v xml:space="preserve"> </v>
      </c>
      <c r="U523" s="54" t="str">
        <f t="shared" ref="U523:U586" si="32">CONCATENATE(S523,"-",T523)</f>
        <v xml:space="preserve">- </v>
      </c>
      <c r="V523" s="54"/>
      <c r="W523" s="131" t="str">
        <f>IFERROR(VLOOKUP(V523,TD!$N$33:$O$45,2,0)," ")</f>
        <v xml:space="preserve"> </v>
      </c>
      <c r="X523" s="54" t="str">
        <f t="shared" ref="X523:X586" si="33">CONCATENATE(V523,"_",W523)</f>
        <v xml:space="preserve">_ </v>
      </c>
      <c r="Y523" s="54" t="str">
        <f t="shared" ref="Y523:Y586" si="34">CONCATENATE(U523," ",X523)</f>
        <v xml:space="preserve">-  _ </v>
      </c>
      <c r="Z523" s="131" t="str">
        <f t="shared" ref="Z523:Z586" si="35">CONCATENATE(P523,Q523,R523,S523,V523)</f>
        <v xml:space="preserve">   </v>
      </c>
      <c r="AA523" s="131" t="str">
        <f>IFERROR(VLOOKUP(Y523,TD!$K$46:$L$64,2,0)," ")</f>
        <v xml:space="preserve"> </v>
      </c>
      <c r="AB523" s="57"/>
      <c r="AC523" s="132"/>
    </row>
    <row r="524" spans="2:29" s="28" customFormat="1">
      <c r="B524" s="85"/>
      <c r="C524" s="53"/>
      <c r="D524" s="129"/>
      <c r="E524" s="54"/>
      <c r="F524" s="129"/>
      <c r="G524" s="129"/>
      <c r="H524" s="55"/>
      <c r="I524" s="133"/>
      <c r="J524" s="130"/>
      <c r="K524" s="56"/>
      <c r="L524" s="57"/>
      <c r="M524" s="129"/>
      <c r="N524" s="57"/>
      <c r="O524" s="54"/>
      <c r="P524" s="131" t="str">
        <f>IFERROR(VLOOKUP(C524,TD!$B$32:$F$36,2,0)," ")</f>
        <v xml:space="preserve"> </v>
      </c>
      <c r="Q524" s="131" t="str">
        <f>IFERROR(VLOOKUP(C524,TD!$B$32:$F$36,3,0)," ")</f>
        <v xml:space="preserve"> </v>
      </c>
      <c r="R524" s="131" t="str">
        <f>IFERROR(VLOOKUP(C524,TD!$B$32:$F$36,4,0)," ")</f>
        <v xml:space="preserve"> </v>
      </c>
      <c r="S524" s="54"/>
      <c r="T524" s="131" t="str">
        <f>IFERROR(VLOOKUP(S524,TD!$J$33:$K$43,2,0)," ")</f>
        <v xml:space="preserve"> </v>
      </c>
      <c r="U524" s="54" t="str">
        <f t="shared" si="32"/>
        <v xml:space="preserve">- </v>
      </c>
      <c r="V524" s="54"/>
      <c r="W524" s="131" t="str">
        <f>IFERROR(VLOOKUP(V524,TD!$N$33:$O$45,2,0)," ")</f>
        <v xml:space="preserve"> </v>
      </c>
      <c r="X524" s="54" t="str">
        <f t="shared" si="33"/>
        <v xml:space="preserve">_ </v>
      </c>
      <c r="Y524" s="54" t="str">
        <f t="shared" si="34"/>
        <v xml:space="preserve">-  _ </v>
      </c>
      <c r="Z524" s="131" t="str">
        <f t="shared" si="35"/>
        <v xml:space="preserve">   </v>
      </c>
      <c r="AA524" s="131" t="str">
        <f>IFERROR(VLOOKUP(Y524,TD!$K$46:$L$64,2,0)," ")</f>
        <v xml:space="preserve"> </v>
      </c>
      <c r="AB524" s="57"/>
      <c r="AC524" s="132"/>
    </row>
    <row r="525" spans="2:29" s="28" customFormat="1">
      <c r="B525" s="85"/>
      <c r="C525" s="53"/>
      <c r="D525" s="129"/>
      <c r="E525" s="54"/>
      <c r="F525" s="129"/>
      <c r="G525" s="129"/>
      <c r="H525" s="55"/>
      <c r="I525" s="133"/>
      <c r="J525" s="130"/>
      <c r="K525" s="56"/>
      <c r="L525" s="57"/>
      <c r="M525" s="129"/>
      <c r="N525" s="57"/>
      <c r="O525" s="54"/>
      <c r="P525" s="131" t="str">
        <f>IFERROR(VLOOKUP(C525,TD!$B$32:$F$36,2,0)," ")</f>
        <v xml:space="preserve"> </v>
      </c>
      <c r="Q525" s="131" t="str">
        <f>IFERROR(VLOOKUP(C525,TD!$B$32:$F$36,3,0)," ")</f>
        <v xml:space="preserve"> </v>
      </c>
      <c r="R525" s="131" t="str">
        <f>IFERROR(VLOOKUP(C525,TD!$B$32:$F$36,4,0)," ")</f>
        <v xml:space="preserve"> </v>
      </c>
      <c r="S525" s="54"/>
      <c r="T525" s="131" t="str">
        <f>IFERROR(VLOOKUP(S525,TD!$J$33:$K$43,2,0)," ")</f>
        <v xml:space="preserve"> </v>
      </c>
      <c r="U525" s="54" t="str">
        <f t="shared" si="32"/>
        <v xml:space="preserve">- </v>
      </c>
      <c r="V525" s="54"/>
      <c r="W525" s="131" t="str">
        <f>IFERROR(VLOOKUP(V525,TD!$N$33:$O$45,2,0)," ")</f>
        <v xml:space="preserve"> </v>
      </c>
      <c r="X525" s="54" t="str">
        <f t="shared" si="33"/>
        <v xml:space="preserve">_ </v>
      </c>
      <c r="Y525" s="54" t="str">
        <f t="shared" si="34"/>
        <v xml:space="preserve">-  _ </v>
      </c>
      <c r="Z525" s="131" t="str">
        <f t="shared" si="35"/>
        <v xml:space="preserve">   </v>
      </c>
      <c r="AA525" s="131" t="str">
        <f>IFERROR(VLOOKUP(Y525,TD!$K$46:$L$64,2,0)," ")</f>
        <v xml:space="preserve"> </v>
      </c>
      <c r="AB525" s="57"/>
      <c r="AC525" s="132"/>
    </row>
    <row r="526" spans="2:29" s="28" customFormat="1">
      <c r="B526" s="85"/>
      <c r="C526" s="53"/>
      <c r="D526" s="129"/>
      <c r="E526" s="54"/>
      <c r="F526" s="129"/>
      <c r="G526" s="129"/>
      <c r="H526" s="55"/>
      <c r="I526" s="133"/>
      <c r="J526" s="130"/>
      <c r="K526" s="56"/>
      <c r="L526" s="57"/>
      <c r="M526" s="129"/>
      <c r="N526" s="57"/>
      <c r="O526" s="54"/>
      <c r="P526" s="131" t="str">
        <f>IFERROR(VLOOKUP(C526,TD!$B$32:$F$36,2,0)," ")</f>
        <v xml:space="preserve"> </v>
      </c>
      <c r="Q526" s="131" t="str">
        <f>IFERROR(VLOOKUP(C526,TD!$B$32:$F$36,3,0)," ")</f>
        <v xml:space="preserve"> </v>
      </c>
      <c r="R526" s="131" t="str">
        <f>IFERROR(VLOOKUP(C526,TD!$B$32:$F$36,4,0)," ")</f>
        <v xml:space="preserve"> </v>
      </c>
      <c r="S526" s="54"/>
      <c r="T526" s="131" t="str">
        <f>IFERROR(VLOOKUP(S526,TD!$J$33:$K$43,2,0)," ")</f>
        <v xml:space="preserve"> </v>
      </c>
      <c r="U526" s="54" t="str">
        <f t="shared" si="32"/>
        <v xml:space="preserve">- </v>
      </c>
      <c r="V526" s="54"/>
      <c r="W526" s="131" t="str">
        <f>IFERROR(VLOOKUP(V526,TD!$N$33:$O$45,2,0)," ")</f>
        <v xml:space="preserve"> </v>
      </c>
      <c r="X526" s="54" t="str">
        <f t="shared" si="33"/>
        <v xml:space="preserve">_ </v>
      </c>
      <c r="Y526" s="54" t="str">
        <f t="shared" si="34"/>
        <v xml:space="preserve">-  _ </v>
      </c>
      <c r="Z526" s="131" t="str">
        <f t="shared" si="35"/>
        <v xml:space="preserve">   </v>
      </c>
      <c r="AA526" s="131" t="str">
        <f>IFERROR(VLOOKUP(Y526,TD!$K$46:$L$64,2,0)," ")</f>
        <v xml:space="preserve"> </v>
      </c>
      <c r="AB526" s="57"/>
      <c r="AC526" s="132"/>
    </row>
    <row r="527" spans="2:29" s="28" customFormat="1">
      <c r="B527" s="85"/>
      <c r="C527" s="53"/>
      <c r="D527" s="129"/>
      <c r="E527" s="54"/>
      <c r="F527" s="129"/>
      <c r="G527" s="129"/>
      <c r="H527" s="55"/>
      <c r="I527" s="133"/>
      <c r="J527" s="130"/>
      <c r="K527" s="56"/>
      <c r="L527" s="57"/>
      <c r="M527" s="129"/>
      <c r="N527" s="57"/>
      <c r="O527" s="54"/>
      <c r="P527" s="131" t="str">
        <f>IFERROR(VLOOKUP(C527,TD!$B$32:$F$36,2,0)," ")</f>
        <v xml:space="preserve"> </v>
      </c>
      <c r="Q527" s="131" t="str">
        <f>IFERROR(VLOOKUP(C527,TD!$B$32:$F$36,3,0)," ")</f>
        <v xml:space="preserve"> </v>
      </c>
      <c r="R527" s="131" t="str">
        <f>IFERROR(VLOOKUP(C527,TD!$B$32:$F$36,4,0)," ")</f>
        <v xml:space="preserve"> </v>
      </c>
      <c r="S527" s="54"/>
      <c r="T527" s="131" t="str">
        <f>IFERROR(VLOOKUP(S527,TD!$J$33:$K$43,2,0)," ")</f>
        <v xml:space="preserve"> </v>
      </c>
      <c r="U527" s="54" t="str">
        <f t="shared" si="32"/>
        <v xml:space="preserve">- </v>
      </c>
      <c r="V527" s="54"/>
      <c r="W527" s="131" t="str">
        <f>IFERROR(VLOOKUP(V527,TD!$N$33:$O$45,2,0)," ")</f>
        <v xml:space="preserve"> </v>
      </c>
      <c r="X527" s="54" t="str">
        <f t="shared" si="33"/>
        <v xml:space="preserve">_ </v>
      </c>
      <c r="Y527" s="54" t="str">
        <f t="shared" si="34"/>
        <v xml:space="preserve">-  _ </v>
      </c>
      <c r="Z527" s="131" t="str">
        <f t="shared" si="35"/>
        <v xml:space="preserve">   </v>
      </c>
      <c r="AA527" s="131" t="str">
        <f>IFERROR(VLOOKUP(Y527,TD!$K$46:$L$64,2,0)," ")</f>
        <v xml:space="preserve"> </v>
      </c>
      <c r="AB527" s="57"/>
      <c r="AC527" s="132"/>
    </row>
    <row r="528" spans="2:29" s="28" customFormat="1">
      <c r="B528" s="85"/>
      <c r="C528" s="53"/>
      <c r="D528" s="129"/>
      <c r="E528" s="54"/>
      <c r="F528" s="129"/>
      <c r="G528" s="129"/>
      <c r="H528" s="55"/>
      <c r="I528" s="133"/>
      <c r="J528" s="130"/>
      <c r="K528" s="56"/>
      <c r="L528" s="57"/>
      <c r="M528" s="129"/>
      <c r="N528" s="57"/>
      <c r="O528" s="54"/>
      <c r="P528" s="131" t="str">
        <f>IFERROR(VLOOKUP(C528,TD!$B$32:$F$36,2,0)," ")</f>
        <v xml:space="preserve"> </v>
      </c>
      <c r="Q528" s="131" t="str">
        <f>IFERROR(VLOOKUP(C528,TD!$B$32:$F$36,3,0)," ")</f>
        <v xml:space="preserve"> </v>
      </c>
      <c r="R528" s="131" t="str">
        <f>IFERROR(VLOOKUP(C528,TD!$B$32:$F$36,4,0)," ")</f>
        <v xml:space="preserve"> </v>
      </c>
      <c r="S528" s="54"/>
      <c r="T528" s="131" t="str">
        <f>IFERROR(VLOOKUP(S528,TD!$J$33:$K$43,2,0)," ")</f>
        <v xml:space="preserve"> </v>
      </c>
      <c r="U528" s="54" t="str">
        <f t="shared" si="32"/>
        <v xml:space="preserve">- </v>
      </c>
      <c r="V528" s="54"/>
      <c r="W528" s="131" t="str">
        <f>IFERROR(VLOOKUP(V528,TD!$N$33:$O$45,2,0)," ")</f>
        <v xml:space="preserve"> </v>
      </c>
      <c r="X528" s="54" t="str">
        <f t="shared" si="33"/>
        <v xml:space="preserve">_ </v>
      </c>
      <c r="Y528" s="54" t="str">
        <f t="shared" si="34"/>
        <v xml:space="preserve">-  _ </v>
      </c>
      <c r="Z528" s="131" t="str">
        <f t="shared" si="35"/>
        <v xml:space="preserve">   </v>
      </c>
      <c r="AA528" s="131" t="str">
        <f>IFERROR(VLOOKUP(Y528,TD!$K$46:$L$64,2,0)," ")</f>
        <v xml:space="preserve"> </v>
      </c>
      <c r="AB528" s="57"/>
      <c r="AC528" s="132"/>
    </row>
    <row r="529" spans="2:29" s="28" customFormat="1">
      <c r="B529" s="85"/>
      <c r="C529" s="53"/>
      <c r="D529" s="129"/>
      <c r="E529" s="54"/>
      <c r="F529" s="129"/>
      <c r="G529" s="129"/>
      <c r="H529" s="55"/>
      <c r="I529" s="133"/>
      <c r="J529" s="130"/>
      <c r="K529" s="56"/>
      <c r="L529" s="57"/>
      <c r="M529" s="129"/>
      <c r="N529" s="57"/>
      <c r="O529" s="54"/>
      <c r="P529" s="131" t="str">
        <f>IFERROR(VLOOKUP(C529,TD!$B$32:$F$36,2,0)," ")</f>
        <v xml:space="preserve"> </v>
      </c>
      <c r="Q529" s="131" t="str">
        <f>IFERROR(VLOOKUP(C529,TD!$B$32:$F$36,3,0)," ")</f>
        <v xml:space="preserve"> </v>
      </c>
      <c r="R529" s="131" t="str">
        <f>IFERROR(VLOOKUP(C529,TD!$B$32:$F$36,4,0)," ")</f>
        <v xml:space="preserve"> </v>
      </c>
      <c r="S529" s="54"/>
      <c r="T529" s="131" t="str">
        <f>IFERROR(VLOOKUP(S529,TD!$J$33:$K$43,2,0)," ")</f>
        <v xml:space="preserve"> </v>
      </c>
      <c r="U529" s="54" t="str">
        <f t="shared" si="32"/>
        <v xml:space="preserve">- </v>
      </c>
      <c r="V529" s="54"/>
      <c r="W529" s="131" t="str">
        <f>IFERROR(VLOOKUP(V529,TD!$N$33:$O$45,2,0)," ")</f>
        <v xml:space="preserve"> </v>
      </c>
      <c r="X529" s="54" t="str">
        <f t="shared" si="33"/>
        <v xml:space="preserve">_ </v>
      </c>
      <c r="Y529" s="54" t="str">
        <f t="shared" si="34"/>
        <v xml:space="preserve">-  _ </v>
      </c>
      <c r="Z529" s="131" t="str">
        <f t="shared" si="35"/>
        <v xml:space="preserve">   </v>
      </c>
      <c r="AA529" s="131" t="str">
        <f>IFERROR(VLOOKUP(Y529,TD!$K$46:$L$64,2,0)," ")</f>
        <v xml:space="preserve"> </v>
      </c>
      <c r="AB529" s="57"/>
      <c r="AC529" s="132"/>
    </row>
    <row r="530" spans="2:29" s="28" customFormat="1">
      <c r="B530" s="85"/>
      <c r="C530" s="53"/>
      <c r="D530" s="129"/>
      <c r="E530" s="54"/>
      <c r="F530" s="129"/>
      <c r="G530" s="129"/>
      <c r="H530" s="55"/>
      <c r="I530" s="133"/>
      <c r="J530" s="130"/>
      <c r="K530" s="56"/>
      <c r="L530" s="57"/>
      <c r="M530" s="129"/>
      <c r="N530" s="57"/>
      <c r="O530" s="54"/>
      <c r="P530" s="131" t="str">
        <f>IFERROR(VLOOKUP(C530,TD!$B$32:$F$36,2,0)," ")</f>
        <v xml:space="preserve"> </v>
      </c>
      <c r="Q530" s="131" t="str">
        <f>IFERROR(VLOOKUP(C530,TD!$B$32:$F$36,3,0)," ")</f>
        <v xml:space="preserve"> </v>
      </c>
      <c r="R530" s="131" t="str">
        <f>IFERROR(VLOOKUP(C530,TD!$B$32:$F$36,4,0)," ")</f>
        <v xml:space="preserve"> </v>
      </c>
      <c r="S530" s="54"/>
      <c r="T530" s="131" t="str">
        <f>IFERROR(VLOOKUP(S530,TD!$J$33:$K$43,2,0)," ")</f>
        <v xml:space="preserve"> </v>
      </c>
      <c r="U530" s="54" t="str">
        <f t="shared" si="32"/>
        <v xml:space="preserve">- </v>
      </c>
      <c r="V530" s="54"/>
      <c r="W530" s="131" t="str">
        <f>IFERROR(VLOOKUP(V530,TD!$N$33:$O$45,2,0)," ")</f>
        <v xml:space="preserve"> </v>
      </c>
      <c r="X530" s="54" t="str">
        <f t="shared" si="33"/>
        <v xml:space="preserve">_ </v>
      </c>
      <c r="Y530" s="54" t="str">
        <f t="shared" si="34"/>
        <v xml:space="preserve">-  _ </v>
      </c>
      <c r="Z530" s="131" t="str">
        <f t="shared" si="35"/>
        <v xml:space="preserve">   </v>
      </c>
      <c r="AA530" s="131" t="str">
        <f>IFERROR(VLOOKUP(Y530,TD!$K$46:$L$64,2,0)," ")</f>
        <v xml:space="preserve"> </v>
      </c>
      <c r="AB530" s="57"/>
      <c r="AC530" s="132"/>
    </row>
    <row r="531" spans="2:29" s="28" customFormat="1">
      <c r="B531" s="85"/>
      <c r="C531" s="53"/>
      <c r="D531" s="129"/>
      <c r="E531" s="54"/>
      <c r="F531" s="129"/>
      <c r="G531" s="129"/>
      <c r="H531" s="55"/>
      <c r="I531" s="133"/>
      <c r="J531" s="130"/>
      <c r="K531" s="56"/>
      <c r="L531" s="57"/>
      <c r="M531" s="129"/>
      <c r="N531" s="57"/>
      <c r="O531" s="54"/>
      <c r="P531" s="131" t="str">
        <f>IFERROR(VLOOKUP(C531,TD!$B$32:$F$36,2,0)," ")</f>
        <v xml:space="preserve"> </v>
      </c>
      <c r="Q531" s="131" t="str">
        <f>IFERROR(VLOOKUP(C531,TD!$B$32:$F$36,3,0)," ")</f>
        <v xml:space="preserve"> </v>
      </c>
      <c r="R531" s="131" t="str">
        <f>IFERROR(VLOOKUP(C531,TD!$B$32:$F$36,4,0)," ")</f>
        <v xml:space="preserve"> </v>
      </c>
      <c r="S531" s="54"/>
      <c r="T531" s="131" t="str">
        <f>IFERROR(VLOOKUP(S531,TD!$J$33:$K$43,2,0)," ")</f>
        <v xml:space="preserve"> </v>
      </c>
      <c r="U531" s="54" t="str">
        <f t="shared" si="32"/>
        <v xml:space="preserve">- </v>
      </c>
      <c r="V531" s="54"/>
      <c r="W531" s="131" t="str">
        <f>IFERROR(VLOOKUP(V531,TD!$N$33:$O$45,2,0)," ")</f>
        <v xml:space="preserve"> </v>
      </c>
      <c r="X531" s="54" t="str">
        <f t="shared" si="33"/>
        <v xml:space="preserve">_ </v>
      </c>
      <c r="Y531" s="54" t="str">
        <f t="shared" si="34"/>
        <v xml:space="preserve">-  _ </v>
      </c>
      <c r="Z531" s="131" t="str">
        <f t="shared" si="35"/>
        <v xml:space="preserve">   </v>
      </c>
      <c r="AA531" s="131" t="str">
        <f>IFERROR(VLOOKUP(Y531,TD!$K$46:$L$64,2,0)," ")</f>
        <v xml:space="preserve"> </v>
      </c>
      <c r="AB531" s="57"/>
      <c r="AC531" s="132"/>
    </row>
    <row r="532" spans="2:29" s="28" customFormat="1">
      <c r="B532" s="85"/>
      <c r="C532" s="53"/>
      <c r="D532" s="129"/>
      <c r="E532" s="54"/>
      <c r="F532" s="129"/>
      <c r="G532" s="129"/>
      <c r="H532" s="55"/>
      <c r="I532" s="133"/>
      <c r="J532" s="130"/>
      <c r="K532" s="56"/>
      <c r="L532" s="57"/>
      <c r="M532" s="129"/>
      <c r="N532" s="57"/>
      <c r="O532" s="54"/>
      <c r="P532" s="131" t="str">
        <f>IFERROR(VLOOKUP(C532,TD!$B$32:$F$36,2,0)," ")</f>
        <v xml:space="preserve"> </v>
      </c>
      <c r="Q532" s="131" t="str">
        <f>IFERROR(VLOOKUP(C532,TD!$B$32:$F$36,3,0)," ")</f>
        <v xml:space="preserve"> </v>
      </c>
      <c r="R532" s="131" t="str">
        <f>IFERROR(VLOOKUP(C532,TD!$B$32:$F$36,4,0)," ")</f>
        <v xml:space="preserve"> </v>
      </c>
      <c r="S532" s="54"/>
      <c r="T532" s="131" t="str">
        <f>IFERROR(VLOOKUP(S532,TD!$J$33:$K$43,2,0)," ")</f>
        <v xml:space="preserve"> </v>
      </c>
      <c r="U532" s="54" t="str">
        <f t="shared" si="32"/>
        <v xml:space="preserve">- </v>
      </c>
      <c r="V532" s="54"/>
      <c r="W532" s="131" t="str">
        <f>IFERROR(VLOOKUP(V532,TD!$N$33:$O$45,2,0)," ")</f>
        <v xml:space="preserve"> </v>
      </c>
      <c r="X532" s="54" t="str">
        <f t="shared" si="33"/>
        <v xml:space="preserve">_ </v>
      </c>
      <c r="Y532" s="54" t="str">
        <f t="shared" si="34"/>
        <v xml:space="preserve">-  _ </v>
      </c>
      <c r="Z532" s="131" t="str">
        <f t="shared" si="35"/>
        <v xml:space="preserve">   </v>
      </c>
      <c r="AA532" s="131" t="str">
        <f>IFERROR(VLOOKUP(Y532,TD!$K$46:$L$64,2,0)," ")</f>
        <v xml:space="preserve"> </v>
      </c>
      <c r="AB532" s="57"/>
      <c r="AC532" s="132"/>
    </row>
    <row r="533" spans="2:29" s="28" customFormat="1">
      <c r="B533" s="85"/>
      <c r="C533" s="53"/>
      <c r="D533" s="129"/>
      <c r="E533" s="54"/>
      <c r="F533" s="129"/>
      <c r="G533" s="129"/>
      <c r="H533" s="55"/>
      <c r="I533" s="133"/>
      <c r="J533" s="130"/>
      <c r="K533" s="56"/>
      <c r="L533" s="57"/>
      <c r="M533" s="129"/>
      <c r="N533" s="57"/>
      <c r="O533" s="54"/>
      <c r="P533" s="131" t="str">
        <f>IFERROR(VLOOKUP(C533,TD!$B$32:$F$36,2,0)," ")</f>
        <v xml:space="preserve"> </v>
      </c>
      <c r="Q533" s="131" t="str">
        <f>IFERROR(VLOOKUP(C533,TD!$B$32:$F$36,3,0)," ")</f>
        <v xml:space="preserve"> </v>
      </c>
      <c r="R533" s="131" t="str">
        <f>IFERROR(VLOOKUP(C533,TD!$B$32:$F$36,4,0)," ")</f>
        <v xml:space="preserve"> </v>
      </c>
      <c r="S533" s="54"/>
      <c r="T533" s="131" t="str">
        <f>IFERROR(VLOOKUP(S533,TD!$J$33:$K$43,2,0)," ")</f>
        <v xml:space="preserve"> </v>
      </c>
      <c r="U533" s="54" t="str">
        <f t="shared" si="32"/>
        <v xml:space="preserve">- </v>
      </c>
      <c r="V533" s="54"/>
      <c r="W533" s="131" t="str">
        <f>IFERROR(VLOOKUP(V533,TD!$N$33:$O$45,2,0)," ")</f>
        <v xml:space="preserve"> </v>
      </c>
      <c r="X533" s="54" t="str">
        <f t="shared" si="33"/>
        <v xml:space="preserve">_ </v>
      </c>
      <c r="Y533" s="54" t="str">
        <f t="shared" si="34"/>
        <v xml:space="preserve">-  _ </v>
      </c>
      <c r="Z533" s="131" t="str">
        <f t="shared" si="35"/>
        <v xml:space="preserve">   </v>
      </c>
      <c r="AA533" s="131" t="str">
        <f>IFERROR(VLOOKUP(Y533,TD!$K$46:$L$64,2,0)," ")</f>
        <v xml:space="preserve"> </v>
      </c>
      <c r="AB533" s="57"/>
      <c r="AC533" s="132"/>
    </row>
    <row r="534" spans="2:29" s="28" customFormat="1">
      <c r="B534" s="85"/>
      <c r="C534" s="53"/>
      <c r="D534" s="129"/>
      <c r="E534" s="54"/>
      <c r="F534" s="129"/>
      <c r="G534" s="129"/>
      <c r="H534" s="55"/>
      <c r="I534" s="133"/>
      <c r="J534" s="130"/>
      <c r="K534" s="56"/>
      <c r="L534" s="57"/>
      <c r="M534" s="129"/>
      <c r="N534" s="57"/>
      <c r="O534" s="54"/>
      <c r="P534" s="131" t="str">
        <f>IFERROR(VLOOKUP(C534,TD!$B$32:$F$36,2,0)," ")</f>
        <v xml:space="preserve"> </v>
      </c>
      <c r="Q534" s="131" t="str">
        <f>IFERROR(VLOOKUP(C534,TD!$B$32:$F$36,3,0)," ")</f>
        <v xml:space="preserve"> </v>
      </c>
      <c r="R534" s="131" t="str">
        <f>IFERROR(VLOOKUP(C534,TD!$B$32:$F$36,4,0)," ")</f>
        <v xml:space="preserve"> </v>
      </c>
      <c r="S534" s="54"/>
      <c r="T534" s="131" t="str">
        <f>IFERROR(VLOOKUP(S534,TD!$J$33:$K$43,2,0)," ")</f>
        <v xml:space="preserve"> </v>
      </c>
      <c r="U534" s="54" t="str">
        <f t="shared" si="32"/>
        <v xml:space="preserve">- </v>
      </c>
      <c r="V534" s="54"/>
      <c r="W534" s="131" t="str">
        <f>IFERROR(VLOOKUP(V534,TD!$N$33:$O$45,2,0)," ")</f>
        <v xml:space="preserve"> </v>
      </c>
      <c r="X534" s="54" t="str">
        <f t="shared" si="33"/>
        <v xml:space="preserve">_ </v>
      </c>
      <c r="Y534" s="54" t="str">
        <f t="shared" si="34"/>
        <v xml:space="preserve">-  _ </v>
      </c>
      <c r="Z534" s="131" t="str">
        <f t="shared" si="35"/>
        <v xml:space="preserve">   </v>
      </c>
      <c r="AA534" s="131" t="str">
        <f>IFERROR(VLOOKUP(Y534,TD!$K$46:$L$64,2,0)," ")</f>
        <v xml:space="preserve"> </v>
      </c>
      <c r="AB534" s="57"/>
      <c r="AC534" s="132"/>
    </row>
    <row r="535" spans="2:29" s="28" customFormat="1">
      <c r="B535" s="85"/>
      <c r="C535" s="53"/>
      <c r="D535" s="129"/>
      <c r="E535" s="54"/>
      <c r="F535" s="129"/>
      <c r="G535" s="129"/>
      <c r="H535" s="55"/>
      <c r="I535" s="133"/>
      <c r="J535" s="130"/>
      <c r="K535" s="56"/>
      <c r="L535" s="57"/>
      <c r="M535" s="129"/>
      <c r="N535" s="57"/>
      <c r="O535" s="54"/>
      <c r="P535" s="131" t="str">
        <f>IFERROR(VLOOKUP(C535,TD!$B$32:$F$36,2,0)," ")</f>
        <v xml:space="preserve"> </v>
      </c>
      <c r="Q535" s="131" t="str">
        <f>IFERROR(VLOOKUP(C535,TD!$B$32:$F$36,3,0)," ")</f>
        <v xml:space="preserve"> </v>
      </c>
      <c r="R535" s="131" t="str">
        <f>IFERROR(VLOOKUP(C535,TD!$B$32:$F$36,4,0)," ")</f>
        <v xml:space="preserve"> </v>
      </c>
      <c r="S535" s="54"/>
      <c r="T535" s="131" t="str">
        <f>IFERROR(VLOOKUP(S535,TD!$J$33:$K$43,2,0)," ")</f>
        <v xml:space="preserve"> </v>
      </c>
      <c r="U535" s="54" t="str">
        <f t="shared" si="32"/>
        <v xml:space="preserve">- </v>
      </c>
      <c r="V535" s="54"/>
      <c r="W535" s="131" t="str">
        <f>IFERROR(VLOOKUP(V535,TD!$N$33:$O$45,2,0)," ")</f>
        <v xml:space="preserve"> </v>
      </c>
      <c r="X535" s="54" t="str">
        <f t="shared" si="33"/>
        <v xml:space="preserve">_ </v>
      </c>
      <c r="Y535" s="54" t="str">
        <f t="shared" si="34"/>
        <v xml:space="preserve">-  _ </v>
      </c>
      <c r="Z535" s="131" t="str">
        <f t="shared" si="35"/>
        <v xml:space="preserve">   </v>
      </c>
      <c r="AA535" s="131" t="str">
        <f>IFERROR(VLOOKUP(Y535,TD!$K$46:$L$64,2,0)," ")</f>
        <v xml:space="preserve"> </v>
      </c>
      <c r="AB535" s="57"/>
      <c r="AC535" s="132"/>
    </row>
    <row r="536" spans="2:29" s="28" customFormat="1">
      <c r="B536" s="85"/>
      <c r="C536" s="53"/>
      <c r="D536" s="129"/>
      <c r="E536" s="54"/>
      <c r="F536" s="129"/>
      <c r="G536" s="129"/>
      <c r="H536" s="55"/>
      <c r="I536" s="133"/>
      <c r="J536" s="130"/>
      <c r="K536" s="56"/>
      <c r="L536" s="57"/>
      <c r="M536" s="129"/>
      <c r="N536" s="57"/>
      <c r="O536" s="54"/>
      <c r="P536" s="131" t="str">
        <f>IFERROR(VLOOKUP(C536,TD!$B$32:$F$36,2,0)," ")</f>
        <v xml:space="preserve"> </v>
      </c>
      <c r="Q536" s="131" t="str">
        <f>IFERROR(VLOOKUP(C536,TD!$B$32:$F$36,3,0)," ")</f>
        <v xml:space="preserve"> </v>
      </c>
      <c r="R536" s="131" t="str">
        <f>IFERROR(VLOOKUP(C536,TD!$B$32:$F$36,4,0)," ")</f>
        <v xml:space="preserve"> </v>
      </c>
      <c r="S536" s="54"/>
      <c r="T536" s="131" t="str">
        <f>IFERROR(VLOOKUP(S536,TD!$J$33:$K$43,2,0)," ")</f>
        <v xml:space="preserve"> </v>
      </c>
      <c r="U536" s="54" t="str">
        <f t="shared" si="32"/>
        <v xml:space="preserve">- </v>
      </c>
      <c r="V536" s="54"/>
      <c r="W536" s="131" t="str">
        <f>IFERROR(VLOOKUP(V536,TD!$N$33:$O$45,2,0)," ")</f>
        <v xml:space="preserve"> </v>
      </c>
      <c r="X536" s="54" t="str">
        <f t="shared" si="33"/>
        <v xml:space="preserve">_ </v>
      </c>
      <c r="Y536" s="54" t="str">
        <f t="shared" si="34"/>
        <v xml:space="preserve">-  _ </v>
      </c>
      <c r="Z536" s="131" t="str">
        <f t="shared" si="35"/>
        <v xml:space="preserve">   </v>
      </c>
      <c r="AA536" s="131" t="str">
        <f>IFERROR(VLOOKUP(Y536,TD!$K$46:$L$64,2,0)," ")</f>
        <v xml:space="preserve"> </v>
      </c>
      <c r="AB536" s="57"/>
      <c r="AC536" s="132"/>
    </row>
    <row r="537" spans="2:29" s="28" customFormat="1">
      <c r="B537" s="85"/>
      <c r="C537" s="53"/>
      <c r="D537" s="129"/>
      <c r="E537" s="54"/>
      <c r="F537" s="129"/>
      <c r="G537" s="129"/>
      <c r="H537" s="55"/>
      <c r="I537" s="133"/>
      <c r="J537" s="130"/>
      <c r="K537" s="56"/>
      <c r="L537" s="57"/>
      <c r="M537" s="129"/>
      <c r="N537" s="57"/>
      <c r="O537" s="54"/>
      <c r="P537" s="131" t="str">
        <f>IFERROR(VLOOKUP(C537,TD!$B$32:$F$36,2,0)," ")</f>
        <v xml:space="preserve"> </v>
      </c>
      <c r="Q537" s="131" t="str">
        <f>IFERROR(VLOOKUP(C537,TD!$B$32:$F$36,3,0)," ")</f>
        <v xml:space="preserve"> </v>
      </c>
      <c r="R537" s="131" t="str">
        <f>IFERROR(VLOOKUP(C537,TD!$B$32:$F$36,4,0)," ")</f>
        <v xml:space="preserve"> </v>
      </c>
      <c r="S537" s="54"/>
      <c r="T537" s="131" t="str">
        <f>IFERROR(VLOOKUP(S537,TD!$J$33:$K$43,2,0)," ")</f>
        <v xml:space="preserve"> </v>
      </c>
      <c r="U537" s="54" t="str">
        <f t="shared" si="32"/>
        <v xml:space="preserve">- </v>
      </c>
      <c r="V537" s="54"/>
      <c r="W537" s="131" t="str">
        <f>IFERROR(VLOOKUP(V537,TD!$N$33:$O$45,2,0)," ")</f>
        <v xml:space="preserve"> </v>
      </c>
      <c r="X537" s="54" t="str">
        <f t="shared" si="33"/>
        <v xml:space="preserve">_ </v>
      </c>
      <c r="Y537" s="54" t="str">
        <f t="shared" si="34"/>
        <v xml:space="preserve">-  _ </v>
      </c>
      <c r="Z537" s="131" t="str">
        <f t="shared" si="35"/>
        <v xml:space="preserve">   </v>
      </c>
      <c r="AA537" s="131" t="str">
        <f>IFERROR(VLOOKUP(Y537,TD!$K$46:$L$64,2,0)," ")</f>
        <v xml:space="preserve"> </v>
      </c>
      <c r="AB537" s="57"/>
      <c r="AC537" s="132"/>
    </row>
    <row r="538" spans="2:29" s="28" customFormat="1">
      <c r="B538" s="85"/>
      <c r="C538" s="53"/>
      <c r="D538" s="129"/>
      <c r="E538" s="54"/>
      <c r="F538" s="129"/>
      <c r="G538" s="129"/>
      <c r="H538" s="55"/>
      <c r="I538" s="133"/>
      <c r="J538" s="130"/>
      <c r="K538" s="56"/>
      <c r="L538" s="57"/>
      <c r="M538" s="129"/>
      <c r="N538" s="57"/>
      <c r="O538" s="54"/>
      <c r="P538" s="131" t="str">
        <f>IFERROR(VLOOKUP(C538,TD!$B$32:$F$36,2,0)," ")</f>
        <v xml:space="preserve"> </v>
      </c>
      <c r="Q538" s="131" t="str">
        <f>IFERROR(VLOOKUP(C538,TD!$B$32:$F$36,3,0)," ")</f>
        <v xml:space="preserve"> </v>
      </c>
      <c r="R538" s="131" t="str">
        <f>IFERROR(VLOOKUP(C538,TD!$B$32:$F$36,4,0)," ")</f>
        <v xml:space="preserve"> </v>
      </c>
      <c r="S538" s="54"/>
      <c r="T538" s="131" t="str">
        <f>IFERROR(VLOOKUP(S538,TD!$J$33:$K$43,2,0)," ")</f>
        <v xml:space="preserve"> </v>
      </c>
      <c r="U538" s="54" t="str">
        <f t="shared" si="32"/>
        <v xml:space="preserve">- </v>
      </c>
      <c r="V538" s="54"/>
      <c r="W538" s="131" t="str">
        <f>IFERROR(VLOOKUP(V538,TD!$N$33:$O$45,2,0)," ")</f>
        <v xml:space="preserve"> </v>
      </c>
      <c r="X538" s="54" t="str">
        <f t="shared" si="33"/>
        <v xml:space="preserve">_ </v>
      </c>
      <c r="Y538" s="54" t="str">
        <f t="shared" si="34"/>
        <v xml:space="preserve">-  _ </v>
      </c>
      <c r="Z538" s="131" t="str">
        <f t="shared" si="35"/>
        <v xml:space="preserve">   </v>
      </c>
      <c r="AA538" s="131" t="str">
        <f>IFERROR(VLOOKUP(Y538,TD!$K$46:$L$64,2,0)," ")</f>
        <v xml:space="preserve"> </v>
      </c>
      <c r="AB538" s="57"/>
      <c r="AC538" s="132"/>
    </row>
    <row r="539" spans="2:29" s="28" customFormat="1">
      <c r="B539" s="85"/>
      <c r="C539" s="53"/>
      <c r="D539" s="129"/>
      <c r="E539" s="54"/>
      <c r="F539" s="129"/>
      <c r="G539" s="129"/>
      <c r="H539" s="55"/>
      <c r="I539" s="133"/>
      <c r="J539" s="130"/>
      <c r="K539" s="56"/>
      <c r="L539" s="57"/>
      <c r="M539" s="129"/>
      <c r="N539" s="57"/>
      <c r="O539" s="54"/>
      <c r="P539" s="131" t="str">
        <f>IFERROR(VLOOKUP(C539,TD!$B$32:$F$36,2,0)," ")</f>
        <v xml:space="preserve"> </v>
      </c>
      <c r="Q539" s="131" t="str">
        <f>IFERROR(VLOOKUP(C539,TD!$B$32:$F$36,3,0)," ")</f>
        <v xml:space="preserve"> </v>
      </c>
      <c r="R539" s="131" t="str">
        <f>IFERROR(VLOOKUP(C539,TD!$B$32:$F$36,4,0)," ")</f>
        <v xml:space="preserve"> </v>
      </c>
      <c r="S539" s="54"/>
      <c r="T539" s="131" t="str">
        <f>IFERROR(VLOOKUP(S539,TD!$J$33:$K$43,2,0)," ")</f>
        <v xml:space="preserve"> </v>
      </c>
      <c r="U539" s="54" t="str">
        <f t="shared" si="32"/>
        <v xml:space="preserve">- </v>
      </c>
      <c r="V539" s="54"/>
      <c r="W539" s="131" t="str">
        <f>IFERROR(VLOOKUP(V539,TD!$N$33:$O$45,2,0)," ")</f>
        <v xml:space="preserve"> </v>
      </c>
      <c r="X539" s="54" t="str">
        <f t="shared" si="33"/>
        <v xml:space="preserve">_ </v>
      </c>
      <c r="Y539" s="54" t="str">
        <f t="shared" si="34"/>
        <v xml:space="preserve">-  _ </v>
      </c>
      <c r="Z539" s="131" t="str">
        <f t="shared" si="35"/>
        <v xml:space="preserve">   </v>
      </c>
      <c r="AA539" s="131" t="str">
        <f>IFERROR(VLOOKUP(Y539,TD!$K$46:$L$64,2,0)," ")</f>
        <v xml:space="preserve"> </v>
      </c>
      <c r="AB539" s="57"/>
      <c r="AC539" s="132"/>
    </row>
    <row r="540" spans="2:29" s="28" customFormat="1">
      <c r="B540" s="85"/>
      <c r="C540" s="53"/>
      <c r="D540" s="129"/>
      <c r="E540" s="54"/>
      <c r="F540" s="129"/>
      <c r="G540" s="129"/>
      <c r="H540" s="55"/>
      <c r="I540" s="133"/>
      <c r="J540" s="130"/>
      <c r="K540" s="56"/>
      <c r="L540" s="57"/>
      <c r="M540" s="129"/>
      <c r="N540" s="57"/>
      <c r="O540" s="54"/>
      <c r="P540" s="131" t="str">
        <f>IFERROR(VLOOKUP(C540,TD!$B$32:$F$36,2,0)," ")</f>
        <v xml:space="preserve"> </v>
      </c>
      <c r="Q540" s="131" t="str">
        <f>IFERROR(VLOOKUP(C540,TD!$B$32:$F$36,3,0)," ")</f>
        <v xml:space="preserve"> </v>
      </c>
      <c r="R540" s="131" t="str">
        <f>IFERROR(VLOOKUP(C540,TD!$B$32:$F$36,4,0)," ")</f>
        <v xml:space="preserve"> </v>
      </c>
      <c r="S540" s="54"/>
      <c r="T540" s="131" t="str">
        <f>IFERROR(VLOOKUP(S540,TD!$J$33:$K$43,2,0)," ")</f>
        <v xml:space="preserve"> </v>
      </c>
      <c r="U540" s="54" t="str">
        <f t="shared" si="32"/>
        <v xml:space="preserve">- </v>
      </c>
      <c r="V540" s="54"/>
      <c r="W540" s="131" t="str">
        <f>IFERROR(VLOOKUP(V540,TD!$N$33:$O$45,2,0)," ")</f>
        <v xml:space="preserve"> </v>
      </c>
      <c r="X540" s="54" t="str">
        <f t="shared" si="33"/>
        <v xml:space="preserve">_ </v>
      </c>
      <c r="Y540" s="54" t="str">
        <f t="shared" si="34"/>
        <v xml:space="preserve">-  _ </v>
      </c>
      <c r="Z540" s="131" t="str">
        <f t="shared" si="35"/>
        <v xml:space="preserve">   </v>
      </c>
      <c r="AA540" s="131" t="str">
        <f>IFERROR(VLOOKUP(Y540,TD!$K$46:$L$64,2,0)," ")</f>
        <v xml:space="preserve"> </v>
      </c>
      <c r="AB540" s="57"/>
      <c r="AC540" s="132"/>
    </row>
    <row r="541" spans="2:29" s="28" customFormat="1">
      <c r="B541" s="85"/>
      <c r="C541" s="53"/>
      <c r="D541" s="129"/>
      <c r="E541" s="54"/>
      <c r="F541" s="129"/>
      <c r="G541" s="129"/>
      <c r="H541" s="55"/>
      <c r="I541" s="133"/>
      <c r="J541" s="130"/>
      <c r="K541" s="56"/>
      <c r="L541" s="57"/>
      <c r="M541" s="129"/>
      <c r="N541" s="57"/>
      <c r="O541" s="54"/>
      <c r="P541" s="131" t="str">
        <f>IFERROR(VLOOKUP(C541,TD!$B$32:$F$36,2,0)," ")</f>
        <v xml:space="preserve"> </v>
      </c>
      <c r="Q541" s="131" t="str">
        <f>IFERROR(VLOOKUP(C541,TD!$B$32:$F$36,3,0)," ")</f>
        <v xml:space="preserve"> </v>
      </c>
      <c r="R541" s="131" t="str">
        <f>IFERROR(VLOOKUP(C541,TD!$B$32:$F$36,4,0)," ")</f>
        <v xml:space="preserve"> </v>
      </c>
      <c r="S541" s="54"/>
      <c r="T541" s="131" t="str">
        <f>IFERROR(VLOOKUP(S541,TD!$J$33:$K$43,2,0)," ")</f>
        <v xml:space="preserve"> </v>
      </c>
      <c r="U541" s="54" t="str">
        <f t="shared" si="32"/>
        <v xml:space="preserve">- </v>
      </c>
      <c r="V541" s="54"/>
      <c r="W541" s="131" t="str">
        <f>IFERROR(VLOOKUP(V541,TD!$N$33:$O$45,2,0)," ")</f>
        <v xml:space="preserve"> </v>
      </c>
      <c r="X541" s="54" t="str">
        <f t="shared" si="33"/>
        <v xml:space="preserve">_ </v>
      </c>
      <c r="Y541" s="54" t="str">
        <f t="shared" si="34"/>
        <v xml:space="preserve">-  _ </v>
      </c>
      <c r="Z541" s="131" t="str">
        <f t="shared" si="35"/>
        <v xml:space="preserve">   </v>
      </c>
      <c r="AA541" s="131" t="str">
        <f>IFERROR(VLOOKUP(Y541,TD!$K$46:$L$64,2,0)," ")</f>
        <v xml:space="preserve"> </v>
      </c>
      <c r="AB541" s="57"/>
      <c r="AC541" s="132"/>
    </row>
    <row r="542" spans="2:29" s="28" customFormat="1">
      <c r="B542" s="85"/>
      <c r="C542" s="53"/>
      <c r="D542" s="129"/>
      <c r="E542" s="54"/>
      <c r="F542" s="129"/>
      <c r="G542" s="129"/>
      <c r="H542" s="55"/>
      <c r="I542" s="133"/>
      <c r="J542" s="130"/>
      <c r="K542" s="56"/>
      <c r="L542" s="57"/>
      <c r="M542" s="129"/>
      <c r="N542" s="57"/>
      <c r="O542" s="54"/>
      <c r="P542" s="131" t="str">
        <f>IFERROR(VLOOKUP(C542,TD!$B$32:$F$36,2,0)," ")</f>
        <v xml:space="preserve"> </v>
      </c>
      <c r="Q542" s="131" t="str">
        <f>IFERROR(VLOOKUP(C542,TD!$B$32:$F$36,3,0)," ")</f>
        <v xml:space="preserve"> </v>
      </c>
      <c r="R542" s="131" t="str">
        <f>IFERROR(VLOOKUP(C542,TD!$B$32:$F$36,4,0)," ")</f>
        <v xml:space="preserve"> </v>
      </c>
      <c r="S542" s="54"/>
      <c r="T542" s="131" t="str">
        <f>IFERROR(VLOOKUP(S542,TD!$J$33:$K$43,2,0)," ")</f>
        <v xml:space="preserve"> </v>
      </c>
      <c r="U542" s="54" t="str">
        <f t="shared" si="32"/>
        <v xml:space="preserve">- </v>
      </c>
      <c r="V542" s="54"/>
      <c r="W542" s="131" t="str">
        <f>IFERROR(VLOOKUP(V542,TD!$N$33:$O$45,2,0)," ")</f>
        <v xml:space="preserve"> </v>
      </c>
      <c r="X542" s="54" t="str">
        <f t="shared" si="33"/>
        <v xml:space="preserve">_ </v>
      </c>
      <c r="Y542" s="54" t="str">
        <f t="shared" si="34"/>
        <v xml:space="preserve">-  _ </v>
      </c>
      <c r="Z542" s="131" t="str">
        <f t="shared" si="35"/>
        <v xml:space="preserve">   </v>
      </c>
      <c r="AA542" s="131" t="str">
        <f>IFERROR(VLOOKUP(Y542,TD!$K$46:$L$64,2,0)," ")</f>
        <v xml:space="preserve"> </v>
      </c>
      <c r="AB542" s="57"/>
      <c r="AC542" s="132"/>
    </row>
    <row r="543" spans="2:29" s="28" customFormat="1">
      <c r="B543" s="85"/>
      <c r="C543" s="53"/>
      <c r="D543" s="129"/>
      <c r="E543" s="54"/>
      <c r="F543" s="129"/>
      <c r="G543" s="129"/>
      <c r="H543" s="55"/>
      <c r="I543" s="133"/>
      <c r="J543" s="130"/>
      <c r="K543" s="56"/>
      <c r="L543" s="57"/>
      <c r="M543" s="129"/>
      <c r="N543" s="57"/>
      <c r="O543" s="54"/>
      <c r="P543" s="131" t="str">
        <f>IFERROR(VLOOKUP(C543,TD!$B$32:$F$36,2,0)," ")</f>
        <v xml:space="preserve"> </v>
      </c>
      <c r="Q543" s="131" t="str">
        <f>IFERROR(VLOOKUP(C543,TD!$B$32:$F$36,3,0)," ")</f>
        <v xml:space="preserve"> </v>
      </c>
      <c r="R543" s="131" t="str">
        <f>IFERROR(VLOOKUP(C543,TD!$B$32:$F$36,4,0)," ")</f>
        <v xml:space="preserve"> </v>
      </c>
      <c r="S543" s="54"/>
      <c r="T543" s="131" t="str">
        <f>IFERROR(VLOOKUP(S543,TD!$J$33:$K$43,2,0)," ")</f>
        <v xml:space="preserve"> </v>
      </c>
      <c r="U543" s="54" t="str">
        <f t="shared" si="32"/>
        <v xml:space="preserve">- </v>
      </c>
      <c r="V543" s="54"/>
      <c r="W543" s="131" t="str">
        <f>IFERROR(VLOOKUP(V543,TD!$N$33:$O$45,2,0)," ")</f>
        <v xml:space="preserve"> </v>
      </c>
      <c r="X543" s="54" t="str">
        <f t="shared" si="33"/>
        <v xml:space="preserve">_ </v>
      </c>
      <c r="Y543" s="54" t="str">
        <f t="shared" si="34"/>
        <v xml:space="preserve">-  _ </v>
      </c>
      <c r="Z543" s="131" t="str">
        <f t="shared" si="35"/>
        <v xml:space="preserve">   </v>
      </c>
      <c r="AA543" s="131" t="str">
        <f>IFERROR(VLOOKUP(Y543,TD!$K$46:$L$64,2,0)," ")</f>
        <v xml:space="preserve"> </v>
      </c>
      <c r="AB543" s="57"/>
      <c r="AC543" s="132"/>
    </row>
    <row r="544" spans="2:29" s="28" customFormat="1">
      <c r="B544" s="85"/>
      <c r="C544" s="53"/>
      <c r="D544" s="129"/>
      <c r="E544" s="54"/>
      <c r="F544" s="129"/>
      <c r="G544" s="129"/>
      <c r="H544" s="55"/>
      <c r="I544" s="133"/>
      <c r="J544" s="130"/>
      <c r="K544" s="56"/>
      <c r="L544" s="57"/>
      <c r="M544" s="129"/>
      <c r="N544" s="57"/>
      <c r="O544" s="54"/>
      <c r="P544" s="131" t="str">
        <f>IFERROR(VLOOKUP(C544,TD!$B$32:$F$36,2,0)," ")</f>
        <v xml:space="preserve"> </v>
      </c>
      <c r="Q544" s="131" t="str">
        <f>IFERROR(VLOOKUP(C544,TD!$B$32:$F$36,3,0)," ")</f>
        <v xml:space="preserve"> </v>
      </c>
      <c r="R544" s="131" t="str">
        <f>IFERROR(VLOOKUP(C544,TD!$B$32:$F$36,4,0)," ")</f>
        <v xml:space="preserve"> </v>
      </c>
      <c r="S544" s="54"/>
      <c r="T544" s="131" t="str">
        <f>IFERROR(VLOOKUP(S544,TD!$J$33:$K$43,2,0)," ")</f>
        <v xml:space="preserve"> </v>
      </c>
      <c r="U544" s="54" t="str">
        <f t="shared" si="32"/>
        <v xml:space="preserve">- </v>
      </c>
      <c r="V544" s="54"/>
      <c r="W544" s="131" t="str">
        <f>IFERROR(VLOOKUP(V544,TD!$N$33:$O$45,2,0)," ")</f>
        <v xml:space="preserve"> </v>
      </c>
      <c r="X544" s="54" t="str">
        <f t="shared" si="33"/>
        <v xml:space="preserve">_ </v>
      </c>
      <c r="Y544" s="54" t="str">
        <f t="shared" si="34"/>
        <v xml:space="preserve">-  _ </v>
      </c>
      <c r="Z544" s="131" t="str">
        <f t="shared" si="35"/>
        <v xml:space="preserve">   </v>
      </c>
      <c r="AA544" s="131" t="str">
        <f>IFERROR(VLOOKUP(Y544,TD!$K$46:$L$64,2,0)," ")</f>
        <v xml:space="preserve"> </v>
      </c>
      <c r="AB544" s="57"/>
      <c r="AC544" s="132"/>
    </row>
    <row r="545" spans="2:29" s="28" customFormat="1">
      <c r="B545" s="85"/>
      <c r="C545" s="53"/>
      <c r="D545" s="129"/>
      <c r="E545" s="54"/>
      <c r="F545" s="129"/>
      <c r="G545" s="129"/>
      <c r="H545" s="55"/>
      <c r="I545" s="133"/>
      <c r="J545" s="130"/>
      <c r="K545" s="56"/>
      <c r="L545" s="57"/>
      <c r="M545" s="129"/>
      <c r="N545" s="57"/>
      <c r="O545" s="54"/>
      <c r="P545" s="131" t="str">
        <f>IFERROR(VLOOKUP(C545,TD!$B$32:$F$36,2,0)," ")</f>
        <v xml:space="preserve"> </v>
      </c>
      <c r="Q545" s="131" t="str">
        <f>IFERROR(VLOOKUP(C545,TD!$B$32:$F$36,3,0)," ")</f>
        <v xml:space="preserve"> </v>
      </c>
      <c r="R545" s="131" t="str">
        <f>IFERROR(VLOOKUP(C545,TD!$B$32:$F$36,4,0)," ")</f>
        <v xml:space="preserve"> </v>
      </c>
      <c r="S545" s="54"/>
      <c r="T545" s="131" t="str">
        <f>IFERROR(VLOOKUP(S545,TD!$J$33:$K$43,2,0)," ")</f>
        <v xml:space="preserve"> </v>
      </c>
      <c r="U545" s="54" t="str">
        <f t="shared" si="32"/>
        <v xml:space="preserve">- </v>
      </c>
      <c r="V545" s="54"/>
      <c r="W545" s="131" t="str">
        <f>IFERROR(VLOOKUP(V545,TD!$N$33:$O$45,2,0)," ")</f>
        <v xml:space="preserve"> </v>
      </c>
      <c r="X545" s="54" t="str">
        <f t="shared" si="33"/>
        <v xml:space="preserve">_ </v>
      </c>
      <c r="Y545" s="54" t="str">
        <f t="shared" si="34"/>
        <v xml:space="preserve">-  _ </v>
      </c>
      <c r="Z545" s="131" t="str">
        <f t="shared" si="35"/>
        <v xml:space="preserve">   </v>
      </c>
      <c r="AA545" s="131" t="str">
        <f>IFERROR(VLOOKUP(Y545,TD!$K$46:$L$64,2,0)," ")</f>
        <v xml:space="preserve"> </v>
      </c>
      <c r="AB545" s="57"/>
      <c r="AC545" s="132"/>
    </row>
    <row r="546" spans="2:29" s="28" customFormat="1">
      <c r="B546" s="85"/>
      <c r="C546" s="53"/>
      <c r="D546" s="129"/>
      <c r="E546" s="54"/>
      <c r="F546" s="129"/>
      <c r="G546" s="129"/>
      <c r="H546" s="55"/>
      <c r="I546" s="133"/>
      <c r="J546" s="130"/>
      <c r="K546" s="56"/>
      <c r="L546" s="57"/>
      <c r="M546" s="129"/>
      <c r="N546" s="57"/>
      <c r="O546" s="54"/>
      <c r="P546" s="131" t="str">
        <f>IFERROR(VLOOKUP(C546,TD!$B$32:$F$36,2,0)," ")</f>
        <v xml:space="preserve"> </v>
      </c>
      <c r="Q546" s="131" t="str">
        <f>IFERROR(VLOOKUP(C546,TD!$B$32:$F$36,3,0)," ")</f>
        <v xml:space="preserve"> </v>
      </c>
      <c r="R546" s="131" t="str">
        <f>IFERROR(VLOOKUP(C546,TD!$B$32:$F$36,4,0)," ")</f>
        <v xml:space="preserve"> </v>
      </c>
      <c r="S546" s="54"/>
      <c r="T546" s="131" t="str">
        <f>IFERROR(VLOOKUP(S546,TD!$J$33:$K$43,2,0)," ")</f>
        <v xml:space="preserve"> </v>
      </c>
      <c r="U546" s="54" t="str">
        <f t="shared" si="32"/>
        <v xml:space="preserve">- </v>
      </c>
      <c r="V546" s="54"/>
      <c r="W546" s="131" t="str">
        <f>IFERROR(VLOOKUP(V546,TD!$N$33:$O$45,2,0)," ")</f>
        <v xml:space="preserve"> </v>
      </c>
      <c r="X546" s="54" t="str">
        <f t="shared" si="33"/>
        <v xml:space="preserve">_ </v>
      </c>
      <c r="Y546" s="54" t="str">
        <f t="shared" si="34"/>
        <v xml:space="preserve">-  _ </v>
      </c>
      <c r="Z546" s="131" t="str">
        <f t="shared" si="35"/>
        <v xml:space="preserve">   </v>
      </c>
      <c r="AA546" s="131" t="str">
        <f>IFERROR(VLOOKUP(Y546,TD!$K$46:$L$64,2,0)," ")</f>
        <v xml:space="preserve"> </v>
      </c>
      <c r="AB546" s="57"/>
      <c r="AC546" s="132"/>
    </row>
    <row r="547" spans="2:29" s="28" customFormat="1">
      <c r="B547" s="85"/>
      <c r="C547" s="53"/>
      <c r="D547" s="129"/>
      <c r="E547" s="54"/>
      <c r="F547" s="129"/>
      <c r="G547" s="129"/>
      <c r="H547" s="55"/>
      <c r="I547" s="133"/>
      <c r="J547" s="130"/>
      <c r="K547" s="56"/>
      <c r="L547" s="57"/>
      <c r="M547" s="129"/>
      <c r="N547" s="57"/>
      <c r="O547" s="54"/>
      <c r="P547" s="131" t="str">
        <f>IFERROR(VLOOKUP(C547,TD!$B$32:$F$36,2,0)," ")</f>
        <v xml:space="preserve"> </v>
      </c>
      <c r="Q547" s="131" t="str">
        <f>IFERROR(VLOOKUP(C547,TD!$B$32:$F$36,3,0)," ")</f>
        <v xml:space="preserve"> </v>
      </c>
      <c r="R547" s="131" t="str">
        <f>IFERROR(VLOOKUP(C547,TD!$B$32:$F$36,4,0)," ")</f>
        <v xml:space="preserve"> </v>
      </c>
      <c r="S547" s="54"/>
      <c r="T547" s="131" t="str">
        <f>IFERROR(VLOOKUP(S547,TD!$J$33:$K$43,2,0)," ")</f>
        <v xml:space="preserve"> </v>
      </c>
      <c r="U547" s="54" t="str">
        <f t="shared" si="32"/>
        <v xml:space="preserve">- </v>
      </c>
      <c r="V547" s="54"/>
      <c r="W547" s="131" t="str">
        <f>IFERROR(VLOOKUP(V547,TD!$N$33:$O$45,2,0)," ")</f>
        <v xml:space="preserve"> </v>
      </c>
      <c r="X547" s="54" t="str">
        <f t="shared" si="33"/>
        <v xml:space="preserve">_ </v>
      </c>
      <c r="Y547" s="54" t="str">
        <f t="shared" si="34"/>
        <v xml:space="preserve">-  _ </v>
      </c>
      <c r="Z547" s="131" t="str">
        <f t="shared" si="35"/>
        <v xml:space="preserve">   </v>
      </c>
      <c r="AA547" s="131" t="str">
        <f>IFERROR(VLOOKUP(Y547,TD!$K$46:$L$64,2,0)," ")</f>
        <v xml:space="preserve"> </v>
      </c>
      <c r="AB547" s="57"/>
      <c r="AC547" s="132"/>
    </row>
    <row r="548" spans="2:29" s="28" customFormat="1">
      <c r="B548" s="85"/>
      <c r="C548" s="53"/>
      <c r="D548" s="129"/>
      <c r="E548" s="54"/>
      <c r="F548" s="129"/>
      <c r="G548" s="129"/>
      <c r="H548" s="55"/>
      <c r="I548" s="133"/>
      <c r="J548" s="130"/>
      <c r="K548" s="56"/>
      <c r="L548" s="57"/>
      <c r="M548" s="129"/>
      <c r="N548" s="57"/>
      <c r="O548" s="54"/>
      <c r="P548" s="131" t="str">
        <f>IFERROR(VLOOKUP(C548,TD!$B$32:$F$36,2,0)," ")</f>
        <v xml:space="preserve"> </v>
      </c>
      <c r="Q548" s="131" t="str">
        <f>IFERROR(VLOOKUP(C548,TD!$B$32:$F$36,3,0)," ")</f>
        <v xml:space="preserve"> </v>
      </c>
      <c r="R548" s="131" t="str">
        <f>IFERROR(VLOOKUP(C548,TD!$B$32:$F$36,4,0)," ")</f>
        <v xml:space="preserve"> </v>
      </c>
      <c r="S548" s="54"/>
      <c r="T548" s="131" t="str">
        <f>IFERROR(VLOOKUP(S548,TD!$J$33:$K$43,2,0)," ")</f>
        <v xml:space="preserve"> </v>
      </c>
      <c r="U548" s="54" t="str">
        <f t="shared" si="32"/>
        <v xml:space="preserve">- </v>
      </c>
      <c r="V548" s="54"/>
      <c r="W548" s="131" t="str">
        <f>IFERROR(VLOOKUP(V548,TD!$N$33:$O$45,2,0)," ")</f>
        <v xml:space="preserve"> </v>
      </c>
      <c r="X548" s="54" t="str">
        <f t="shared" si="33"/>
        <v xml:space="preserve">_ </v>
      </c>
      <c r="Y548" s="54" t="str">
        <f t="shared" si="34"/>
        <v xml:space="preserve">-  _ </v>
      </c>
      <c r="Z548" s="131" t="str">
        <f t="shared" si="35"/>
        <v xml:space="preserve">   </v>
      </c>
      <c r="AA548" s="131" t="str">
        <f>IFERROR(VLOOKUP(Y548,TD!$K$46:$L$64,2,0)," ")</f>
        <v xml:space="preserve"> </v>
      </c>
      <c r="AB548" s="57"/>
      <c r="AC548" s="132"/>
    </row>
    <row r="549" spans="2:29" s="28" customFormat="1">
      <c r="B549" s="85"/>
      <c r="C549" s="53"/>
      <c r="D549" s="129"/>
      <c r="E549" s="54"/>
      <c r="F549" s="129"/>
      <c r="G549" s="129"/>
      <c r="H549" s="55"/>
      <c r="I549" s="133"/>
      <c r="J549" s="130"/>
      <c r="K549" s="56"/>
      <c r="L549" s="57"/>
      <c r="M549" s="129"/>
      <c r="N549" s="57"/>
      <c r="O549" s="54"/>
      <c r="P549" s="131" t="str">
        <f>IFERROR(VLOOKUP(C549,TD!$B$32:$F$36,2,0)," ")</f>
        <v xml:space="preserve"> </v>
      </c>
      <c r="Q549" s="131" t="str">
        <f>IFERROR(VLOOKUP(C549,TD!$B$32:$F$36,3,0)," ")</f>
        <v xml:space="preserve"> </v>
      </c>
      <c r="R549" s="131" t="str">
        <f>IFERROR(VLOOKUP(C549,TD!$B$32:$F$36,4,0)," ")</f>
        <v xml:space="preserve"> </v>
      </c>
      <c r="S549" s="54"/>
      <c r="T549" s="131" t="str">
        <f>IFERROR(VLOOKUP(S549,TD!$J$33:$K$43,2,0)," ")</f>
        <v xml:space="preserve"> </v>
      </c>
      <c r="U549" s="54" t="str">
        <f t="shared" si="32"/>
        <v xml:space="preserve">- </v>
      </c>
      <c r="V549" s="54"/>
      <c r="W549" s="131" t="str">
        <f>IFERROR(VLOOKUP(V549,TD!$N$33:$O$45,2,0)," ")</f>
        <v xml:space="preserve"> </v>
      </c>
      <c r="X549" s="54" t="str">
        <f t="shared" si="33"/>
        <v xml:space="preserve">_ </v>
      </c>
      <c r="Y549" s="54" t="str">
        <f t="shared" si="34"/>
        <v xml:space="preserve">-  _ </v>
      </c>
      <c r="Z549" s="131" t="str">
        <f t="shared" si="35"/>
        <v xml:space="preserve">   </v>
      </c>
      <c r="AA549" s="131" t="str">
        <f>IFERROR(VLOOKUP(Y549,TD!$K$46:$L$64,2,0)," ")</f>
        <v xml:space="preserve"> </v>
      </c>
      <c r="AB549" s="57"/>
      <c r="AC549" s="132"/>
    </row>
    <row r="550" spans="2:29" s="28" customFormat="1">
      <c r="B550" s="85"/>
      <c r="C550" s="53"/>
      <c r="D550" s="129"/>
      <c r="E550" s="54"/>
      <c r="F550" s="129"/>
      <c r="G550" s="129"/>
      <c r="H550" s="55"/>
      <c r="I550" s="133"/>
      <c r="J550" s="130"/>
      <c r="K550" s="56"/>
      <c r="L550" s="57"/>
      <c r="M550" s="129"/>
      <c r="N550" s="57"/>
      <c r="O550" s="54"/>
      <c r="P550" s="131" t="str">
        <f>IFERROR(VLOOKUP(C550,TD!$B$32:$F$36,2,0)," ")</f>
        <v xml:space="preserve"> </v>
      </c>
      <c r="Q550" s="131" t="str">
        <f>IFERROR(VLOOKUP(C550,TD!$B$32:$F$36,3,0)," ")</f>
        <v xml:space="preserve"> </v>
      </c>
      <c r="R550" s="131" t="str">
        <f>IFERROR(VLOOKUP(C550,TD!$B$32:$F$36,4,0)," ")</f>
        <v xml:space="preserve"> </v>
      </c>
      <c r="S550" s="54"/>
      <c r="T550" s="131" t="str">
        <f>IFERROR(VLOOKUP(S550,TD!$J$33:$K$43,2,0)," ")</f>
        <v xml:space="preserve"> </v>
      </c>
      <c r="U550" s="54" t="str">
        <f t="shared" si="32"/>
        <v xml:space="preserve">- </v>
      </c>
      <c r="V550" s="54"/>
      <c r="W550" s="131" t="str">
        <f>IFERROR(VLOOKUP(V550,TD!$N$33:$O$45,2,0)," ")</f>
        <v xml:space="preserve"> </v>
      </c>
      <c r="X550" s="54" t="str">
        <f t="shared" si="33"/>
        <v xml:space="preserve">_ </v>
      </c>
      <c r="Y550" s="54" t="str">
        <f t="shared" si="34"/>
        <v xml:space="preserve">-  _ </v>
      </c>
      <c r="Z550" s="131" t="str">
        <f t="shared" si="35"/>
        <v xml:space="preserve">   </v>
      </c>
      <c r="AA550" s="131" t="str">
        <f>IFERROR(VLOOKUP(Y550,TD!$K$46:$L$64,2,0)," ")</f>
        <v xml:space="preserve"> </v>
      </c>
      <c r="AB550" s="57"/>
      <c r="AC550" s="132"/>
    </row>
    <row r="551" spans="2:29" s="28" customFormat="1">
      <c r="B551" s="85"/>
      <c r="C551" s="53"/>
      <c r="D551" s="129"/>
      <c r="E551" s="54"/>
      <c r="F551" s="129"/>
      <c r="G551" s="129"/>
      <c r="H551" s="55"/>
      <c r="I551" s="133"/>
      <c r="J551" s="130"/>
      <c r="K551" s="56"/>
      <c r="L551" s="57"/>
      <c r="M551" s="129"/>
      <c r="N551" s="57"/>
      <c r="O551" s="54"/>
      <c r="P551" s="131" t="str">
        <f>IFERROR(VLOOKUP(C551,TD!$B$32:$F$36,2,0)," ")</f>
        <v xml:space="preserve"> </v>
      </c>
      <c r="Q551" s="131" t="str">
        <f>IFERROR(VLOOKUP(C551,TD!$B$32:$F$36,3,0)," ")</f>
        <v xml:space="preserve"> </v>
      </c>
      <c r="R551" s="131" t="str">
        <f>IFERROR(VLOOKUP(C551,TD!$B$32:$F$36,4,0)," ")</f>
        <v xml:space="preserve"> </v>
      </c>
      <c r="S551" s="54"/>
      <c r="T551" s="131" t="str">
        <f>IFERROR(VLOOKUP(S551,TD!$J$33:$K$43,2,0)," ")</f>
        <v xml:space="preserve"> </v>
      </c>
      <c r="U551" s="54" t="str">
        <f t="shared" si="32"/>
        <v xml:space="preserve">- </v>
      </c>
      <c r="V551" s="54"/>
      <c r="W551" s="131" t="str">
        <f>IFERROR(VLOOKUP(V551,TD!$N$33:$O$45,2,0)," ")</f>
        <v xml:space="preserve"> </v>
      </c>
      <c r="X551" s="54" t="str">
        <f t="shared" si="33"/>
        <v xml:space="preserve">_ </v>
      </c>
      <c r="Y551" s="54" t="str">
        <f t="shared" si="34"/>
        <v xml:space="preserve">-  _ </v>
      </c>
      <c r="Z551" s="131" t="str">
        <f t="shared" si="35"/>
        <v xml:space="preserve">   </v>
      </c>
      <c r="AA551" s="131" t="str">
        <f>IFERROR(VLOOKUP(Y551,TD!$K$46:$L$64,2,0)," ")</f>
        <v xml:space="preserve"> </v>
      </c>
      <c r="AB551" s="57"/>
      <c r="AC551" s="132"/>
    </row>
    <row r="552" spans="2:29" s="28" customFormat="1">
      <c r="B552" s="85"/>
      <c r="C552" s="53"/>
      <c r="D552" s="129"/>
      <c r="E552" s="54"/>
      <c r="F552" s="129"/>
      <c r="G552" s="129"/>
      <c r="H552" s="55"/>
      <c r="I552" s="133"/>
      <c r="J552" s="130"/>
      <c r="K552" s="56"/>
      <c r="L552" s="57"/>
      <c r="M552" s="129"/>
      <c r="N552" s="57"/>
      <c r="O552" s="54"/>
      <c r="P552" s="131" t="str">
        <f>IFERROR(VLOOKUP(C552,TD!$B$32:$F$36,2,0)," ")</f>
        <v xml:space="preserve"> </v>
      </c>
      <c r="Q552" s="131" t="str">
        <f>IFERROR(VLOOKUP(C552,TD!$B$32:$F$36,3,0)," ")</f>
        <v xml:space="preserve"> </v>
      </c>
      <c r="R552" s="131" t="str">
        <f>IFERROR(VLOOKUP(C552,TD!$B$32:$F$36,4,0)," ")</f>
        <v xml:space="preserve"> </v>
      </c>
      <c r="S552" s="54"/>
      <c r="T552" s="131" t="str">
        <f>IFERROR(VLOOKUP(S552,TD!$J$33:$K$43,2,0)," ")</f>
        <v xml:space="preserve"> </v>
      </c>
      <c r="U552" s="54" t="str">
        <f t="shared" si="32"/>
        <v xml:space="preserve">- </v>
      </c>
      <c r="V552" s="54"/>
      <c r="W552" s="131" t="str">
        <f>IFERROR(VLOOKUP(V552,TD!$N$33:$O$45,2,0)," ")</f>
        <v xml:space="preserve"> </v>
      </c>
      <c r="X552" s="54" t="str">
        <f t="shared" si="33"/>
        <v xml:space="preserve">_ </v>
      </c>
      <c r="Y552" s="54" t="str">
        <f t="shared" si="34"/>
        <v xml:space="preserve">-  _ </v>
      </c>
      <c r="Z552" s="131" t="str">
        <f t="shared" si="35"/>
        <v xml:space="preserve">   </v>
      </c>
      <c r="AA552" s="131" t="str">
        <f>IFERROR(VLOOKUP(Y552,TD!$K$46:$L$64,2,0)," ")</f>
        <v xml:space="preserve"> </v>
      </c>
      <c r="AB552" s="57"/>
      <c r="AC552" s="132"/>
    </row>
    <row r="553" spans="2:29" s="28" customFormat="1">
      <c r="B553" s="85"/>
      <c r="C553" s="53"/>
      <c r="D553" s="129"/>
      <c r="E553" s="54"/>
      <c r="F553" s="129"/>
      <c r="G553" s="129"/>
      <c r="H553" s="55"/>
      <c r="I553" s="133"/>
      <c r="J553" s="130"/>
      <c r="K553" s="56"/>
      <c r="L553" s="57"/>
      <c r="M553" s="129"/>
      <c r="N553" s="57"/>
      <c r="O553" s="54"/>
      <c r="P553" s="131" t="str">
        <f>IFERROR(VLOOKUP(C553,TD!$B$32:$F$36,2,0)," ")</f>
        <v xml:space="preserve"> </v>
      </c>
      <c r="Q553" s="131" t="str">
        <f>IFERROR(VLOOKUP(C553,TD!$B$32:$F$36,3,0)," ")</f>
        <v xml:space="preserve"> </v>
      </c>
      <c r="R553" s="131" t="str">
        <f>IFERROR(VLOOKUP(C553,TD!$B$32:$F$36,4,0)," ")</f>
        <v xml:space="preserve"> </v>
      </c>
      <c r="S553" s="54"/>
      <c r="T553" s="131" t="str">
        <f>IFERROR(VLOOKUP(S553,TD!$J$33:$K$43,2,0)," ")</f>
        <v xml:space="preserve"> </v>
      </c>
      <c r="U553" s="54" t="str">
        <f t="shared" si="32"/>
        <v xml:space="preserve">- </v>
      </c>
      <c r="V553" s="54"/>
      <c r="W553" s="131" t="str">
        <f>IFERROR(VLOOKUP(V553,TD!$N$33:$O$45,2,0)," ")</f>
        <v xml:space="preserve"> </v>
      </c>
      <c r="X553" s="54" t="str">
        <f t="shared" si="33"/>
        <v xml:space="preserve">_ </v>
      </c>
      <c r="Y553" s="54" t="str">
        <f t="shared" si="34"/>
        <v xml:space="preserve">-  _ </v>
      </c>
      <c r="Z553" s="131" t="str">
        <f t="shared" si="35"/>
        <v xml:space="preserve">   </v>
      </c>
      <c r="AA553" s="131" t="str">
        <f>IFERROR(VLOOKUP(Y553,TD!$K$46:$L$64,2,0)," ")</f>
        <v xml:space="preserve"> </v>
      </c>
      <c r="AB553" s="57"/>
      <c r="AC553" s="132"/>
    </row>
    <row r="554" spans="2:29" s="28" customFormat="1">
      <c r="B554" s="85"/>
      <c r="C554" s="53"/>
      <c r="D554" s="129"/>
      <c r="E554" s="54"/>
      <c r="F554" s="129"/>
      <c r="G554" s="129"/>
      <c r="H554" s="55"/>
      <c r="I554" s="133"/>
      <c r="J554" s="130"/>
      <c r="K554" s="56"/>
      <c r="L554" s="57"/>
      <c r="M554" s="129"/>
      <c r="N554" s="57"/>
      <c r="O554" s="54"/>
      <c r="P554" s="131" t="str">
        <f>IFERROR(VLOOKUP(C554,TD!$B$32:$F$36,2,0)," ")</f>
        <v xml:space="preserve"> </v>
      </c>
      <c r="Q554" s="131" t="str">
        <f>IFERROR(VLOOKUP(C554,TD!$B$32:$F$36,3,0)," ")</f>
        <v xml:space="preserve"> </v>
      </c>
      <c r="R554" s="131" t="str">
        <f>IFERROR(VLOOKUP(C554,TD!$B$32:$F$36,4,0)," ")</f>
        <v xml:space="preserve"> </v>
      </c>
      <c r="S554" s="54"/>
      <c r="T554" s="131" t="str">
        <f>IFERROR(VLOOKUP(S554,TD!$J$33:$K$43,2,0)," ")</f>
        <v xml:space="preserve"> </v>
      </c>
      <c r="U554" s="54" t="str">
        <f t="shared" si="32"/>
        <v xml:space="preserve">- </v>
      </c>
      <c r="V554" s="54"/>
      <c r="W554" s="131" t="str">
        <f>IFERROR(VLOOKUP(V554,TD!$N$33:$O$45,2,0)," ")</f>
        <v xml:space="preserve"> </v>
      </c>
      <c r="X554" s="54" t="str">
        <f t="shared" si="33"/>
        <v xml:space="preserve">_ </v>
      </c>
      <c r="Y554" s="54" t="str">
        <f t="shared" si="34"/>
        <v xml:space="preserve">-  _ </v>
      </c>
      <c r="Z554" s="131" t="str">
        <f t="shared" si="35"/>
        <v xml:space="preserve">   </v>
      </c>
      <c r="AA554" s="131" t="str">
        <f>IFERROR(VLOOKUP(Y554,TD!$K$46:$L$64,2,0)," ")</f>
        <v xml:space="preserve"> </v>
      </c>
      <c r="AB554" s="57"/>
      <c r="AC554" s="132"/>
    </row>
    <row r="555" spans="2:29" s="28" customFormat="1">
      <c r="B555" s="85"/>
      <c r="C555" s="53"/>
      <c r="D555" s="129"/>
      <c r="E555" s="54"/>
      <c r="F555" s="129"/>
      <c r="G555" s="129"/>
      <c r="H555" s="55"/>
      <c r="I555" s="133"/>
      <c r="J555" s="130"/>
      <c r="K555" s="56"/>
      <c r="L555" s="57"/>
      <c r="M555" s="129"/>
      <c r="N555" s="57"/>
      <c r="O555" s="54"/>
      <c r="P555" s="131" t="str">
        <f>IFERROR(VLOOKUP(C555,TD!$B$32:$F$36,2,0)," ")</f>
        <v xml:space="preserve"> </v>
      </c>
      <c r="Q555" s="131" t="str">
        <f>IFERROR(VLOOKUP(C555,TD!$B$32:$F$36,3,0)," ")</f>
        <v xml:space="preserve"> </v>
      </c>
      <c r="R555" s="131" t="str">
        <f>IFERROR(VLOOKUP(C555,TD!$B$32:$F$36,4,0)," ")</f>
        <v xml:space="preserve"> </v>
      </c>
      <c r="S555" s="54"/>
      <c r="T555" s="131" t="str">
        <f>IFERROR(VLOOKUP(S555,TD!$J$33:$K$43,2,0)," ")</f>
        <v xml:space="preserve"> </v>
      </c>
      <c r="U555" s="54" t="str">
        <f t="shared" si="32"/>
        <v xml:space="preserve">- </v>
      </c>
      <c r="V555" s="54"/>
      <c r="W555" s="131" t="str">
        <f>IFERROR(VLOOKUP(V555,TD!$N$33:$O$45,2,0)," ")</f>
        <v xml:space="preserve"> </v>
      </c>
      <c r="X555" s="54" t="str">
        <f t="shared" si="33"/>
        <v xml:space="preserve">_ </v>
      </c>
      <c r="Y555" s="54" t="str">
        <f t="shared" si="34"/>
        <v xml:space="preserve">-  _ </v>
      </c>
      <c r="Z555" s="131" t="str">
        <f t="shared" si="35"/>
        <v xml:space="preserve">   </v>
      </c>
      <c r="AA555" s="131" t="str">
        <f>IFERROR(VLOOKUP(Y555,TD!$K$46:$L$64,2,0)," ")</f>
        <v xml:space="preserve"> </v>
      </c>
      <c r="AB555" s="57"/>
      <c r="AC555" s="132"/>
    </row>
    <row r="556" spans="2:29" s="28" customFormat="1">
      <c r="B556" s="85"/>
      <c r="C556" s="53"/>
      <c r="D556" s="129"/>
      <c r="E556" s="54"/>
      <c r="F556" s="129"/>
      <c r="G556" s="129"/>
      <c r="H556" s="55"/>
      <c r="I556" s="133"/>
      <c r="J556" s="130"/>
      <c r="K556" s="56"/>
      <c r="L556" s="57"/>
      <c r="M556" s="129"/>
      <c r="N556" s="57"/>
      <c r="O556" s="54"/>
      <c r="P556" s="131" t="str">
        <f>IFERROR(VLOOKUP(C556,TD!$B$32:$F$36,2,0)," ")</f>
        <v xml:space="preserve"> </v>
      </c>
      <c r="Q556" s="131" t="str">
        <f>IFERROR(VLOOKUP(C556,TD!$B$32:$F$36,3,0)," ")</f>
        <v xml:space="preserve"> </v>
      </c>
      <c r="R556" s="131" t="str">
        <f>IFERROR(VLOOKUP(C556,TD!$B$32:$F$36,4,0)," ")</f>
        <v xml:space="preserve"> </v>
      </c>
      <c r="S556" s="54"/>
      <c r="T556" s="131" t="str">
        <f>IFERROR(VLOOKUP(S556,TD!$J$33:$K$43,2,0)," ")</f>
        <v xml:space="preserve"> </v>
      </c>
      <c r="U556" s="54" t="str">
        <f t="shared" si="32"/>
        <v xml:space="preserve">- </v>
      </c>
      <c r="V556" s="54"/>
      <c r="W556" s="131" t="str">
        <f>IFERROR(VLOOKUP(V556,TD!$N$33:$O$45,2,0)," ")</f>
        <v xml:space="preserve"> </v>
      </c>
      <c r="X556" s="54" t="str">
        <f t="shared" si="33"/>
        <v xml:space="preserve">_ </v>
      </c>
      <c r="Y556" s="54" t="str">
        <f t="shared" si="34"/>
        <v xml:space="preserve">-  _ </v>
      </c>
      <c r="Z556" s="131" t="str">
        <f t="shared" si="35"/>
        <v xml:space="preserve">   </v>
      </c>
      <c r="AA556" s="131" t="str">
        <f>IFERROR(VLOOKUP(Y556,TD!$K$46:$L$64,2,0)," ")</f>
        <v xml:space="preserve"> </v>
      </c>
      <c r="AB556" s="57"/>
      <c r="AC556" s="132"/>
    </row>
    <row r="557" spans="2:29" s="28" customFormat="1">
      <c r="B557" s="85"/>
      <c r="C557" s="53"/>
      <c r="D557" s="129"/>
      <c r="E557" s="54"/>
      <c r="F557" s="129"/>
      <c r="G557" s="129"/>
      <c r="H557" s="55"/>
      <c r="I557" s="133"/>
      <c r="J557" s="130"/>
      <c r="K557" s="56"/>
      <c r="L557" s="57"/>
      <c r="M557" s="129"/>
      <c r="N557" s="57"/>
      <c r="O557" s="54"/>
      <c r="P557" s="131" t="str">
        <f>IFERROR(VLOOKUP(C557,TD!$B$32:$F$36,2,0)," ")</f>
        <v xml:space="preserve"> </v>
      </c>
      <c r="Q557" s="131" t="str">
        <f>IFERROR(VLOOKUP(C557,TD!$B$32:$F$36,3,0)," ")</f>
        <v xml:space="preserve"> </v>
      </c>
      <c r="R557" s="131" t="str">
        <f>IFERROR(VLOOKUP(C557,TD!$B$32:$F$36,4,0)," ")</f>
        <v xml:space="preserve"> </v>
      </c>
      <c r="S557" s="54"/>
      <c r="T557" s="131" t="str">
        <f>IFERROR(VLOOKUP(S557,TD!$J$33:$K$43,2,0)," ")</f>
        <v xml:space="preserve"> </v>
      </c>
      <c r="U557" s="54" t="str">
        <f t="shared" si="32"/>
        <v xml:space="preserve">- </v>
      </c>
      <c r="V557" s="54"/>
      <c r="W557" s="131" t="str">
        <f>IFERROR(VLOOKUP(V557,TD!$N$33:$O$45,2,0)," ")</f>
        <v xml:space="preserve"> </v>
      </c>
      <c r="X557" s="54" t="str">
        <f t="shared" si="33"/>
        <v xml:space="preserve">_ </v>
      </c>
      <c r="Y557" s="54" t="str">
        <f t="shared" si="34"/>
        <v xml:space="preserve">-  _ </v>
      </c>
      <c r="Z557" s="131" t="str">
        <f t="shared" si="35"/>
        <v xml:space="preserve">   </v>
      </c>
      <c r="AA557" s="131" t="str">
        <f>IFERROR(VLOOKUP(Y557,TD!$K$46:$L$64,2,0)," ")</f>
        <v xml:space="preserve"> </v>
      </c>
      <c r="AB557" s="57"/>
      <c r="AC557" s="132"/>
    </row>
    <row r="558" spans="2:29" s="28" customFormat="1">
      <c r="B558" s="85"/>
      <c r="C558" s="53"/>
      <c r="D558" s="129"/>
      <c r="E558" s="54"/>
      <c r="F558" s="129"/>
      <c r="G558" s="129"/>
      <c r="H558" s="55"/>
      <c r="I558" s="133"/>
      <c r="J558" s="130"/>
      <c r="K558" s="56"/>
      <c r="L558" s="57"/>
      <c r="M558" s="129"/>
      <c r="N558" s="57"/>
      <c r="O558" s="54"/>
      <c r="P558" s="131" t="str">
        <f>IFERROR(VLOOKUP(C558,TD!$B$32:$F$36,2,0)," ")</f>
        <v xml:space="preserve"> </v>
      </c>
      <c r="Q558" s="131" t="str">
        <f>IFERROR(VLOOKUP(C558,TD!$B$32:$F$36,3,0)," ")</f>
        <v xml:space="preserve"> </v>
      </c>
      <c r="R558" s="131" t="str">
        <f>IFERROR(VLOOKUP(C558,TD!$B$32:$F$36,4,0)," ")</f>
        <v xml:space="preserve"> </v>
      </c>
      <c r="S558" s="54"/>
      <c r="T558" s="131" t="str">
        <f>IFERROR(VLOOKUP(S558,TD!$J$33:$K$43,2,0)," ")</f>
        <v xml:space="preserve"> </v>
      </c>
      <c r="U558" s="54" t="str">
        <f t="shared" si="32"/>
        <v xml:space="preserve">- </v>
      </c>
      <c r="V558" s="54"/>
      <c r="W558" s="131" t="str">
        <f>IFERROR(VLOOKUP(V558,TD!$N$33:$O$45,2,0)," ")</f>
        <v xml:space="preserve"> </v>
      </c>
      <c r="X558" s="54" t="str">
        <f t="shared" si="33"/>
        <v xml:space="preserve">_ </v>
      </c>
      <c r="Y558" s="54" t="str">
        <f t="shared" si="34"/>
        <v xml:space="preserve">-  _ </v>
      </c>
      <c r="Z558" s="131" t="str">
        <f t="shared" si="35"/>
        <v xml:space="preserve">   </v>
      </c>
      <c r="AA558" s="131" t="str">
        <f>IFERROR(VLOOKUP(Y558,TD!$K$46:$L$64,2,0)," ")</f>
        <v xml:space="preserve"> </v>
      </c>
      <c r="AB558" s="57"/>
      <c r="AC558" s="132"/>
    </row>
    <row r="559" spans="2:29" s="28" customFormat="1">
      <c r="B559" s="85"/>
      <c r="C559" s="53"/>
      <c r="D559" s="129"/>
      <c r="E559" s="54"/>
      <c r="F559" s="129"/>
      <c r="G559" s="129"/>
      <c r="H559" s="55"/>
      <c r="I559" s="133"/>
      <c r="J559" s="130"/>
      <c r="K559" s="56"/>
      <c r="L559" s="57"/>
      <c r="M559" s="129"/>
      <c r="N559" s="57"/>
      <c r="O559" s="54"/>
      <c r="P559" s="131" t="str">
        <f>IFERROR(VLOOKUP(C559,TD!$B$32:$F$36,2,0)," ")</f>
        <v xml:space="preserve"> </v>
      </c>
      <c r="Q559" s="131" t="str">
        <f>IFERROR(VLOOKUP(C559,TD!$B$32:$F$36,3,0)," ")</f>
        <v xml:space="preserve"> </v>
      </c>
      <c r="R559" s="131" t="str">
        <f>IFERROR(VLOOKUP(C559,TD!$B$32:$F$36,4,0)," ")</f>
        <v xml:space="preserve"> </v>
      </c>
      <c r="S559" s="54"/>
      <c r="T559" s="131" t="str">
        <f>IFERROR(VLOOKUP(S559,TD!$J$33:$K$43,2,0)," ")</f>
        <v xml:space="preserve"> </v>
      </c>
      <c r="U559" s="54" t="str">
        <f t="shared" si="32"/>
        <v xml:space="preserve">- </v>
      </c>
      <c r="V559" s="54"/>
      <c r="W559" s="131" t="str">
        <f>IFERROR(VLOOKUP(V559,TD!$N$33:$O$45,2,0)," ")</f>
        <v xml:space="preserve"> </v>
      </c>
      <c r="X559" s="54" t="str">
        <f t="shared" si="33"/>
        <v xml:space="preserve">_ </v>
      </c>
      <c r="Y559" s="54" t="str">
        <f t="shared" si="34"/>
        <v xml:space="preserve">-  _ </v>
      </c>
      <c r="Z559" s="131" t="str">
        <f t="shared" si="35"/>
        <v xml:space="preserve">   </v>
      </c>
      <c r="AA559" s="131" t="str">
        <f>IFERROR(VLOOKUP(Y559,TD!$K$46:$L$64,2,0)," ")</f>
        <v xml:space="preserve"> </v>
      </c>
      <c r="AB559" s="57"/>
      <c r="AC559" s="132"/>
    </row>
    <row r="560" spans="2:29" s="28" customFormat="1">
      <c r="B560" s="85"/>
      <c r="C560" s="53"/>
      <c r="D560" s="129"/>
      <c r="E560" s="54"/>
      <c r="F560" s="129"/>
      <c r="G560" s="129"/>
      <c r="H560" s="55"/>
      <c r="I560" s="133"/>
      <c r="J560" s="130"/>
      <c r="K560" s="56"/>
      <c r="L560" s="57"/>
      <c r="M560" s="129"/>
      <c r="N560" s="57"/>
      <c r="O560" s="54"/>
      <c r="P560" s="131" t="str">
        <f>IFERROR(VLOOKUP(C560,TD!$B$32:$F$36,2,0)," ")</f>
        <v xml:space="preserve"> </v>
      </c>
      <c r="Q560" s="131" t="str">
        <f>IFERROR(VLOOKUP(C560,TD!$B$32:$F$36,3,0)," ")</f>
        <v xml:space="preserve"> </v>
      </c>
      <c r="R560" s="131" t="str">
        <f>IFERROR(VLOOKUP(C560,TD!$B$32:$F$36,4,0)," ")</f>
        <v xml:space="preserve"> </v>
      </c>
      <c r="S560" s="54"/>
      <c r="T560" s="131" t="str">
        <f>IFERROR(VLOOKUP(S560,TD!$J$33:$K$43,2,0)," ")</f>
        <v xml:space="preserve"> </v>
      </c>
      <c r="U560" s="54" t="str">
        <f t="shared" si="32"/>
        <v xml:space="preserve">- </v>
      </c>
      <c r="V560" s="54"/>
      <c r="W560" s="131" t="str">
        <f>IFERROR(VLOOKUP(V560,TD!$N$33:$O$45,2,0)," ")</f>
        <v xml:space="preserve"> </v>
      </c>
      <c r="X560" s="54" t="str">
        <f t="shared" si="33"/>
        <v xml:space="preserve">_ </v>
      </c>
      <c r="Y560" s="54" t="str">
        <f t="shared" si="34"/>
        <v xml:space="preserve">-  _ </v>
      </c>
      <c r="Z560" s="131" t="str">
        <f t="shared" si="35"/>
        <v xml:space="preserve">   </v>
      </c>
      <c r="AA560" s="131" t="str">
        <f>IFERROR(VLOOKUP(Y560,TD!$K$46:$L$64,2,0)," ")</f>
        <v xml:space="preserve"> </v>
      </c>
      <c r="AB560" s="57"/>
      <c r="AC560" s="132"/>
    </row>
    <row r="561" spans="2:29" s="28" customFormat="1">
      <c r="B561" s="85"/>
      <c r="C561" s="53"/>
      <c r="D561" s="129"/>
      <c r="E561" s="54"/>
      <c r="F561" s="129"/>
      <c r="G561" s="129"/>
      <c r="H561" s="55"/>
      <c r="I561" s="133"/>
      <c r="J561" s="130"/>
      <c r="K561" s="56"/>
      <c r="L561" s="57"/>
      <c r="M561" s="129"/>
      <c r="N561" s="57"/>
      <c r="O561" s="54"/>
      <c r="P561" s="131" t="str">
        <f>IFERROR(VLOOKUP(C561,TD!$B$32:$F$36,2,0)," ")</f>
        <v xml:space="preserve"> </v>
      </c>
      <c r="Q561" s="131" t="str">
        <f>IFERROR(VLOOKUP(C561,TD!$B$32:$F$36,3,0)," ")</f>
        <v xml:space="preserve"> </v>
      </c>
      <c r="R561" s="131" t="str">
        <f>IFERROR(VLOOKUP(C561,TD!$B$32:$F$36,4,0)," ")</f>
        <v xml:space="preserve"> </v>
      </c>
      <c r="S561" s="54"/>
      <c r="T561" s="131" t="str">
        <f>IFERROR(VLOOKUP(S561,TD!$J$33:$K$43,2,0)," ")</f>
        <v xml:space="preserve"> </v>
      </c>
      <c r="U561" s="54" t="str">
        <f t="shared" si="32"/>
        <v xml:space="preserve">- </v>
      </c>
      <c r="V561" s="54"/>
      <c r="W561" s="131" t="str">
        <f>IFERROR(VLOOKUP(V561,TD!$N$33:$O$45,2,0)," ")</f>
        <v xml:space="preserve"> </v>
      </c>
      <c r="X561" s="54" t="str">
        <f t="shared" si="33"/>
        <v xml:space="preserve">_ </v>
      </c>
      <c r="Y561" s="54" t="str">
        <f t="shared" si="34"/>
        <v xml:space="preserve">-  _ </v>
      </c>
      <c r="Z561" s="131" t="str">
        <f t="shared" si="35"/>
        <v xml:space="preserve">   </v>
      </c>
      <c r="AA561" s="131" t="str">
        <f>IFERROR(VLOOKUP(Y561,TD!$K$46:$L$64,2,0)," ")</f>
        <v xml:space="preserve"> </v>
      </c>
      <c r="AB561" s="57"/>
      <c r="AC561" s="132"/>
    </row>
    <row r="562" spans="2:29" s="28" customFormat="1">
      <c r="B562" s="85"/>
      <c r="C562" s="53"/>
      <c r="D562" s="129"/>
      <c r="E562" s="54"/>
      <c r="F562" s="129"/>
      <c r="G562" s="129"/>
      <c r="H562" s="55"/>
      <c r="I562" s="133"/>
      <c r="J562" s="130"/>
      <c r="K562" s="56"/>
      <c r="L562" s="57"/>
      <c r="M562" s="129"/>
      <c r="N562" s="57"/>
      <c r="O562" s="54"/>
      <c r="P562" s="131" t="str">
        <f>IFERROR(VLOOKUP(C562,TD!$B$32:$F$36,2,0)," ")</f>
        <v xml:space="preserve"> </v>
      </c>
      <c r="Q562" s="131" t="str">
        <f>IFERROR(VLOOKUP(C562,TD!$B$32:$F$36,3,0)," ")</f>
        <v xml:space="preserve"> </v>
      </c>
      <c r="R562" s="131" t="str">
        <f>IFERROR(VLOOKUP(C562,TD!$B$32:$F$36,4,0)," ")</f>
        <v xml:space="preserve"> </v>
      </c>
      <c r="S562" s="54"/>
      <c r="T562" s="131" t="str">
        <f>IFERROR(VLOOKUP(S562,TD!$J$33:$K$43,2,0)," ")</f>
        <v xml:space="preserve"> </v>
      </c>
      <c r="U562" s="54" t="str">
        <f t="shared" si="32"/>
        <v xml:space="preserve">- </v>
      </c>
      <c r="V562" s="54"/>
      <c r="W562" s="131" t="str">
        <f>IFERROR(VLOOKUP(V562,TD!$N$33:$O$45,2,0)," ")</f>
        <v xml:space="preserve"> </v>
      </c>
      <c r="X562" s="54" t="str">
        <f t="shared" si="33"/>
        <v xml:space="preserve">_ </v>
      </c>
      <c r="Y562" s="54" t="str">
        <f t="shared" si="34"/>
        <v xml:space="preserve">-  _ </v>
      </c>
      <c r="Z562" s="131" t="str">
        <f t="shared" si="35"/>
        <v xml:space="preserve">   </v>
      </c>
      <c r="AA562" s="131" t="str">
        <f>IFERROR(VLOOKUP(Y562,TD!$K$46:$L$64,2,0)," ")</f>
        <v xml:space="preserve"> </v>
      </c>
      <c r="AB562" s="57"/>
      <c r="AC562" s="132"/>
    </row>
    <row r="563" spans="2:29" s="28" customFormat="1">
      <c r="B563" s="85"/>
      <c r="C563" s="53"/>
      <c r="D563" s="129"/>
      <c r="E563" s="54"/>
      <c r="F563" s="129"/>
      <c r="G563" s="129"/>
      <c r="H563" s="55"/>
      <c r="I563" s="133"/>
      <c r="J563" s="130"/>
      <c r="K563" s="56"/>
      <c r="L563" s="57"/>
      <c r="M563" s="129"/>
      <c r="N563" s="57"/>
      <c r="O563" s="54"/>
      <c r="P563" s="131" t="str">
        <f>IFERROR(VLOOKUP(C563,TD!$B$32:$F$36,2,0)," ")</f>
        <v xml:space="preserve"> </v>
      </c>
      <c r="Q563" s="131" t="str">
        <f>IFERROR(VLOOKUP(C563,TD!$B$32:$F$36,3,0)," ")</f>
        <v xml:space="preserve"> </v>
      </c>
      <c r="R563" s="131" t="str">
        <f>IFERROR(VLOOKUP(C563,TD!$B$32:$F$36,4,0)," ")</f>
        <v xml:space="preserve"> </v>
      </c>
      <c r="S563" s="54"/>
      <c r="T563" s="131" t="str">
        <f>IFERROR(VLOOKUP(S563,TD!$J$33:$K$43,2,0)," ")</f>
        <v xml:space="preserve"> </v>
      </c>
      <c r="U563" s="54" t="str">
        <f t="shared" si="32"/>
        <v xml:space="preserve">- </v>
      </c>
      <c r="V563" s="54"/>
      <c r="W563" s="131" t="str">
        <f>IFERROR(VLOOKUP(V563,TD!$N$33:$O$45,2,0)," ")</f>
        <v xml:space="preserve"> </v>
      </c>
      <c r="X563" s="54" t="str">
        <f t="shared" si="33"/>
        <v xml:space="preserve">_ </v>
      </c>
      <c r="Y563" s="54" t="str">
        <f t="shared" si="34"/>
        <v xml:space="preserve">-  _ </v>
      </c>
      <c r="Z563" s="131" t="str">
        <f t="shared" si="35"/>
        <v xml:space="preserve">   </v>
      </c>
      <c r="AA563" s="131" t="str">
        <f>IFERROR(VLOOKUP(Y563,TD!$K$46:$L$64,2,0)," ")</f>
        <v xml:space="preserve"> </v>
      </c>
      <c r="AB563" s="57"/>
      <c r="AC563" s="132"/>
    </row>
    <row r="564" spans="2:29" s="28" customFormat="1">
      <c r="B564" s="85"/>
      <c r="C564" s="53"/>
      <c r="D564" s="129"/>
      <c r="E564" s="54"/>
      <c r="F564" s="129"/>
      <c r="G564" s="129"/>
      <c r="H564" s="55"/>
      <c r="I564" s="133"/>
      <c r="J564" s="130"/>
      <c r="K564" s="56"/>
      <c r="L564" s="57"/>
      <c r="M564" s="129"/>
      <c r="N564" s="57"/>
      <c r="O564" s="54"/>
      <c r="P564" s="131" t="str">
        <f>IFERROR(VLOOKUP(C564,TD!$B$32:$F$36,2,0)," ")</f>
        <v xml:space="preserve"> </v>
      </c>
      <c r="Q564" s="131" t="str">
        <f>IFERROR(VLOOKUP(C564,TD!$B$32:$F$36,3,0)," ")</f>
        <v xml:space="preserve"> </v>
      </c>
      <c r="R564" s="131" t="str">
        <f>IFERROR(VLOOKUP(C564,TD!$B$32:$F$36,4,0)," ")</f>
        <v xml:space="preserve"> </v>
      </c>
      <c r="S564" s="54"/>
      <c r="T564" s="131" t="str">
        <f>IFERROR(VLOOKUP(S564,TD!$J$33:$K$43,2,0)," ")</f>
        <v xml:space="preserve"> </v>
      </c>
      <c r="U564" s="54" t="str">
        <f t="shared" si="32"/>
        <v xml:space="preserve">- </v>
      </c>
      <c r="V564" s="54"/>
      <c r="W564" s="131" t="str">
        <f>IFERROR(VLOOKUP(V564,TD!$N$33:$O$45,2,0)," ")</f>
        <v xml:space="preserve"> </v>
      </c>
      <c r="X564" s="54" t="str">
        <f t="shared" si="33"/>
        <v xml:space="preserve">_ </v>
      </c>
      <c r="Y564" s="54" t="str">
        <f t="shared" si="34"/>
        <v xml:space="preserve">-  _ </v>
      </c>
      <c r="Z564" s="131" t="str">
        <f t="shared" si="35"/>
        <v xml:space="preserve">   </v>
      </c>
      <c r="AA564" s="131" t="str">
        <f>IFERROR(VLOOKUP(Y564,TD!$K$46:$L$64,2,0)," ")</f>
        <v xml:space="preserve"> </v>
      </c>
      <c r="AB564" s="57"/>
      <c r="AC564" s="132"/>
    </row>
    <row r="565" spans="2:29" s="28" customFormat="1">
      <c r="B565" s="85"/>
      <c r="C565" s="53"/>
      <c r="D565" s="129"/>
      <c r="E565" s="54"/>
      <c r="F565" s="129"/>
      <c r="G565" s="129"/>
      <c r="H565" s="55"/>
      <c r="I565" s="133"/>
      <c r="J565" s="130"/>
      <c r="K565" s="56"/>
      <c r="L565" s="57"/>
      <c r="M565" s="129"/>
      <c r="N565" s="57"/>
      <c r="O565" s="54"/>
      <c r="P565" s="131" t="str">
        <f>IFERROR(VLOOKUP(C565,TD!$B$32:$F$36,2,0)," ")</f>
        <v xml:space="preserve"> </v>
      </c>
      <c r="Q565" s="131" t="str">
        <f>IFERROR(VLOOKUP(C565,TD!$B$32:$F$36,3,0)," ")</f>
        <v xml:space="preserve"> </v>
      </c>
      <c r="R565" s="131" t="str">
        <f>IFERROR(VLOOKUP(C565,TD!$B$32:$F$36,4,0)," ")</f>
        <v xml:space="preserve"> </v>
      </c>
      <c r="S565" s="54"/>
      <c r="T565" s="131" t="str">
        <f>IFERROR(VLOOKUP(S565,TD!$J$33:$K$43,2,0)," ")</f>
        <v xml:space="preserve"> </v>
      </c>
      <c r="U565" s="54" t="str">
        <f t="shared" si="32"/>
        <v xml:space="preserve">- </v>
      </c>
      <c r="V565" s="54"/>
      <c r="W565" s="131" t="str">
        <f>IFERROR(VLOOKUP(V565,TD!$N$33:$O$45,2,0)," ")</f>
        <v xml:space="preserve"> </v>
      </c>
      <c r="X565" s="54" t="str">
        <f t="shared" si="33"/>
        <v xml:space="preserve">_ </v>
      </c>
      <c r="Y565" s="54" t="str">
        <f t="shared" si="34"/>
        <v xml:space="preserve">-  _ </v>
      </c>
      <c r="Z565" s="131" t="str">
        <f t="shared" si="35"/>
        <v xml:space="preserve">   </v>
      </c>
      <c r="AA565" s="131" t="str">
        <f>IFERROR(VLOOKUP(Y565,TD!$K$46:$L$64,2,0)," ")</f>
        <v xml:space="preserve"> </v>
      </c>
      <c r="AB565" s="57"/>
      <c r="AC565" s="132"/>
    </row>
    <row r="566" spans="2:29" s="28" customFormat="1">
      <c r="B566" s="85"/>
      <c r="C566" s="53"/>
      <c r="D566" s="129"/>
      <c r="E566" s="54"/>
      <c r="F566" s="129"/>
      <c r="G566" s="129"/>
      <c r="H566" s="55"/>
      <c r="I566" s="133"/>
      <c r="J566" s="130"/>
      <c r="K566" s="56"/>
      <c r="L566" s="57"/>
      <c r="M566" s="129"/>
      <c r="N566" s="57"/>
      <c r="O566" s="54"/>
      <c r="P566" s="131" t="str">
        <f>IFERROR(VLOOKUP(C566,TD!$B$32:$F$36,2,0)," ")</f>
        <v xml:space="preserve"> </v>
      </c>
      <c r="Q566" s="131" t="str">
        <f>IFERROR(VLOOKUP(C566,TD!$B$32:$F$36,3,0)," ")</f>
        <v xml:space="preserve"> </v>
      </c>
      <c r="R566" s="131" t="str">
        <f>IFERROR(VLOOKUP(C566,TD!$B$32:$F$36,4,0)," ")</f>
        <v xml:space="preserve"> </v>
      </c>
      <c r="S566" s="54"/>
      <c r="T566" s="131" t="str">
        <f>IFERROR(VLOOKUP(S566,TD!$J$33:$K$43,2,0)," ")</f>
        <v xml:space="preserve"> </v>
      </c>
      <c r="U566" s="54" t="str">
        <f t="shared" si="32"/>
        <v xml:space="preserve">- </v>
      </c>
      <c r="V566" s="54"/>
      <c r="W566" s="131" t="str">
        <f>IFERROR(VLOOKUP(V566,TD!$N$33:$O$45,2,0)," ")</f>
        <v xml:space="preserve"> </v>
      </c>
      <c r="X566" s="54" t="str">
        <f t="shared" si="33"/>
        <v xml:space="preserve">_ </v>
      </c>
      <c r="Y566" s="54" t="str">
        <f t="shared" si="34"/>
        <v xml:space="preserve">-  _ </v>
      </c>
      <c r="Z566" s="131" t="str">
        <f t="shared" si="35"/>
        <v xml:space="preserve">   </v>
      </c>
      <c r="AA566" s="131" t="str">
        <f>IFERROR(VLOOKUP(Y566,TD!$K$46:$L$64,2,0)," ")</f>
        <v xml:space="preserve"> </v>
      </c>
      <c r="AB566" s="57"/>
      <c r="AC566" s="132"/>
    </row>
    <row r="567" spans="2:29" s="28" customFormat="1">
      <c r="B567" s="85"/>
      <c r="C567" s="53"/>
      <c r="D567" s="129"/>
      <c r="E567" s="54"/>
      <c r="F567" s="129"/>
      <c r="G567" s="129"/>
      <c r="H567" s="55"/>
      <c r="I567" s="133"/>
      <c r="J567" s="130"/>
      <c r="K567" s="56"/>
      <c r="L567" s="57"/>
      <c r="M567" s="129"/>
      <c r="N567" s="57"/>
      <c r="O567" s="54"/>
      <c r="P567" s="131" t="str">
        <f>IFERROR(VLOOKUP(C567,TD!$B$32:$F$36,2,0)," ")</f>
        <v xml:space="preserve"> </v>
      </c>
      <c r="Q567" s="131" t="str">
        <f>IFERROR(VLOOKUP(C567,TD!$B$32:$F$36,3,0)," ")</f>
        <v xml:space="preserve"> </v>
      </c>
      <c r="R567" s="131" t="str">
        <f>IFERROR(VLOOKUP(C567,TD!$B$32:$F$36,4,0)," ")</f>
        <v xml:space="preserve"> </v>
      </c>
      <c r="S567" s="54"/>
      <c r="T567" s="131" t="str">
        <f>IFERROR(VLOOKUP(S567,TD!$J$33:$K$43,2,0)," ")</f>
        <v xml:space="preserve"> </v>
      </c>
      <c r="U567" s="54" t="str">
        <f t="shared" si="32"/>
        <v xml:space="preserve">- </v>
      </c>
      <c r="V567" s="54"/>
      <c r="W567" s="131" t="str">
        <f>IFERROR(VLOOKUP(V567,TD!$N$33:$O$45,2,0)," ")</f>
        <v xml:space="preserve"> </v>
      </c>
      <c r="X567" s="54" t="str">
        <f t="shared" si="33"/>
        <v xml:space="preserve">_ </v>
      </c>
      <c r="Y567" s="54" t="str">
        <f t="shared" si="34"/>
        <v xml:space="preserve">-  _ </v>
      </c>
      <c r="Z567" s="131" t="str">
        <f t="shared" si="35"/>
        <v xml:space="preserve">   </v>
      </c>
      <c r="AA567" s="131" t="str">
        <f>IFERROR(VLOOKUP(Y567,TD!$K$46:$L$64,2,0)," ")</f>
        <v xml:space="preserve"> </v>
      </c>
      <c r="AB567" s="57"/>
      <c r="AC567" s="132"/>
    </row>
    <row r="568" spans="2:29" s="28" customFormat="1">
      <c r="B568" s="85"/>
      <c r="C568" s="53"/>
      <c r="D568" s="129"/>
      <c r="E568" s="54"/>
      <c r="F568" s="129"/>
      <c r="G568" s="129"/>
      <c r="H568" s="55"/>
      <c r="I568" s="133"/>
      <c r="J568" s="130"/>
      <c r="K568" s="56"/>
      <c r="L568" s="57"/>
      <c r="M568" s="129"/>
      <c r="N568" s="57"/>
      <c r="O568" s="54"/>
      <c r="P568" s="131" t="str">
        <f>IFERROR(VLOOKUP(C568,TD!$B$32:$F$36,2,0)," ")</f>
        <v xml:space="preserve"> </v>
      </c>
      <c r="Q568" s="131" t="str">
        <f>IFERROR(VLOOKUP(C568,TD!$B$32:$F$36,3,0)," ")</f>
        <v xml:space="preserve"> </v>
      </c>
      <c r="R568" s="131" t="str">
        <f>IFERROR(VLOOKUP(C568,TD!$B$32:$F$36,4,0)," ")</f>
        <v xml:space="preserve"> </v>
      </c>
      <c r="S568" s="54"/>
      <c r="T568" s="131" t="str">
        <f>IFERROR(VLOOKUP(S568,TD!$J$33:$K$43,2,0)," ")</f>
        <v xml:space="preserve"> </v>
      </c>
      <c r="U568" s="54" t="str">
        <f t="shared" si="32"/>
        <v xml:space="preserve">- </v>
      </c>
      <c r="V568" s="54"/>
      <c r="W568" s="131" t="str">
        <f>IFERROR(VLOOKUP(V568,TD!$N$33:$O$45,2,0)," ")</f>
        <v xml:space="preserve"> </v>
      </c>
      <c r="X568" s="54" t="str">
        <f t="shared" si="33"/>
        <v xml:space="preserve">_ </v>
      </c>
      <c r="Y568" s="54" t="str">
        <f t="shared" si="34"/>
        <v xml:space="preserve">-  _ </v>
      </c>
      <c r="Z568" s="131" t="str">
        <f t="shared" si="35"/>
        <v xml:space="preserve">   </v>
      </c>
      <c r="AA568" s="131" t="str">
        <f>IFERROR(VLOOKUP(Y568,TD!$K$46:$L$64,2,0)," ")</f>
        <v xml:space="preserve"> </v>
      </c>
      <c r="AB568" s="57"/>
      <c r="AC568" s="132"/>
    </row>
    <row r="569" spans="2:29" s="28" customFormat="1">
      <c r="B569" s="85"/>
      <c r="C569" s="53"/>
      <c r="D569" s="129"/>
      <c r="E569" s="54"/>
      <c r="F569" s="129"/>
      <c r="G569" s="129"/>
      <c r="H569" s="55"/>
      <c r="I569" s="133"/>
      <c r="J569" s="130"/>
      <c r="K569" s="56"/>
      <c r="L569" s="57"/>
      <c r="M569" s="129"/>
      <c r="N569" s="57"/>
      <c r="O569" s="54"/>
      <c r="P569" s="131" t="str">
        <f>IFERROR(VLOOKUP(C569,TD!$B$32:$F$36,2,0)," ")</f>
        <v xml:space="preserve"> </v>
      </c>
      <c r="Q569" s="131" t="str">
        <f>IFERROR(VLOOKUP(C569,TD!$B$32:$F$36,3,0)," ")</f>
        <v xml:space="preserve"> </v>
      </c>
      <c r="R569" s="131" t="str">
        <f>IFERROR(VLOOKUP(C569,TD!$B$32:$F$36,4,0)," ")</f>
        <v xml:space="preserve"> </v>
      </c>
      <c r="S569" s="54"/>
      <c r="T569" s="131" t="str">
        <f>IFERROR(VLOOKUP(S569,TD!$J$33:$K$43,2,0)," ")</f>
        <v xml:space="preserve"> </v>
      </c>
      <c r="U569" s="54" t="str">
        <f t="shared" si="32"/>
        <v xml:space="preserve">- </v>
      </c>
      <c r="V569" s="54"/>
      <c r="W569" s="131" t="str">
        <f>IFERROR(VLOOKUP(V569,TD!$N$33:$O$45,2,0)," ")</f>
        <v xml:space="preserve"> </v>
      </c>
      <c r="X569" s="54" t="str">
        <f t="shared" si="33"/>
        <v xml:space="preserve">_ </v>
      </c>
      <c r="Y569" s="54" t="str">
        <f t="shared" si="34"/>
        <v xml:space="preserve">-  _ </v>
      </c>
      <c r="Z569" s="131" t="str">
        <f t="shared" si="35"/>
        <v xml:space="preserve">   </v>
      </c>
      <c r="AA569" s="131" t="str">
        <f>IFERROR(VLOOKUP(Y569,TD!$K$46:$L$64,2,0)," ")</f>
        <v xml:space="preserve"> </v>
      </c>
      <c r="AB569" s="57"/>
      <c r="AC569" s="132"/>
    </row>
    <row r="570" spans="2:29" s="28" customFormat="1">
      <c r="B570" s="85"/>
      <c r="C570" s="53"/>
      <c r="D570" s="129"/>
      <c r="E570" s="54"/>
      <c r="F570" s="129"/>
      <c r="G570" s="129"/>
      <c r="H570" s="55"/>
      <c r="I570" s="133"/>
      <c r="J570" s="130"/>
      <c r="K570" s="56"/>
      <c r="L570" s="57"/>
      <c r="M570" s="129"/>
      <c r="N570" s="57"/>
      <c r="O570" s="54"/>
      <c r="P570" s="131" t="str">
        <f>IFERROR(VLOOKUP(C570,TD!$B$32:$F$36,2,0)," ")</f>
        <v xml:space="preserve"> </v>
      </c>
      <c r="Q570" s="131" t="str">
        <f>IFERROR(VLOOKUP(C570,TD!$B$32:$F$36,3,0)," ")</f>
        <v xml:space="preserve"> </v>
      </c>
      <c r="R570" s="131" t="str">
        <f>IFERROR(VLOOKUP(C570,TD!$B$32:$F$36,4,0)," ")</f>
        <v xml:space="preserve"> </v>
      </c>
      <c r="S570" s="54"/>
      <c r="T570" s="131" t="str">
        <f>IFERROR(VLOOKUP(S570,TD!$J$33:$K$43,2,0)," ")</f>
        <v xml:space="preserve"> </v>
      </c>
      <c r="U570" s="54" t="str">
        <f t="shared" si="32"/>
        <v xml:space="preserve">- </v>
      </c>
      <c r="V570" s="54"/>
      <c r="W570" s="131" t="str">
        <f>IFERROR(VLOOKUP(V570,TD!$N$33:$O$45,2,0)," ")</f>
        <v xml:space="preserve"> </v>
      </c>
      <c r="X570" s="54" t="str">
        <f t="shared" si="33"/>
        <v xml:space="preserve">_ </v>
      </c>
      <c r="Y570" s="54" t="str">
        <f t="shared" si="34"/>
        <v xml:space="preserve">-  _ </v>
      </c>
      <c r="Z570" s="131" t="str">
        <f t="shared" si="35"/>
        <v xml:space="preserve">   </v>
      </c>
      <c r="AA570" s="131" t="str">
        <f>IFERROR(VLOOKUP(Y570,TD!$K$46:$L$64,2,0)," ")</f>
        <v xml:space="preserve"> </v>
      </c>
      <c r="AB570" s="57"/>
      <c r="AC570" s="132"/>
    </row>
    <row r="571" spans="2:29" s="28" customFormat="1">
      <c r="B571" s="85"/>
      <c r="C571" s="53"/>
      <c r="D571" s="129"/>
      <c r="E571" s="54"/>
      <c r="F571" s="129"/>
      <c r="G571" s="129"/>
      <c r="H571" s="55"/>
      <c r="I571" s="133"/>
      <c r="J571" s="130"/>
      <c r="K571" s="56"/>
      <c r="L571" s="57"/>
      <c r="M571" s="129"/>
      <c r="N571" s="57"/>
      <c r="O571" s="54"/>
      <c r="P571" s="131" t="str">
        <f>IFERROR(VLOOKUP(C571,TD!$B$32:$F$36,2,0)," ")</f>
        <v xml:space="preserve"> </v>
      </c>
      <c r="Q571" s="131" t="str">
        <f>IFERROR(VLOOKUP(C571,TD!$B$32:$F$36,3,0)," ")</f>
        <v xml:space="preserve"> </v>
      </c>
      <c r="R571" s="131" t="str">
        <f>IFERROR(VLOOKUP(C571,TD!$B$32:$F$36,4,0)," ")</f>
        <v xml:space="preserve"> </v>
      </c>
      <c r="S571" s="54"/>
      <c r="T571" s="131" t="str">
        <f>IFERROR(VLOOKUP(S571,TD!$J$33:$K$43,2,0)," ")</f>
        <v xml:space="preserve"> </v>
      </c>
      <c r="U571" s="54" t="str">
        <f t="shared" si="32"/>
        <v xml:space="preserve">- </v>
      </c>
      <c r="V571" s="54"/>
      <c r="W571" s="131" t="str">
        <f>IFERROR(VLOOKUP(V571,TD!$N$33:$O$45,2,0)," ")</f>
        <v xml:space="preserve"> </v>
      </c>
      <c r="X571" s="54" t="str">
        <f t="shared" si="33"/>
        <v xml:space="preserve">_ </v>
      </c>
      <c r="Y571" s="54" t="str">
        <f t="shared" si="34"/>
        <v xml:space="preserve">-  _ </v>
      </c>
      <c r="Z571" s="131" t="str">
        <f t="shared" si="35"/>
        <v xml:space="preserve">   </v>
      </c>
      <c r="AA571" s="131" t="str">
        <f>IFERROR(VLOOKUP(Y571,TD!$K$46:$L$64,2,0)," ")</f>
        <v xml:space="preserve"> </v>
      </c>
      <c r="AB571" s="57"/>
      <c r="AC571" s="132"/>
    </row>
    <row r="572" spans="2:29" s="28" customFormat="1">
      <c r="B572" s="85"/>
      <c r="C572" s="53"/>
      <c r="D572" s="129"/>
      <c r="E572" s="54"/>
      <c r="F572" s="129"/>
      <c r="G572" s="129"/>
      <c r="H572" s="55"/>
      <c r="I572" s="133"/>
      <c r="J572" s="130"/>
      <c r="K572" s="56"/>
      <c r="L572" s="57"/>
      <c r="M572" s="129"/>
      <c r="N572" s="57"/>
      <c r="O572" s="54"/>
      <c r="P572" s="131" t="str">
        <f>IFERROR(VLOOKUP(C572,TD!$B$32:$F$36,2,0)," ")</f>
        <v xml:space="preserve"> </v>
      </c>
      <c r="Q572" s="131" t="str">
        <f>IFERROR(VLOOKUP(C572,TD!$B$32:$F$36,3,0)," ")</f>
        <v xml:space="preserve"> </v>
      </c>
      <c r="R572" s="131" t="str">
        <f>IFERROR(VLOOKUP(C572,TD!$B$32:$F$36,4,0)," ")</f>
        <v xml:space="preserve"> </v>
      </c>
      <c r="S572" s="54"/>
      <c r="T572" s="131" t="str">
        <f>IFERROR(VLOOKUP(S572,TD!$J$33:$K$43,2,0)," ")</f>
        <v xml:space="preserve"> </v>
      </c>
      <c r="U572" s="54" t="str">
        <f t="shared" si="32"/>
        <v xml:space="preserve">- </v>
      </c>
      <c r="V572" s="54"/>
      <c r="W572" s="131" t="str">
        <f>IFERROR(VLOOKUP(V572,TD!$N$33:$O$45,2,0)," ")</f>
        <v xml:space="preserve"> </v>
      </c>
      <c r="X572" s="54" t="str">
        <f t="shared" si="33"/>
        <v xml:space="preserve">_ </v>
      </c>
      <c r="Y572" s="54" t="str">
        <f t="shared" si="34"/>
        <v xml:space="preserve">-  _ </v>
      </c>
      <c r="Z572" s="131" t="str">
        <f t="shared" si="35"/>
        <v xml:space="preserve">   </v>
      </c>
      <c r="AA572" s="131" t="str">
        <f>IFERROR(VLOOKUP(Y572,TD!$K$46:$L$64,2,0)," ")</f>
        <v xml:space="preserve"> </v>
      </c>
      <c r="AB572" s="57"/>
      <c r="AC572" s="132"/>
    </row>
    <row r="573" spans="2:29" s="28" customFormat="1">
      <c r="B573" s="85"/>
      <c r="C573" s="53"/>
      <c r="D573" s="129"/>
      <c r="E573" s="54"/>
      <c r="F573" s="129"/>
      <c r="G573" s="129"/>
      <c r="H573" s="55"/>
      <c r="I573" s="133"/>
      <c r="J573" s="130"/>
      <c r="K573" s="56"/>
      <c r="L573" s="57"/>
      <c r="M573" s="129"/>
      <c r="N573" s="57"/>
      <c r="O573" s="54"/>
      <c r="P573" s="131" t="str">
        <f>IFERROR(VLOOKUP(C573,TD!$B$32:$F$36,2,0)," ")</f>
        <v xml:space="preserve"> </v>
      </c>
      <c r="Q573" s="131" t="str">
        <f>IFERROR(VLOOKUP(C573,TD!$B$32:$F$36,3,0)," ")</f>
        <v xml:space="preserve"> </v>
      </c>
      <c r="R573" s="131" t="str">
        <f>IFERROR(VLOOKUP(C573,TD!$B$32:$F$36,4,0)," ")</f>
        <v xml:space="preserve"> </v>
      </c>
      <c r="S573" s="54"/>
      <c r="T573" s="131" t="str">
        <f>IFERROR(VLOOKUP(S573,TD!$J$33:$K$43,2,0)," ")</f>
        <v xml:space="preserve"> </v>
      </c>
      <c r="U573" s="54" t="str">
        <f t="shared" si="32"/>
        <v xml:space="preserve">- </v>
      </c>
      <c r="V573" s="54"/>
      <c r="W573" s="131" t="str">
        <f>IFERROR(VLOOKUP(V573,TD!$N$33:$O$45,2,0)," ")</f>
        <v xml:space="preserve"> </v>
      </c>
      <c r="X573" s="54" t="str">
        <f t="shared" si="33"/>
        <v xml:space="preserve">_ </v>
      </c>
      <c r="Y573" s="54" t="str">
        <f t="shared" si="34"/>
        <v xml:space="preserve">-  _ </v>
      </c>
      <c r="Z573" s="131" t="str">
        <f t="shared" si="35"/>
        <v xml:space="preserve">   </v>
      </c>
      <c r="AA573" s="131" t="str">
        <f>IFERROR(VLOOKUP(Y573,TD!$K$46:$L$64,2,0)," ")</f>
        <v xml:space="preserve"> </v>
      </c>
      <c r="AB573" s="57"/>
      <c r="AC573" s="132"/>
    </row>
    <row r="574" spans="2:29" s="28" customFormat="1">
      <c r="B574" s="85"/>
      <c r="C574" s="53"/>
      <c r="D574" s="129"/>
      <c r="E574" s="54"/>
      <c r="F574" s="129"/>
      <c r="G574" s="129"/>
      <c r="H574" s="55"/>
      <c r="I574" s="133"/>
      <c r="J574" s="130"/>
      <c r="K574" s="56"/>
      <c r="L574" s="57"/>
      <c r="M574" s="129"/>
      <c r="N574" s="57"/>
      <c r="O574" s="54"/>
      <c r="P574" s="131" t="str">
        <f>IFERROR(VLOOKUP(C574,TD!$B$32:$F$36,2,0)," ")</f>
        <v xml:space="preserve"> </v>
      </c>
      <c r="Q574" s="131" t="str">
        <f>IFERROR(VLOOKUP(C574,TD!$B$32:$F$36,3,0)," ")</f>
        <v xml:space="preserve"> </v>
      </c>
      <c r="R574" s="131" t="str">
        <f>IFERROR(VLOOKUP(C574,TD!$B$32:$F$36,4,0)," ")</f>
        <v xml:space="preserve"> </v>
      </c>
      <c r="S574" s="54"/>
      <c r="T574" s="131" t="str">
        <f>IFERROR(VLOOKUP(S574,TD!$J$33:$K$43,2,0)," ")</f>
        <v xml:space="preserve"> </v>
      </c>
      <c r="U574" s="54" t="str">
        <f t="shared" si="32"/>
        <v xml:space="preserve">- </v>
      </c>
      <c r="V574" s="54"/>
      <c r="W574" s="131" t="str">
        <f>IFERROR(VLOOKUP(V574,TD!$N$33:$O$45,2,0)," ")</f>
        <v xml:space="preserve"> </v>
      </c>
      <c r="X574" s="54" t="str">
        <f t="shared" si="33"/>
        <v xml:space="preserve">_ </v>
      </c>
      <c r="Y574" s="54" t="str">
        <f t="shared" si="34"/>
        <v xml:space="preserve">-  _ </v>
      </c>
      <c r="Z574" s="131" t="str">
        <f t="shared" si="35"/>
        <v xml:space="preserve">   </v>
      </c>
      <c r="AA574" s="131" t="str">
        <f>IFERROR(VLOOKUP(Y574,TD!$K$46:$L$64,2,0)," ")</f>
        <v xml:space="preserve"> </v>
      </c>
      <c r="AB574" s="57"/>
      <c r="AC574" s="132"/>
    </row>
    <row r="575" spans="2:29" s="28" customFormat="1">
      <c r="B575" s="85"/>
      <c r="C575" s="53"/>
      <c r="D575" s="129"/>
      <c r="E575" s="54"/>
      <c r="F575" s="129"/>
      <c r="G575" s="129"/>
      <c r="H575" s="55"/>
      <c r="I575" s="133"/>
      <c r="J575" s="130"/>
      <c r="K575" s="56"/>
      <c r="L575" s="57"/>
      <c r="M575" s="129"/>
      <c r="N575" s="57"/>
      <c r="O575" s="54"/>
      <c r="P575" s="131" t="str">
        <f>IFERROR(VLOOKUP(C575,TD!$B$32:$F$36,2,0)," ")</f>
        <v xml:space="preserve"> </v>
      </c>
      <c r="Q575" s="131" t="str">
        <f>IFERROR(VLOOKUP(C575,TD!$B$32:$F$36,3,0)," ")</f>
        <v xml:space="preserve"> </v>
      </c>
      <c r="R575" s="131" t="str">
        <f>IFERROR(VLOOKUP(C575,TD!$B$32:$F$36,4,0)," ")</f>
        <v xml:space="preserve"> </v>
      </c>
      <c r="S575" s="54"/>
      <c r="T575" s="131" t="str">
        <f>IFERROR(VLOOKUP(S575,TD!$J$33:$K$43,2,0)," ")</f>
        <v xml:space="preserve"> </v>
      </c>
      <c r="U575" s="54" t="str">
        <f t="shared" si="32"/>
        <v xml:space="preserve">- </v>
      </c>
      <c r="V575" s="54"/>
      <c r="W575" s="131" t="str">
        <f>IFERROR(VLOOKUP(V575,TD!$N$33:$O$45,2,0)," ")</f>
        <v xml:space="preserve"> </v>
      </c>
      <c r="X575" s="54" t="str">
        <f t="shared" si="33"/>
        <v xml:space="preserve">_ </v>
      </c>
      <c r="Y575" s="54" t="str">
        <f t="shared" si="34"/>
        <v xml:space="preserve">-  _ </v>
      </c>
      <c r="Z575" s="131" t="str">
        <f t="shared" si="35"/>
        <v xml:space="preserve">   </v>
      </c>
      <c r="AA575" s="131" t="str">
        <f>IFERROR(VLOOKUP(Y575,TD!$K$46:$L$64,2,0)," ")</f>
        <v xml:space="preserve"> </v>
      </c>
      <c r="AB575" s="57"/>
      <c r="AC575" s="132"/>
    </row>
    <row r="576" spans="2:29" s="28" customFormat="1">
      <c r="B576" s="85"/>
      <c r="C576" s="53"/>
      <c r="D576" s="129"/>
      <c r="E576" s="54"/>
      <c r="F576" s="129"/>
      <c r="G576" s="129"/>
      <c r="H576" s="55"/>
      <c r="I576" s="133"/>
      <c r="J576" s="130"/>
      <c r="K576" s="56"/>
      <c r="L576" s="57"/>
      <c r="M576" s="129"/>
      <c r="N576" s="57"/>
      <c r="O576" s="54"/>
      <c r="P576" s="131" t="str">
        <f>IFERROR(VLOOKUP(C576,TD!$B$32:$F$36,2,0)," ")</f>
        <v xml:space="preserve"> </v>
      </c>
      <c r="Q576" s="131" t="str">
        <f>IFERROR(VLOOKUP(C576,TD!$B$32:$F$36,3,0)," ")</f>
        <v xml:space="preserve"> </v>
      </c>
      <c r="R576" s="131" t="str">
        <f>IFERROR(VLOOKUP(C576,TD!$B$32:$F$36,4,0)," ")</f>
        <v xml:space="preserve"> </v>
      </c>
      <c r="S576" s="54"/>
      <c r="T576" s="131" t="str">
        <f>IFERROR(VLOOKUP(S576,TD!$J$33:$K$43,2,0)," ")</f>
        <v xml:space="preserve"> </v>
      </c>
      <c r="U576" s="54" t="str">
        <f t="shared" si="32"/>
        <v xml:space="preserve">- </v>
      </c>
      <c r="V576" s="54"/>
      <c r="W576" s="131" t="str">
        <f>IFERROR(VLOOKUP(V576,TD!$N$33:$O$45,2,0)," ")</f>
        <v xml:space="preserve"> </v>
      </c>
      <c r="X576" s="54" t="str">
        <f t="shared" si="33"/>
        <v xml:space="preserve">_ </v>
      </c>
      <c r="Y576" s="54" t="str">
        <f t="shared" si="34"/>
        <v xml:space="preserve">-  _ </v>
      </c>
      <c r="Z576" s="131" t="str">
        <f t="shared" si="35"/>
        <v xml:space="preserve">   </v>
      </c>
      <c r="AA576" s="131" t="str">
        <f>IFERROR(VLOOKUP(Y576,TD!$K$46:$L$64,2,0)," ")</f>
        <v xml:space="preserve"> </v>
      </c>
      <c r="AB576" s="57"/>
      <c r="AC576" s="132"/>
    </row>
    <row r="577" spans="2:29" s="28" customFormat="1">
      <c r="B577" s="85"/>
      <c r="C577" s="53"/>
      <c r="D577" s="129"/>
      <c r="E577" s="54"/>
      <c r="F577" s="129"/>
      <c r="G577" s="129"/>
      <c r="H577" s="55"/>
      <c r="I577" s="133"/>
      <c r="J577" s="130"/>
      <c r="K577" s="56"/>
      <c r="L577" s="57"/>
      <c r="M577" s="129"/>
      <c r="N577" s="57"/>
      <c r="O577" s="54"/>
      <c r="P577" s="131" t="str">
        <f>IFERROR(VLOOKUP(C577,TD!$B$32:$F$36,2,0)," ")</f>
        <v xml:space="preserve"> </v>
      </c>
      <c r="Q577" s="131" t="str">
        <f>IFERROR(VLOOKUP(C577,TD!$B$32:$F$36,3,0)," ")</f>
        <v xml:space="preserve"> </v>
      </c>
      <c r="R577" s="131" t="str">
        <f>IFERROR(VLOOKUP(C577,TD!$B$32:$F$36,4,0)," ")</f>
        <v xml:space="preserve"> </v>
      </c>
      <c r="S577" s="54"/>
      <c r="T577" s="131" t="str">
        <f>IFERROR(VLOOKUP(S577,TD!$J$33:$K$43,2,0)," ")</f>
        <v xml:space="preserve"> </v>
      </c>
      <c r="U577" s="54" t="str">
        <f t="shared" si="32"/>
        <v xml:space="preserve">- </v>
      </c>
      <c r="V577" s="54"/>
      <c r="W577" s="131" t="str">
        <f>IFERROR(VLOOKUP(V577,TD!$N$33:$O$45,2,0)," ")</f>
        <v xml:space="preserve"> </v>
      </c>
      <c r="X577" s="54" t="str">
        <f t="shared" si="33"/>
        <v xml:space="preserve">_ </v>
      </c>
      <c r="Y577" s="54" t="str">
        <f t="shared" si="34"/>
        <v xml:space="preserve">-  _ </v>
      </c>
      <c r="Z577" s="131" t="str">
        <f t="shared" si="35"/>
        <v xml:space="preserve">   </v>
      </c>
      <c r="AA577" s="131" t="str">
        <f>IFERROR(VLOOKUP(Y577,TD!$K$46:$L$64,2,0)," ")</f>
        <v xml:space="preserve"> </v>
      </c>
      <c r="AB577" s="57"/>
      <c r="AC577" s="132"/>
    </row>
    <row r="578" spans="2:29" s="28" customFormat="1">
      <c r="B578" s="85"/>
      <c r="C578" s="53"/>
      <c r="D578" s="129"/>
      <c r="E578" s="54"/>
      <c r="F578" s="129"/>
      <c r="G578" s="129"/>
      <c r="H578" s="55"/>
      <c r="I578" s="133"/>
      <c r="J578" s="130"/>
      <c r="K578" s="56"/>
      <c r="L578" s="57"/>
      <c r="M578" s="129"/>
      <c r="N578" s="57"/>
      <c r="O578" s="54"/>
      <c r="P578" s="131" t="str">
        <f>IFERROR(VLOOKUP(C578,TD!$B$32:$F$36,2,0)," ")</f>
        <v xml:space="preserve"> </v>
      </c>
      <c r="Q578" s="131" t="str">
        <f>IFERROR(VLOOKUP(C578,TD!$B$32:$F$36,3,0)," ")</f>
        <v xml:space="preserve"> </v>
      </c>
      <c r="R578" s="131" t="str">
        <f>IFERROR(VLOOKUP(C578,TD!$B$32:$F$36,4,0)," ")</f>
        <v xml:space="preserve"> </v>
      </c>
      <c r="S578" s="54"/>
      <c r="T578" s="131" t="str">
        <f>IFERROR(VLOOKUP(S578,TD!$J$33:$K$43,2,0)," ")</f>
        <v xml:space="preserve"> </v>
      </c>
      <c r="U578" s="54" t="str">
        <f t="shared" si="32"/>
        <v xml:space="preserve">- </v>
      </c>
      <c r="V578" s="54"/>
      <c r="W578" s="131" t="str">
        <f>IFERROR(VLOOKUP(V578,TD!$N$33:$O$45,2,0)," ")</f>
        <v xml:space="preserve"> </v>
      </c>
      <c r="X578" s="54" t="str">
        <f t="shared" si="33"/>
        <v xml:space="preserve">_ </v>
      </c>
      <c r="Y578" s="54" t="str">
        <f t="shared" si="34"/>
        <v xml:space="preserve">-  _ </v>
      </c>
      <c r="Z578" s="131" t="str">
        <f t="shared" si="35"/>
        <v xml:space="preserve">   </v>
      </c>
      <c r="AA578" s="131" t="str">
        <f>IFERROR(VLOOKUP(Y578,TD!$K$46:$L$64,2,0)," ")</f>
        <v xml:space="preserve"> </v>
      </c>
      <c r="AB578" s="57"/>
      <c r="AC578" s="132"/>
    </row>
    <row r="579" spans="2:29" s="28" customFormat="1">
      <c r="B579" s="85"/>
      <c r="C579" s="53"/>
      <c r="D579" s="129"/>
      <c r="E579" s="54"/>
      <c r="F579" s="129"/>
      <c r="G579" s="129"/>
      <c r="H579" s="55"/>
      <c r="I579" s="133"/>
      <c r="J579" s="130"/>
      <c r="K579" s="56"/>
      <c r="L579" s="57"/>
      <c r="M579" s="129"/>
      <c r="N579" s="57"/>
      <c r="O579" s="54"/>
      <c r="P579" s="131" t="str">
        <f>IFERROR(VLOOKUP(C579,TD!$B$32:$F$36,2,0)," ")</f>
        <v xml:space="preserve"> </v>
      </c>
      <c r="Q579" s="131" t="str">
        <f>IFERROR(VLOOKUP(C579,TD!$B$32:$F$36,3,0)," ")</f>
        <v xml:space="preserve"> </v>
      </c>
      <c r="R579" s="131" t="str">
        <f>IFERROR(VLOOKUP(C579,TD!$B$32:$F$36,4,0)," ")</f>
        <v xml:space="preserve"> </v>
      </c>
      <c r="S579" s="54"/>
      <c r="T579" s="131" t="str">
        <f>IFERROR(VLOOKUP(S579,TD!$J$33:$K$43,2,0)," ")</f>
        <v xml:space="preserve"> </v>
      </c>
      <c r="U579" s="54" t="str">
        <f t="shared" si="32"/>
        <v xml:space="preserve">- </v>
      </c>
      <c r="V579" s="54"/>
      <c r="W579" s="131" t="str">
        <f>IFERROR(VLOOKUP(V579,TD!$N$33:$O$45,2,0)," ")</f>
        <v xml:space="preserve"> </v>
      </c>
      <c r="X579" s="54" t="str">
        <f t="shared" si="33"/>
        <v xml:space="preserve">_ </v>
      </c>
      <c r="Y579" s="54" t="str">
        <f t="shared" si="34"/>
        <v xml:space="preserve">-  _ </v>
      </c>
      <c r="Z579" s="131" t="str">
        <f t="shared" si="35"/>
        <v xml:space="preserve">   </v>
      </c>
      <c r="AA579" s="131" t="str">
        <f>IFERROR(VLOOKUP(Y579,TD!$K$46:$L$64,2,0)," ")</f>
        <v xml:space="preserve"> </v>
      </c>
      <c r="AB579" s="57"/>
      <c r="AC579" s="132"/>
    </row>
    <row r="580" spans="2:29" s="28" customFormat="1">
      <c r="B580" s="85"/>
      <c r="C580" s="53"/>
      <c r="D580" s="129"/>
      <c r="E580" s="54"/>
      <c r="F580" s="129"/>
      <c r="G580" s="129"/>
      <c r="H580" s="55"/>
      <c r="I580" s="133"/>
      <c r="J580" s="130"/>
      <c r="K580" s="56"/>
      <c r="L580" s="57"/>
      <c r="M580" s="129"/>
      <c r="N580" s="57"/>
      <c r="O580" s="54"/>
      <c r="P580" s="131" t="str">
        <f>IFERROR(VLOOKUP(C580,TD!$B$32:$F$36,2,0)," ")</f>
        <v xml:space="preserve"> </v>
      </c>
      <c r="Q580" s="131" t="str">
        <f>IFERROR(VLOOKUP(C580,TD!$B$32:$F$36,3,0)," ")</f>
        <v xml:space="preserve"> </v>
      </c>
      <c r="R580" s="131" t="str">
        <f>IFERROR(VLOOKUP(C580,TD!$B$32:$F$36,4,0)," ")</f>
        <v xml:space="preserve"> </v>
      </c>
      <c r="S580" s="54"/>
      <c r="T580" s="131" t="str">
        <f>IFERROR(VLOOKUP(S580,TD!$J$33:$K$43,2,0)," ")</f>
        <v xml:space="preserve"> </v>
      </c>
      <c r="U580" s="54" t="str">
        <f t="shared" si="32"/>
        <v xml:space="preserve">- </v>
      </c>
      <c r="V580" s="54"/>
      <c r="W580" s="131" t="str">
        <f>IFERROR(VLOOKUP(V580,TD!$N$33:$O$45,2,0)," ")</f>
        <v xml:space="preserve"> </v>
      </c>
      <c r="X580" s="54" t="str">
        <f t="shared" si="33"/>
        <v xml:space="preserve">_ </v>
      </c>
      <c r="Y580" s="54" t="str">
        <f t="shared" si="34"/>
        <v xml:space="preserve">-  _ </v>
      </c>
      <c r="Z580" s="131" t="str">
        <f t="shared" si="35"/>
        <v xml:space="preserve">   </v>
      </c>
      <c r="AA580" s="131" t="str">
        <f>IFERROR(VLOOKUP(Y580,TD!$K$46:$L$64,2,0)," ")</f>
        <v xml:space="preserve"> </v>
      </c>
      <c r="AB580" s="57"/>
      <c r="AC580" s="132"/>
    </row>
    <row r="581" spans="2:29" s="28" customFormat="1">
      <c r="B581" s="85"/>
      <c r="C581" s="53"/>
      <c r="D581" s="129"/>
      <c r="E581" s="54"/>
      <c r="F581" s="129"/>
      <c r="G581" s="129"/>
      <c r="H581" s="55"/>
      <c r="I581" s="133"/>
      <c r="J581" s="130"/>
      <c r="K581" s="56"/>
      <c r="L581" s="57"/>
      <c r="M581" s="129"/>
      <c r="N581" s="57"/>
      <c r="O581" s="54"/>
      <c r="P581" s="131" t="str">
        <f>IFERROR(VLOOKUP(C581,TD!$B$32:$F$36,2,0)," ")</f>
        <v xml:space="preserve"> </v>
      </c>
      <c r="Q581" s="131" t="str">
        <f>IFERROR(VLOOKUP(C581,TD!$B$32:$F$36,3,0)," ")</f>
        <v xml:space="preserve"> </v>
      </c>
      <c r="R581" s="131" t="str">
        <f>IFERROR(VLOOKUP(C581,TD!$B$32:$F$36,4,0)," ")</f>
        <v xml:space="preserve"> </v>
      </c>
      <c r="S581" s="54"/>
      <c r="T581" s="131" t="str">
        <f>IFERROR(VLOOKUP(S581,TD!$J$33:$K$43,2,0)," ")</f>
        <v xml:space="preserve"> </v>
      </c>
      <c r="U581" s="54" t="str">
        <f t="shared" si="32"/>
        <v xml:space="preserve">- </v>
      </c>
      <c r="V581" s="54"/>
      <c r="W581" s="131" t="str">
        <f>IFERROR(VLOOKUP(V581,TD!$N$33:$O$45,2,0)," ")</f>
        <v xml:space="preserve"> </v>
      </c>
      <c r="X581" s="54" t="str">
        <f t="shared" si="33"/>
        <v xml:space="preserve">_ </v>
      </c>
      <c r="Y581" s="54" t="str">
        <f t="shared" si="34"/>
        <v xml:space="preserve">-  _ </v>
      </c>
      <c r="Z581" s="131" t="str">
        <f t="shared" si="35"/>
        <v xml:space="preserve">   </v>
      </c>
      <c r="AA581" s="131" t="str">
        <f>IFERROR(VLOOKUP(Y581,TD!$K$46:$L$64,2,0)," ")</f>
        <v xml:space="preserve"> </v>
      </c>
      <c r="AB581" s="57"/>
      <c r="AC581" s="132"/>
    </row>
    <row r="582" spans="2:29" s="28" customFormat="1">
      <c r="B582" s="85"/>
      <c r="C582" s="53"/>
      <c r="D582" s="129"/>
      <c r="E582" s="54"/>
      <c r="F582" s="129"/>
      <c r="G582" s="129"/>
      <c r="H582" s="55"/>
      <c r="I582" s="133"/>
      <c r="J582" s="130"/>
      <c r="K582" s="56"/>
      <c r="L582" s="57"/>
      <c r="M582" s="129"/>
      <c r="N582" s="57"/>
      <c r="O582" s="54"/>
      <c r="P582" s="131" t="str">
        <f>IFERROR(VLOOKUP(C582,TD!$B$32:$F$36,2,0)," ")</f>
        <v xml:space="preserve"> </v>
      </c>
      <c r="Q582" s="131" t="str">
        <f>IFERROR(VLOOKUP(C582,TD!$B$32:$F$36,3,0)," ")</f>
        <v xml:space="preserve"> </v>
      </c>
      <c r="R582" s="131" t="str">
        <f>IFERROR(VLOOKUP(C582,TD!$B$32:$F$36,4,0)," ")</f>
        <v xml:space="preserve"> </v>
      </c>
      <c r="S582" s="54"/>
      <c r="T582" s="131" t="str">
        <f>IFERROR(VLOOKUP(S582,TD!$J$33:$K$43,2,0)," ")</f>
        <v xml:space="preserve"> </v>
      </c>
      <c r="U582" s="54" t="str">
        <f t="shared" si="32"/>
        <v xml:space="preserve">- </v>
      </c>
      <c r="V582" s="54"/>
      <c r="W582" s="131" t="str">
        <f>IFERROR(VLOOKUP(V582,TD!$N$33:$O$45,2,0)," ")</f>
        <v xml:space="preserve"> </v>
      </c>
      <c r="X582" s="54" t="str">
        <f t="shared" si="33"/>
        <v xml:space="preserve">_ </v>
      </c>
      <c r="Y582" s="54" t="str">
        <f t="shared" si="34"/>
        <v xml:space="preserve">-  _ </v>
      </c>
      <c r="Z582" s="131" t="str">
        <f t="shared" si="35"/>
        <v xml:space="preserve">   </v>
      </c>
      <c r="AA582" s="131" t="str">
        <f>IFERROR(VLOOKUP(Y582,TD!$K$46:$L$64,2,0)," ")</f>
        <v xml:space="preserve"> </v>
      </c>
      <c r="AB582" s="57"/>
      <c r="AC582" s="132"/>
    </row>
    <row r="583" spans="2:29" s="28" customFormat="1">
      <c r="B583" s="85"/>
      <c r="C583" s="53"/>
      <c r="D583" s="129"/>
      <c r="E583" s="54"/>
      <c r="F583" s="129"/>
      <c r="G583" s="129"/>
      <c r="H583" s="55"/>
      <c r="I583" s="133"/>
      <c r="J583" s="130"/>
      <c r="K583" s="56"/>
      <c r="L583" s="57"/>
      <c r="M583" s="129"/>
      <c r="N583" s="57"/>
      <c r="O583" s="54"/>
      <c r="P583" s="131" t="str">
        <f>IFERROR(VLOOKUP(C583,TD!$B$32:$F$36,2,0)," ")</f>
        <v xml:space="preserve"> </v>
      </c>
      <c r="Q583" s="131" t="str">
        <f>IFERROR(VLOOKUP(C583,TD!$B$32:$F$36,3,0)," ")</f>
        <v xml:space="preserve"> </v>
      </c>
      <c r="R583" s="131" t="str">
        <f>IFERROR(VLOOKUP(C583,TD!$B$32:$F$36,4,0)," ")</f>
        <v xml:space="preserve"> </v>
      </c>
      <c r="S583" s="54"/>
      <c r="T583" s="131" t="str">
        <f>IFERROR(VLOOKUP(S583,TD!$J$33:$K$43,2,0)," ")</f>
        <v xml:space="preserve"> </v>
      </c>
      <c r="U583" s="54" t="str">
        <f t="shared" si="32"/>
        <v xml:space="preserve">- </v>
      </c>
      <c r="V583" s="54"/>
      <c r="W583" s="131" t="str">
        <f>IFERROR(VLOOKUP(V583,TD!$N$33:$O$45,2,0)," ")</f>
        <v xml:space="preserve"> </v>
      </c>
      <c r="X583" s="54" t="str">
        <f t="shared" si="33"/>
        <v xml:space="preserve">_ </v>
      </c>
      <c r="Y583" s="54" t="str">
        <f t="shared" si="34"/>
        <v xml:space="preserve">-  _ </v>
      </c>
      <c r="Z583" s="131" t="str">
        <f t="shared" si="35"/>
        <v xml:space="preserve">   </v>
      </c>
      <c r="AA583" s="131" t="str">
        <f>IFERROR(VLOOKUP(Y583,TD!$K$46:$L$64,2,0)," ")</f>
        <v xml:space="preserve"> </v>
      </c>
      <c r="AB583" s="57"/>
      <c r="AC583" s="132"/>
    </row>
    <row r="584" spans="2:29" s="28" customFormat="1">
      <c r="B584" s="85"/>
      <c r="C584" s="53"/>
      <c r="D584" s="129"/>
      <c r="E584" s="54"/>
      <c r="F584" s="129"/>
      <c r="G584" s="129"/>
      <c r="H584" s="55"/>
      <c r="I584" s="133"/>
      <c r="J584" s="130"/>
      <c r="K584" s="56"/>
      <c r="L584" s="57"/>
      <c r="M584" s="129"/>
      <c r="N584" s="57"/>
      <c r="O584" s="54"/>
      <c r="P584" s="131" t="str">
        <f>IFERROR(VLOOKUP(C584,TD!$B$32:$F$36,2,0)," ")</f>
        <v xml:space="preserve"> </v>
      </c>
      <c r="Q584" s="131" t="str">
        <f>IFERROR(VLOOKUP(C584,TD!$B$32:$F$36,3,0)," ")</f>
        <v xml:space="preserve"> </v>
      </c>
      <c r="R584" s="131" t="str">
        <f>IFERROR(VLOOKUP(C584,TD!$B$32:$F$36,4,0)," ")</f>
        <v xml:space="preserve"> </v>
      </c>
      <c r="S584" s="54"/>
      <c r="T584" s="131" t="str">
        <f>IFERROR(VLOOKUP(S584,TD!$J$33:$K$43,2,0)," ")</f>
        <v xml:space="preserve"> </v>
      </c>
      <c r="U584" s="54" t="str">
        <f t="shared" si="32"/>
        <v xml:space="preserve">- </v>
      </c>
      <c r="V584" s="54"/>
      <c r="W584" s="131" t="str">
        <f>IFERROR(VLOOKUP(V584,TD!$N$33:$O$45,2,0)," ")</f>
        <v xml:space="preserve"> </v>
      </c>
      <c r="X584" s="54" t="str">
        <f t="shared" si="33"/>
        <v xml:space="preserve">_ </v>
      </c>
      <c r="Y584" s="54" t="str">
        <f t="shared" si="34"/>
        <v xml:space="preserve">-  _ </v>
      </c>
      <c r="Z584" s="131" t="str">
        <f t="shared" si="35"/>
        <v xml:space="preserve">   </v>
      </c>
      <c r="AA584" s="131" t="str">
        <f>IFERROR(VLOOKUP(Y584,TD!$K$46:$L$64,2,0)," ")</f>
        <v xml:space="preserve"> </v>
      </c>
      <c r="AB584" s="57"/>
      <c r="AC584" s="132"/>
    </row>
    <row r="585" spans="2:29" s="28" customFormat="1">
      <c r="B585" s="85"/>
      <c r="C585" s="53"/>
      <c r="D585" s="129"/>
      <c r="E585" s="54"/>
      <c r="F585" s="129"/>
      <c r="G585" s="129"/>
      <c r="H585" s="55"/>
      <c r="I585" s="133"/>
      <c r="J585" s="130"/>
      <c r="K585" s="56"/>
      <c r="L585" s="57"/>
      <c r="M585" s="129"/>
      <c r="N585" s="57"/>
      <c r="O585" s="54"/>
      <c r="P585" s="131" t="str">
        <f>IFERROR(VLOOKUP(C585,TD!$B$32:$F$36,2,0)," ")</f>
        <v xml:space="preserve"> </v>
      </c>
      <c r="Q585" s="131" t="str">
        <f>IFERROR(VLOOKUP(C585,TD!$B$32:$F$36,3,0)," ")</f>
        <v xml:space="preserve"> </v>
      </c>
      <c r="R585" s="131" t="str">
        <f>IFERROR(VLOOKUP(C585,TD!$B$32:$F$36,4,0)," ")</f>
        <v xml:space="preserve"> </v>
      </c>
      <c r="S585" s="54"/>
      <c r="T585" s="131" t="str">
        <f>IFERROR(VLOOKUP(S585,TD!$J$33:$K$43,2,0)," ")</f>
        <v xml:space="preserve"> </v>
      </c>
      <c r="U585" s="54" t="str">
        <f t="shared" si="32"/>
        <v xml:space="preserve">- </v>
      </c>
      <c r="V585" s="54"/>
      <c r="W585" s="131" t="str">
        <f>IFERROR(VLOOKUP(V585,TD!$N$33:$O$45,2,0)," ")</f>
        <v xml:space="preserve"> </v>
      </c>
      <c r="X585" s="54" t="str">
        <f t="shared" si="33"/>
        <v xml:space="preserve">_ </v>
      </c>
      <c r="Y585" s="54" t="str">
        <f t="shared" si="34"/>
        <v xml:space="preserve">-  _ </v>
      </c>
      <c r="Z585" s="131" t="str">
        <f t="shared" si="35"/>
        <v xml:space="preserve">   </v>
      </c>
      <c r="AA585" s="131" t="str">
        <f>IFERROR(VLOOKUP(Y585,TD!$K$46:$L$64,2,0)," ")</f>
        <v xml:space="preserve"> </v>
      </c>
      <c r="AB585" s="57"/>
      <c r="AC585" s="132"/>
    </row>
    <row r="586" spans="2:29" s="28" customFormat="1">
      <c r="B586" s="85"/>
      <c r="C586" s="53"/>
      <c r="D586" s="129"/>
      <c r="E586" s="54"/>
      <c r="F586" s="129"/>
      <c r="G586" s="129"/>
      <c r="H586" s="55"/>
      <c r="I586" s="133"/>
      <c r="J586" s="130"/>
      <c r="K586" s="56"/>
      <c r="L586" s="57"/>
      <c r="M586" s="129"/>
      <c r="N586" s="57"/>
      <c r="O586" s="54"/>
      <c r="P586" s="131" t="str">
        <f>IFERROR(VLOOKUP(C586,TD!$B$32:$F$36,2,0)," ")</f>
        <v xml:space="preserve"> </v>
      </c>
      <c r="Q586" s="131" t="str">
        <f>IFERROR(VLOOKUP(C586,TD!$B$32:$F$36,3,0)," ")</f>
        <v xml:space="preserve"> </v>
      </c>
      <c r="R586" s="131" t="str">
        <f>IFERROR(VLOOKUP(C586,TD!$B$32:$F$36,4,0)," ")</f>
        <v xml:space="preserve"> </v>
      </c>
      <c r="S586" s="54"/>
      <c r="T586" s="131" t="str">
        <f>IFERROR(VLOOKUP(S586,TD!$J$33:$K$43,2,0)," ")</f>
        <v xml:space="preserve"> </v>
      </c>
      <c r="U586" s="54" t="str">
        <f t="shared" si="32"/>
        <v xml:space="preserve">- </v>
      </c>
      <c r="V586" s="54"/>
      <c r="W586" s="131" t="str">
        <f>IFERROR(VLOOKUP(V586,TD!$N$33:$O$45,2,0)," ")</f>
        <v xml:space="preserve"> </v>
      </c>
      <c r="X586" s="54" t="str">
        <f t="shared" si="33"/>
        <v xml:space="preserve">_ </v>
      </c>
      <c r="Y586" s="54" t="str">
        <f t="shared" si="34"/>
        <v xml:space="preserve">-  _ </v>
      </c>
      <c r="Z586" s="131" t="str">
        <f t="shared" si="35"/>
        <v xml:space="preserve">   </v>
      </c>
      <c r="AA586" s="131" t="str">
        <f>IFERROR(VLOOKUP(Y586,TD!$K$46:$L$64,2,0)," ")</f>
        <v xml:space="preserve"> </v>
      </c>
      <c r="AB586" s="57"/>
      <c r="AC586" s="132"/>
    </row>
    <row r="587" spans="2:29" s="28" customFormat="1">
      <c r="B587" s="85"/>
      <c r="C587" s="53"/>
      <c r="D587" s="129"/>
      <c r="E587" s="54"/>
      <c r="F587" s="129"/>
      <c r="G587" s="129"/>
      <c r="H587" s="55"/>
      <c r="I587" s="133"/>
      <c r="J587" s="130"/>
      <c r="K587" s="56"/>
      <c r="L587" s="57"/>
      <c r="M587" s="129"/>
      <c r="N587" s="57"/>
      <c r="O587" s="54"/>
      <c r="P587" s="131" t="str">
        <f>IFERROR(VLOOKUP(C587,TD!$B$32:$F$36,2,0)," ")</f>
        <v xml:space="preserve"> </v>
      </c>
      <c r="Q587" s="131" t="str">
        <f>IFERROR(VLOOKUP(C587,TD!$B$32:$F$36,3,0)," ")</f>
        <v xml:space="preserve"> </v>
      </c>
      <c r="R587" s="131" t="str">
        <f>IFERROR(VLOOKUP(C587,TD!$B$32:$F$36,4,0)," ")</f>
        <v xml:space="preserve"> </v>
      </c>
      <c r="S587" s="54"/>
      <c r="T587" s="131" t="str">
        <f>IFERROR(VLOOKUP(S587,TD!$J$33:$K$43,2,0)," ")</f>
        <v xml:space="preserve"> </v>
      </c>
      <c r="U587" s="54" t="str">
        <f t="shared" ref="U587:U650" si="36">CONCATENATE(S587,"-",T587)</f>
        <v xml:space="preserve">- </v>
      </c>
      <c r="V587" s="54"/>
      <c r="W587" s="131" t="str">
        <f>IFERROR(VLOOKUP(V587,TD!$N$33:$O$45,2,0)," ")</f>
        <v xml:space="preserve"> </v>
      </c>
      <c r="X587" s="54" t="str">
        <f t="shared" ref="X587:X650" si="37">CONCATENATE(V587,"_",W587)</f>
        <v xml:space="preserve">_ </v>
      </c>
      <c r="Y587" s="54" t="str">
        <f t="shared" ref="Y587:Y650" si="38">CONCATENATE(U587," ",X587)</f>
        <v xml:space="preserve">-  _ </v>
      </c>
      <c r="Z587" s="131" t="str">
        <f t="shared" ref="Z587:Z650" si="39">CONCATENATE(P587,Q587,R587,S587,V587)</f>
        <v xml:space="preserve">   </v>
      </c>
      <c r="AA587" s="131" t="str">
        <f>IFERROR(VLOOKUP(Y587,TD!$K$46:$L$64,2,0)," ")</f>
        <v xml:space="preserve"> </v>
      </c>
      <c r="AB587" s="57"/>
      <c r="AC587" s="132"/>
    </row>
    <row r="588" spans="2:29" s="28" customFormat="1">
      <c r="B588" s="85"/>
      <c r="C588" s="53"/>
      <c r="D588" s="129"/>
      <c r="E588" s="54"/>
      <c r="F588" s="129"/>
      <c r="G588" s="129"/>
      <c r="H588" s="55"/>
      <c r="I588" s="133"/>
      <c r="J588" s="130"/>
      <c r="K588" s="56"/>
      <c r="L588" s="57"/>
      <c r="M588" s="129"/>
      <c r="N588" s="57"/>
      <c r="O588" s="54"/>
      <c r="P588" s="131" t="str">
        <f>IFERROR(VLOOKUP(C588,TD!$B$32:$F$36,2,0)," ")</f>
        <v xml:space="preserve"> </v>
      </c>
      <c r="Q588" s="131" t="str">
        <f>IFERROR(VLOOKUP(C588,TD!$B$32:$F$36,3,0)," ")</f>
        <v xml:space="preserve"> </v>
      </c>
      <c r="R588" s="131" t="str">
        <f>IFERROR(VLOOKUP(C588,TD!$B$32:$F$36,4,0)," ")</f>
        <v xml:space="preserve"> </v>
      </c>
      <c r="S588" s="54"/>
      <c r="T588" s="131" t="str">
        <f>IFERROR(VLOOKUP(S588,TD!$J$33:$K$43,2,0)," ")</f>
        <v xml:space="preserve"> </v>
      </c>
      <c r="U588" s="54" t="str">
        <f t="shared" si="36"/>
        <v xml:space="preserve">- </v>
      </c>
      <c r="V588" s="54"/>
      <c r="W588" s="131" t="str">
        <f>IFERROR(VLOOKUP(V588,TD!$N$33:$O$45,2,0)," ")</f>
        <v xml:space="preserve"> </v>
      </c>
      <c r="X588" s="54" t="str">
        <f t="shared" si="37"/>
        <v xml:space="preserve">_ </v>
      </c>
      <c r="Y588" s="54" t="str">
        <f t="shared" si="38"/>
        <v xml:space="preserve">-  _ </v>
      </c>
      <c r="Z588" s="131" t="str">
        <f t="shared" si="39"/>
        <v xml:space="preserve">   </v>
      </c>
      <c r="AA588" s="131" t="str">
        <f>IFERROR(VLOOKUP(Y588,TD!$K$46:$L$64,2,0)," ")</f>
        <v xml:space="preserve"> </v>
      </c>
      <c r="AB588" s="57"/>
      <c r="AC588" s="132"/>
    </row>
    <row r="589" spans="2:29" s="28" customFormat="1">
      <c r="B589" s="85"/>
      <c r="C589" s="53"/>
      <c r="D589" s="129"/>
      <c r="E589" s="54"/>
      <c r="F589" s="129"/>
      <c r="G589" s="129"/>
      <c r="H589" s="55"/>
      <c r="I589" s="133"/>
      <c r="J589" s="130"/>
      <c r="K589" s="56"/>
      <c r="L589" s="57"/>
      <c r="M589" s="129"/>
      <c r="N589" s="57"/>
      <c r="O589" s="54"/>
      <c r="P589" s="131" t="str">
        <f>IFERROR(VLOOKUP(C589,TD!$B$32:$F$36,2,0)," ")</f>
        <v xml:space="preserve"> </v>
      </c>
      <c r="Q589" s="131" t="str">
        <f>IFERROR(VLOOKUP(C589,TD!$B$32:$F$36,3,0)," ")</f>
        <v xml:space="preserve"> </v>
      </c>
      <c r="R589" s="131" t="str">
        <f>IFERROR(VLOOKUP(C589,TD!$B$32:$F$36,4,0)," ")</f>
        <v xml:space="preserve"> </v>
      </c>
      <c r="S589" s="54"/>
      <c r="T589" s="131" t="str">
        <f>IFERROR(VLOOKUP(S589,TD!$J$33:$K$43,2,0)," ")</f>
        <v xml:space="preserve"> </v>
      </c>
      <c r="U589" s="54" t="str">
        <f t="shared" si="36"/>
        <v xml:space="preserve">- </v>
      </c>
      <c r="V589" s="54"/>
      <c r="W589" s="131" t="str">
        <f>IFERROR(VLOOKUP(V589,TD!$N$33:$O$45,2,0)," ")</f>
        <v xml:space="preserve"> </v>
      </c>
      <c r="X589" s="54" t="str">
        <f t="shared" si="37"/>
        <v xml:space="preserve">_ </v>
      </c>
      <c r="Y589" s="54" t="str">
        <f t="shared" si="38"/>
        <v xml:space="preserve">-  _ </v>
      </c>
      <c r="Z589" s="131" t="str">
        <f t="shared" si="39"/>
        <v xml:space="preserve">   </v>
      </c>
      <c r="AA589" s="131" t="str">
        <f>IFERROR(VLOOKUP(Y589,TD!$K$46:$L$64,2,0)," ")</f>
        <v xml:space="preserve"> </v>
      </c>
      <c r="AB589" s="57"/>
      <c r="AC589" s="132"/>
    </row>
    <row r="590" spans="2:29" s="28" customFormat="1">
      <c r="B590" s="85"/>
      <c r="C590" s="53"/>
      <c r="D590" s="129"/>
      <c r="E590" s="54"/>
      <c r="F590" s="129"/>
      <c r="G590" s="129"/>
      <c r="H590" s="55"/>
      <c r="I590" s="133"/>
      <c r="J590" s="130"/>
      <c r="K590" s="56"/>
      <c r="L590" s="57"/>
      <c r="M590" s="129"/>
      <c r="N590" s="57"/>
      <c r="O590" s="54"/>
      <c r="P590" s="131" t="str">
        <f>IFERROR(VLOOKUP(C590,TD!$B$32:$F$36,2,0)," ")</f>
        <v xml:space="preserve"> </v>
      </c>
      <c r="Q590" s="131" t="str">
        <f>IFERROR(VLOOKUP(C590,TD!$B$32:$F$36,3,0)," ")</f>
        <v xml:space="preserve"> </v>
      </c>
      <c r="R590" s="131" t="str">
        <f>IFERROR(VLOOKUP(C590,TD!$B$32:$F$36,4,0)," ")</f>
        <v xml:space="preserve"> </v>
      </c>
      <c r="S590" s="54"/>
      <c r="T590" s="131" t="str">
        <f>IFERROR(VLOOKUP(S590,TD!$J$33:$K$43,2,0)," ")</f>
        <v xml:space="preserve"> </v>
      </c>
      <c r="U590" s="54" t="str">
        <f t="shared" si="36"/>
        <v xml:space="preserve">- </v>
      </c>
      <c r="V590" s="54"/>
      <c r="W590" s="131" t="str">
        <f>IFERROR(VLOOKUP(V590,TD!$N$33:$O$45,2,0)," ")</f>
        <v xml:space="preserve"> </v>
      </c>
      <c r="X590" s="54" t="str">
        <f t="shared" si="37"/>
        <v xml:space="preserve">_ </v>
      </c>
      <c r="Y590" s="54" t="str">
        <f t="shared" si="38"/>
        <v xml:space="preserve">-  _ </v>
      </c>
      <c r="Z590" s="131" t="str">
        <f t="shared" si="39"/>
        <v xml:space="preserve">   </v>
      </c>
      <c r="AA590" s="131" t="str">
        <f>IFERROR(VLOOKUP(Y590,TD!$K$46:$L$64,2,0)," ")</f>
        <v xml:space="preserve"> </v>
      </c>
      <c r="AB590" s="57"/>
      <c r="AC590" s="132"/>
    </row>
    <row r="591" spans="2:29" s="28" customFormat="1">
      <c r="B591" s="85"/>
      <c r="C591" s="53"/>
      <c r="D591" s="129"/>
      <c r="E591" s="54"/>
      <c r="F591" s="129"/>
      <c r="G591" s="129"/>
      <c r="H591" s="55"/>
      <c r="I591" s="133"/>
      <c r="J591" s="130"/>
      <c r="K591" s="56"/>
      <c r="L591" s="57"/>
      <c r="M591" s="129"/>
      <c r="N591" s="57"/>
      <c r="O591" s="54"/>
      <c r="P591" s="131" t="str">
        <f>IFERROR(VLOOKUP(C591,TD!$B$32:$F$36,2,0)," ")</f>
        <v xml:space="preserve"> </v>
      </c>
      <c r="Q591" s="131" t="str">
        <f>IFERROR(VLOOKUP(C591,TD!$B$32:$F$36,3,0)," ")</f>
        <v xml:space="preserve"> </v>
      </c>
      <c r="R591" s="131" t="str">
        <f>IFERROR(VLOOKUP(C591,TD!$B$32:$F$36,4,0)," ")</f>
        <v xml:space="preserve"> </v>
      </c>
      <c r="S591" s="54"/>
      <c r="T591" s="131" t="str">
        <f>IFERROR(VLOOKUP(S591,TD!$J$33:$K$43,2,0)," ")</f>
        <v xml:space="preserve"> </v>
      </c>
      <c r="U591" s="54" t="str">
        <f t="shared" si="36"/>
        <v xml:space="preserve">- </v>
      </c>
      <c r="V591" s="54"/>
      <c r="W591" s="131" t="str">
        <f>IFERROR(VLOOKUP(V591,TD!$N$33:$O$45,2,0)," ")</f>
        <v xml:space="preserve"> </v>
      </c>
      <c r="X591" s="54" t="str">
        <f t="shared" si="37"/>
        <v xml:space="preserve">_ </v>
      </c>
      <c r="Y591" s="54" t="str">
        <f t="shared" si="38"/>
        <v xml:space="preserve">-  _ </v>
      </c>
      <c r="Z591" s="131" t="str">
        <f t="shared" si="39"/>
        <v xml:space="preserve">   </v>
      </c>
      <c r="AA591" s="131" t="str">
        <f>IFERROR(VLOOKUP(Y591,TD!$K$46:$L$64,2,0)," ")</f>
        <v xml:space="preserve"> </v>
      </c>
      <c r="AB591" s="57"/>
      <c r="AC591" s="132"/>
    </row>
    <row r="592" spans="2:29" s="28" customFormat="1">
      <c r="B592" s="85"/>
      <c r="C592" s="53"/>
      <c r="D592" s="129"/>
      <c r="E592" s="54"/>
      <c r="F592" s="129"/>
      <c r="G592" s="129"/>
      <c r="H592" s="55"/>
      <c r="I592" s="133"/>
      <c r="J592" s="130"/>
      <c r="K592" s="56"/>
      <c r="L592" s="57"/>
      <c r="M592" s="129"/>
      <c r="N592" s="57"/>
      <c r="O592" s="54"/>
      <c r="P592" s="131" t="str">
        <f>IFERROR(VLOOKUP(C592,TD!$B$32:$F$36,2,0)," ")</f>
        <v xml:space="preserve"> </v>
      </c>
      <c r="Q592" s="131" t="str">
        <f>IFERROR(VLOOKUP(C592,TD!$B$32:$F$36,3,0)," ")</f>
        <v xml:space="preserve"> </v>
      </c>
      <c r="R592" s="131" t="str">
        <f>IFERROR(VLOOKUP(C592,TD!$B$32:$F$36,4,0)," ")</f>
        <v xml:space="preserve"> </v>
      </c>
      <c r="S592" s="54"/>
      <c r="T592" s="131" t="str">
        <f>IFERROR(VLOOKUP(S592,TD!$J$33:$K$43,2,0)," ")</f>
        <v xml:space="preserve"> </v>
      </c>
      <c r="U592" s="54" t="str">
        <f t="shared" si="36"/>
        <v xml:space="preserve">- </v>
      </c>
      <c r="V592" s="54"/>
      <c r="W592" s="131" t="str">
        <f>IFERROR(VLOOKUP(V592,TD!$N$33:$O$45,2,0)," ")</f>
        <v xml:space="preserve"> </v>
      </c>
      <c r="X592" s="54" t="str">
        <f t="shared" si="37"/>
        <v xml:space="preserve">_ </v>
      </c>
      <c r="Y592" s="54" t="str">
        <f t="shared" si="38"/>
        <v xml:space="preserve">-  _ </v>
      </c>
      <c r="Z592" s="131" t="str">
        <f t="shared" si="39"/>
        <v xml:space="preserve">   </v>
      </c>
      <c r="AA592" s="131" t="str">
        <f>IFERROR(VLOOKUP(Y592,TD!$K$46:$L$64,2,0)," ")</f>
        <v xml:space="preserve"> </v>
      </c>
      <c r="AB592" s="57"/>
      <c r="AC592" s="132"/>
    </row>
    <row r="593" spans="2:29" s="28" customFormat="1">
      <c r="B593" s="85"/>
      <c r="C593" s="53"/>
      <c r="D593" s="129"/>
      <c r="E593" s="54"/>
      <c r="F593" s="129"/>
      <c r="G593" s="129"/>
      <c r="H593" s="55"/>
      <c r="I593" s="133"/>
      <c r="J593" s="130"/>
      <c r="K593" s="56"/>
      <c r="L593" s="57"/>
      <c r="M593" s="129"/>
      <c r="N593" s="57"/>
      <c r="O593" s="54"/>
      <c r="P593" s="131" t="str">
        <f>IFERROR(VLOOKUP(C593,TD!$B$32:$F$36,2,0)," ")</f>
        <v xml:space="preserve"> </v>
      </c>
      <c r="Q593" s="131" t="str">
        <f>IFERROR(VLOOKUP(C593,TD!$B$32:$F$36,3,0)," ")</f>
        <v xml:space="preserve"> </v>
      </c>
      <c r="R593" s="131" t="str">
        <f>IFERROR(VLOOKUP(C593,TD!$B$32:$F$36,4,0)," ")</f>
        <v xml:space="preserve"> </v>
      </c>
      <c r="S593" s="54"/>
      <c r="T593" s="131" t="str">
        <f>IFERROR(VLOOKUP(S593,TD!$J$33:$K$43,2,0)," ")</f>
        <v xml:space="preserve"> </v>
      </c>
      <c r="U593" s="54" t="str">
        <f t="shared" si="36"/>
        <v xml:space="preserve">- </v>
      </c>
      <c r="V593" s="54"/>
      <c r="W593" s="131" t="str">
        <f>IFERROR(VLOOKUP(V593,TD!$N$33:$O$45,2,0)," ")</f>
        <v xml:space="preserve"> </v>
      </c>
      <c r="X593" s="54" t="str">
        <f t="shared" si="37"/>
        <v xml:space="preserve">_ </v>
      </c>
      <c r="Y593" s="54" t="str">
        <f t="shared" si="38"/>
        <v xml:space="preserve">-  _ </v>
      </c>
      <c r="Z593" s="131" t="str">
        <f t="shared" si="39"/>
        <v xml:space="preserve">   </v>
      </c>
      <c r="AA593" s="131" t="str">
        <f>IFERROR(VLOOKUP(Y593,TD!$K$46:$L$64,2,0)," ")</f>
        <v xml:space="preserve"> </v>
      </c>
      <c r="AB593" s="57"/>
      <c r="AC593" s="132"/>
    </row>
    <row r="594" spans="2:29" s="28" customFormat="1">
      <c r="B594" s="85"/>
      <c r="C594" s="53"/>
      <c r="D594" s="129"/>
      <c r="E594" s="54"/>
      <c r="F594" s="129"/>
      <c r="G594" s="129"/>
      <c r="H594" s="55"/>
      <c r="I594" s="133"/>
      <c r="J594" s="130"/>
      <c r="K594" s="56"/>
      <c r="L594" s="57"/>
      <c r="M594" s="129"/>
      <c r="N594" s="57"/>
      <c r="O594" s="54"/>
      <c r="P594" s="131" t="str">
        <f>IFERROR(VLOOKUP(C594,TD!$B$32:$F$36,2,0)," ")</f>
        <v xml:space="preserve"> </v>
      </c>
      <c r="Q594" s="131" t="str">
        <f>IFERROR(VLOOKUP(C594,TD!$B$32:$F$36,3,0)," ")</f>
        <v xml:space="preserve"> </v>
      </c>
      <c r="R594" s="131" t="str">
        <f>IFERROR(VLOOKUP(C594,TD!$B$32:$F$36,4,0)," ")</f>
        <v xml:space="preserve"> </v>
      </c>
      <c r="S594" s="54"/>
      <c r="T594" s="131" t="str">
        <f>IFERROR(VLOOKUP(S594,TD!$J$33:$K$43,2,0)," ")</f>
        <v xml:space="preserve"> </v>
      </c>
      <c r="U594" s="54" t="str">
        <f t="shared" si="36"/>
        <v xml:space="preserve">- </v>
      </c>
      <c r="V594" s="54"/>
      <c r="W594" s="131" t="str">
        <f>IFERROR(VLOOKUP(V594,TD!$N$33:$O$45,2,0)," ")</f>
        <v xml:space="preserve"> </v>
      </c>
      <c r="X594" s="54" t="str">
        <f t="shared" si="37"/>
        <v xml:space="preserve">_ </v>
      </c>
      <c r="Y594" s="54" t="str">
        <f t="shared" si="38"/>
        <v xml:space="preserve">-  _ </v>
      </c>
      <c r="Z594" s="131" t="str">
        <f t="shared" si="39"/>
        <v xml:space="preserve">   </v>
      </c>
      <c r="AA594" s="131" t="str">
        <f>IFERROR(VLOOKUP(Y594,TD!$K$46:$L$64,2,0)," ")</f>
        <v xml:space="preserve"> </v>
      </c>
      <c r="AB594" s="57"/>
      <c r="AC594" s="132"/>
    </row>
    <row r="595" spans="2:29" s="28" customFormat="1">
      <c r="B595" s="85"/>
      <c r="C595" s="53"/>
      <c r="D595" s="129"/>
      <c r="E595" s="54"/>
      <c r="F595" s="129"/>
      <c r="G595" s="129"/>
      <c r="H595" s="55"/>
      <c r="I595" s="133"/>
      <c r="J595" s="130"/>
      <c r="K595" s="56"/>
      <c r="L595" s="57"/>
      <c r="M595" s="129"/>
      <c r="N595" s="57"/>
      <c r="O595" s="54"/>
      <c r="P595" s="131" t="str">
        <f>IFERROR(VLOOKUP(C595,TD!$B$32:$F$36,2,0)," ")</f>
        <v xml:space="preserve"> </v>
      </c>
      <c r="Q595" s="131" t="str">
        <f>IFERROR(VLOOKUP(C595,TD!$B$32:$F$36,3,0)," ")</f>
        <v xml:space="preserve"> </v>
      </c>
      <c r="R595" s="131" t="str">
        <f>IFERROR(VLOOKUP(C595,TD!$B$32:$F$36,4,0)," ")</f>
        <v xml:space="preserve"> </v>
      </c>
      <c r="S595" s="54"/>
      <c r="T595" s="131" t="str">
        <f>IFERROR(VLOOKUP(S595,TD!$J$33:$K$43,2,0)," ")</f>
        <v xml:space="preserve"> </v>
      </c>
      <c r="U595" s="54" t="str">
        <f t="shared" si="36"/>
        <v xml:space="preserve">- </v>
      </c>
      <c r="V595" s="54"/>
      <c r="W595" s="131" t="str">
        <f>IFERROR(VLOOKUP(V595,TD!$N$33:$O$45,2,0)," ")</f>
        <v xml:space="preserve"> </v>
      </c>
      <c r="X595" s="54" t="str">
        <f t="shared" si="37"/>
        <v xml:space="preserve">_ </v>
      </c>
      <c r="Y595" s="54" t="str">
        <f t="shared" si="38"/>
        <v xml:space="preserve">-  _ </v>
      </c>
      <c r="Z595" s="131" t="str">
        <f t="shared" si="39"/>
        <v xml:space="preserve">   </v>
      </c>
      <c r="AA595" s="131" t="str">
        <f>IFERROR(VLOOKUP(Y595,TD!$K$46:$L$64,2,0)," ")</f>
        <v xml:space="preserve"> </v>
      </c>
      <c r="AB595" s="57"/>
      <c r="AC595" s="132"/>
    </row>
    <row r="596" spans="2:29" s="28" customFormat="1">
      <c r="B596" s="85"/>
      <c r="C596" s="53"/>
      <c r="D596" s="129"/>
      <c r="E596" s="54"/>
      <c r="F596" s="129"/>
      <c r="G596" s="129"/>
      <c r="H596" s="55"/>
      <c r="I596" s="133"/>
      <c r="J596" s="130"/>
      <c r="K596" s="56"/>
      <c r="L596" s="57"/>
      <c r="M596" s="129"/>
      <c r="N596" s="57"/>
      <c r="O596" s="54"/>
      <c r="P596" s="131" t="str">
        <f>IFERROR(VLOOKUP(C596,TD!$B$32:$F$36,2,0)," ")</f>
        <v xml:space="preserve"> </v>
      </c>
      <c r="Q596" s="131" t="str">
        <f>IFERROR(VLOOKUP(C596,TD!$B$32:$F$36,3,0)," ")</f>
        <v xml:space="preserve"> </v>
      </c>
      <c r="R596" s="131" t="str">
        <f>IFERROR(VLOOKUP(C596,TD!$B$32:$F$36,4,0)," ")</f>
        <v xml:space="preserve"> </v>
      </c>
      <c r="S596" s="54"/>
      <c r="T596" s="131" t="str">
        <f>IFERROR(VLOOKUP(S596,TD!$J$33:$K$43,2,0)," ")</f>
        <v xml:space="preserve"> </v>
      </c>
      <c r="U596" s="54" t="str">
        <f t="shared" si="36"/>
        <v xml:space="preserve">- </v>
      </c>
      <c r="V596" s="54"/>
      <c r="W596" s="131" t="str">
        <f>IFERROR(VLOOKUP(V596,TD!$N$33:$O$45,2,0)," ")</f>
        <v xml:space="preserve"> </v>
      </c>
      <c r="X596" s="54" t="str">
        <f t="shared" si="37"/>
        <v xml:space="preserve">_ </v>
      </c>
      <c r="Y596" s="54" t="str">
        <f t="shared" si="38"/>
        <v xml:space="preserve">-  _ </v>
      </c>
      <c r="Z596" s="131" t="str">
        <f t="shared" si="39"/>
        <v xml:space="preserve">   </v>
      </c>
      <c r="AA596" s="131" t="str">
        <f>IFERROR(VLOOKUP(Y596,TD!$K$46:$L$64,2,0)," ")</f>
        <v xml:space="preserve"> </v>
      </c>
      <c r="AB596" s="57"/>
      <c r="AC596" s="132"/>
    </row>
    <row r="597" spans="2:29" s="28" customFormat="1">
      <c r="B597" s="85"/>
      <c r="C597" s="53"/>
      <c r="D597" s="129"/>
      <c r="E597" s="54"/>
      <c r="F597" s="129"/>
      <c r="G597" s="129"/>
      <c r="H597" s="55"/>
      <c r="I597" s="133"/>
      <c r="J597" s="130"/>
      <c r="K597" s="56"/>
      <c r="L597" s="57"/>
      <c r="M597" s="129"/>
      <c r="N597" s="57"/>
      <c r="O597" s="54"/>
      <c r="P597" s="131" t="str">
        <f>IFERROR(VLOOKUP(C597,TD!$B$32:$F$36,2,0)," ")</f>
        <v xml:space="preserve"> </v>
      </c>
      <c r="Q597" s="131" t="str">
        <f>IFERROR(VLOOKUP(C597,TD!$B$32:$F$36,3,0)," ")</f>
        <v xml:space="preserve"> </v>
      </c>
      <c r="R597" s="131" t="str">
        <f>IFERROR(VLOOKUP(C597,TD!$B$32:$F$36,4,0)," ")</f>
        <v xml:space="preserve"> </v>
      </c>
      <c r="S597" s="54"/>
      <c r="T597" s="131" t="str">
        <f>IFERROR(VLOOKUP(S597,TD!$J$33:$K$43,2,0)," ")</f>
        <v xml:space="preserve"> </v>
      </c>
      <c r="U597" s="54" t="str">
        <f t="shared" si="36"/>
        <v xml:space="preserve">- </v>
      </c>
      <c r="V597" s="54"/>
      <c r="W597" s="131" t="str">
        <f>IFERROR(VLOOKUP(V597,TD!$N$33:$O$45,2,0)," ")</f>
        <v xml:space="preserve"> </v>
      </c>
      <c r="X597" s="54" t="str">
        <f t="shared" si="37"/>
        <v xml:space="preserve">_ </v>
      </c>
      <c r="Y597" s="54" t="str">
        <f t="shared" si="38"/>
        <v xml:space="preserve">-  _ </v>
      </c>
      <c r="Z597" s="131" t="str">
        <f t="shared" si="39"/>
        <v xml:space="preserve">   </v>
      </c>
      <c r="AA597" s="131" t="str">
        <f>IFERROR(VLOOKUP(Y597,TD!$K$46:$L$64,2,0)," ")</f>
        <v xml:space="preserve"> </v>
      </c>
      <c r="AB597" s="57"/>
      <c r="AC597" s="132"/>
    </row>
    <row r="598" spans="2:29" s="28" customFormat="1">
      <c r="B598" s="85"/>
      <c r="C598" s="53"/>
      <c r="D598" s="129"/>
      <c r="E598" s="54"/>
      <c r="F598" s="129"/>
      <c r="G598" s="129"/>
      <c r="H598" s="55"/>
      <c r="I598" s="133"/>
      <c r="J598" s="130"/>
      <c r="K598" s="56"/>
      <c r="L598" s="57"/>
      <c r="M598" s="129"/>
      <c r="N598" s="57"/>
      <c r="O598" s="54"/>
      <c r="P598" s="131" t="str">
        <f>IFERROR(VLOOKUP(C598,TD!$B$32:$F$36,2,0)," ")</f>
        <v xml:space="preserve"> </v>
      </c>
      <c r="Q598" s="131" t="str">
        <f>IFERROR(VLOOKUP(C598,TD!$B$32:$F$36,3,0)," ")</f>
        <v xml:space="preserve"> </v>
      </c>
      <c r="R598" s="131" t="str">
        <f>IFERROR(VLOOKUP(C598,TD!$B$32:$F$36,4,0)," ")</f>
        <v xml:space="preserve"> </v>
      </c>
      <c r="S598" s="54"/>
      <c r="T598" s="131" t="str">
        <f>IFERROR(VLOOKUP(S598,TD!$J$33:$K$43,2,0)," ")</f>
        <v xml:space="preserve"> </v>
      </c>
      <c r="U598" s="54" t="str">
        <f t="shared" si="36"/>
        <v xml:space="preserve">- </v>
      </c>
      <c r="V598" s="54"/>
      <c r="W598" s="131" t="str">
        <f>IFERROR(VLOOKUP(V598,TD!$N$33:$O$45,2,0)," ")</f>
        <v xml:space="preserve"> </v>
      </c>
      <c r="X598" s="54" t="str">
        <f t="shared" si="37"/>
        <v xml:space="preserve">_ </v>
      </c>
      <c r="Y598" s="54" t="str">
        <f t="shared" si="38"/>
        <v xml:space="preserve">-  _ </v>
      </c>
      <c r="Z598" s="131" t="str">
        <f t="shared" si="39"/>
        <v xml:space="preserve">   </v>
      </c>
      <c r="AA598" s="131" t="str">
        <f>IFERROR(VLOOKUP(Y598,TD!$K$46:$L$64,2,0)," ")</f>
        <v xml:space="preserve"> </v>
      </c>
      <c r="AB598" s="57"/>
      <c r="AC598" s="132"/>
    </row>
    <row r="599" spans="2:29" s="28" customFormat="1">
      <c r="B599" s="85"/>
      <c r="C599" s="53"/>
      <c r="D599" s="129"/>
      <c r="E599" s="54"/>
      <c r="F599" s="129"/>
      <c r="G599" s="129"/>
      <c r="H599" s="55"/>
      <c r="I599" s="133"/>
      <c r="J599" s="130"/>
      <c r="K599" s="56"/>
      <c r="L599" s="57"/>
      <c r="M599" s="129"/>
      <c r="N599" s="57"/>
      <c r="O599" s="54"/>
      <c r="P599" s="131" t="str">
        <f>IFERROR(VLOOKUP(C599,TD!$B$32:$F$36,2,0)," ")</f>
        <v xml:space="preserve"> </v>
      </c>
      <c r="Q599" s="131" t="str">
        <f>IFERROR(VLOOKUP(C599,TD!$B$32:$F$36,3,0)," ")</f>
        <v xml:space="preserve"> </v>
      </c>
      <c r="R599" s="131" t="str">
        <f>IFERROR(VLOOKUP(C599,TD!$B$32:$F$36,4,0)," ")</f>
        <v xml:space="preserve"> </v>
      </c>
      <c r="S599" s="54"/>
      <c r="T599" s="131" t="str">
        <f>IFERROR(VLOOKUP(S599,TD!$J$33:$K$43,2,0)," ")</f>
        <v xml:space="preserve"> </v>
      </c>
      <c r="U599" s="54" t="str">
        <f t="shared" si="36"/>
        <v xml:space="preserve">- </v>
      </c>
      <c r="V599" s="54"/>
      <c r="W599" s="131" t="str">
        <f>IFERROR(VLOOKUP(V599,TD!$N$33:$O$45,2,0)," ")</f>
        <v xml:space="preserve"> </v>
      </c>
      <c r="X599" s="54" t="str">
        <f t="shared" si="37"/>
        <v xml:space="preserve">_ </v>
      </c>
      <c r="Y599" s="54" t="str">
        <f t="shared" si="38"/>
        <v xml:space="preserve">-  _ </v>
      </c>
      <c r="Z599" s="131" t="str">
        <f t="shared" si="39"/>
        <v xml:space="preserve">   </v>
      </c>
      <c r="AA599" s="131" t="str">
        <f>IFERROR(VLOOKUP(Y599,TD!$K$46:$L$64,2,0)," ")</f>
        <v xml:space="preserve"> </v>
      </c>
      <c r="AB599" s="57"/>
      <c r="AC599" s="132"/>
    </row>
    <row r="600" spans="2:29" s="28" customFormat="1">
      <c r="B600" s="85"/>
      <c r="C600" s="53"/>
      <c r="D600" s="129"/>
      <c r="E600" s="54"/>
      <c r="F600" s="129"/>
      <c r="G600" s="129"/>
      <c r="H600" s="55"/>
      <c r="I600" s="133"/>
      <c r="J600" s="130"/>
      <c r="K600" s="56"/>
      <c r="L600" s="57"/>
      <c r="M600" s="129"/>
      <c r="N600" s="57"/>
      <c r="O600" s="54"/>
      <c r="P600" s="131" t="str">
        <f>IFERROR(VLOOKUP(C600,TD!$B$32:$F$36,2,0)," ")</f>
        <v xml:space="preserve"> </v>
      </c>
      <c r="Q600" s="131" t="str">
        <f>IFERROR(VLOOKUP(C600,TD!$B$32:$F$36,3,0)," ")</f>
        <v xml:space="preserve"> </v>
      </c>
      <c r="R600" s="131" t="str">
        <f>IFERROR(VLOOKUP(C600,TD!$B$32:$F$36,4,0)," ")</f>
        <v xml:space="preserve"> </v>
      </c>
      <c r="S600" s="54"/>
      <c r="T600" s="131" t="str">
        <f>IFERROR(VLOOKUP(S600,TD!$J$33:$K$43,2,0)," ")</f>
        <v xml:space="preserve"> </v>
      </c>
      <c r="U600" s="54" t="str">
        <f t="shared" si="36"/>
        <v xml:space="preserve">- </v>
      </c>
      <c r="V600" s="54"/>
      <c r="W600" s="131" t="str">
        <f>IFERROR(VLOOKUP(V600,TD!$N$33:$O$45,2,0)," ")</f>
        <v xml:space="preserve"> </v>
      </c>
      <c r="X600" s="54" t="str">
        <f t="shared" si="37"/>
        <v xml:space="preserve">_ </v>
      </c>
      <c r="Y600" s="54" t="str">
        <f t="shared" si="38"/>
        <v xml:space="preserve">-  _ </v>
      </c>
      <c r="Z600" s="131" t="str">
        <f t="shared" si="39"/>
        <v xml:space="preserve">   </v>
      </c>
      <c r="AA600" s="131" t="str">
        <f>IFERROR(VLOOKUP(Y600,TD!$K$46:$L$64,2,0)," ")</f>
        <v xml:space="preserve"> </v>
      </c>
      <c r="AB600" s="57"/>
      <c r="AC600" s="132"/>
    </row>
    <row r="601" spans="2:29" s="28" customFormat="1">
      <c r="B601" s="85"/>
      <c r="C601" s="53"/>
      <c r="D601" s="129"/>
      <c r="E601" s="54"/>
      <c r="F601" s="129"/>
      <c r="G601" s="129"/>
      <c r="H601" s="55"/>
      <c r="I601" s="133"/>
      <c r="J601" s="130"/>
      <c r="K601" s="56"/>
      <c r="L601" s="57"/>
      <c r="M601" s="129"/>
      <c r="N601" s="57"/>
      <c r="O601" s="54"/>
      <c r="P601" s="131" t="str">
        <f>IFERROR(VLOOKUP(C601,TD!$B$32:$F$36,2,0)," ")</f>
        <v xml:space="preserve"> </v>
      </c>
      <c r="Q601" s="131" t="str">
        <f>IFERROR(VLOOKUP(C601,TD!$B$32:$F$36,3,0)," ")</f>
        <v xml:space="preserve"> </v>
      </c>
      <c r="R601" s="131" t="str">
        <f>IFERROR(VLOOKUP(C601,TD!$B$32:$F$36,4,0)," ")</f>
        <v xml:space="preserve"> </v>
      </c>
      <c r="S601" s="54"/>
      <c r="T601" s="131" t="str">
        <f>IFERROR(VLOOKUP(S601,TD!$J$33:$K$43,2,0)," ")</f>
        <v xml:space="preserve"> </v>
      </c>
      <c r="U601" s="54" t="str">
        <f t="shared" si="36"/>
        <v xml:space="preserve">- </v>
      </c>
      <c r="V601" s="54"/>
      <c r="W601" s="131" t="str">
        <f>IFERROR(VLOOKUP(V601,TD!$N$33:$O$45,2,0)," ")</f>
        <v xml:space="preserve"> </v>
      </c>
      <c r="X601" s="54" t="str">
        <f t="shared" si="37"/>
        <v xml:space="preserve">_ </v>
      </c>
      <c r="Y601" s="54" t="str">
        <f t="shared" si="38"/>
        <v xml:space="preserve">-  _ </v>
      </c>
      <c r="Z601" s="131" t="str">
        <f t="shared" si="39"/>
        <v xml:space="preserve">   </v>
      </c>
      <c r="AA601" s="131" t="str">
        <f>IFERROR(VLOOKUP(Y601,TD!$K$46:$L$64,2,0)," ")</f>
        <v xml:space="preserve"> </v>
      </c>
      <c r="AB601" s="57"/>
      <c r="AC601" s="132"/>
    </row>
    <row r="602" spans="2:29" s="28" customFormat="1">
      <c r="B602" s="85"/>
      <c r="C602" s="53"/>
      <c r="D602" s="129"/>
      <c r="E602" s="54"/>
      <c r="F602" s="129"/>
      <c r="G602" s="129"/>
      <c r="H602" s="55"/>
      <c r="I602" s="133"/>
      <c r="J602" s="130"/>
      <c r="K602" s="56"/>
      <c r="L602" s="57"/>
      <c r="M602" s="129"/>
      <c r="N602" s="57"/>
      <c r="O602" s="54"/>
      <c r="P602" s="131" t="str">
        <f>IFERROR(VLOOKUP(C602,TD!$B$32:$F$36,2,0)," ")</f>
        <v xml:space="preserve"> </v>
      </c>
      <c r="Q602" s="131" t="str">
        <f>IFERROR(VLOOKUP(C602,TD!$B$32:$F$36,3,0)," ")</f>
        <v xml:space="preserve"> </v>
      </c>
      <c r="R602" s="131" t="str">
        <f>IFERROR(VLOOKUP(C602,TD!$B$32:$F$36,4,0)," ")</f>
        <v xml:space="preserve"> </v>
      </c>
      <c r="S602" s="54"/>
      <c r="T602" s="131" t="str">
        <f>IFERROR(VLOOKUP(S602,TD!$J$33:$K$43,2,0)," ")</f>
        <v xml:space="preserve"> </v>
      </c>
      <c r="U602" s="54" t="str">
        <f t="shared" si="36"/>
        <v xml:space="preserve">- </v>
      </c>
      <c r="V602" s="54"/>
      <c r="W602" s="131" t="str">
        <f>IFERROR(VLOOKUP(V602,TD!$N$33:$O$45,2,0)," ")</f>
        <v xml:space="preserve"> </v>
      </c>
      <c r="X602" s="54" t="str">
        <f t="shared" si="37"/>
        <v xml:space="preserve">_ </v>
      </c>
      <c r="Y602" s="54" t="str">
        <f t="shared" si="38"/>
        <v xml:space="preserve">-  _ </v>
      </c>
      <c r="Z602" s="131" t="str">
        <f t="shared" si="39"/>
        <v xml:space="preserve">   </v>
      </c>
      <c r="AA602" s="131" t="str">
        <f>IFERROR(VLOOKUP(Y602,TD!$K$46:$L$64,2,0)," ")</f>
        <v xml:space="preserve"> </v>
      </c>
      <c r="AB602" s="57"/>
      <c r="AC602" s="132"/>
    </row>
    <row r="603" spans="2:29" s="28" customFormat="1">
      <c r="B603" s="85"/>
      <c r="C603" s="53"/>
      <c r="D603" s="129"/>
      <c r="E603" s="54"/>
      <c r="F603" s="129"/>
      <c r="G603" s="129"/>
      <c r="H603" s="55"/>
      <c r="I603" s="133"/>
      <c r="J603" s="130"/>
      <c r="K603" s="56"/>
      <c r="L603" s="57"/>
      <c r="M603" s="129"/>
      <c r="N603" s="57"/>
      <c r="O603" s="54"/>
      <c r="P603" s="131" t="str">
        <f>IFERROR(VLOOKUP(C603,TD!$B$32:$F$36,2,0)," ")</f>
        <v xml:space="preserve"> </v>
      </c>
      <c r="Q603" s="131" t="str">
        <f>IFERROR(VLOOKUP(C603,TD!$B$32:$F$36,3,0)," ")</f>
        <v xml:space="preserve"> </v>
      </c>
      <c r="R603" s="131" t="str">
        <f>IFERROR(VLOOKUP(C603,TD!$B$32:$F$36,4,0)," ")</f>
        <v xml:space="preserve"> </v>
      </c>
      <c r="S603" s="54"/>
      <c r="T603" s="131" t="str">
        <f>IFERROR(VLOOKUP(S603,TD!$J$33:$K$43,2,0)," ")</f>
        <v xml:space="preserve"> </v>
      </c>
      <c r="U603" s="54" t="str">
        <f t="shared" si="36"/>
        <v xml:space="preserve">- </v>
      </c>
      <c r="V603" s="54"/>
      <c r="W603" s="131" t="str">
        <f>IFERROR(VLOOKUP(V603,TD!$N$33:$O$45,2,0)," ")</f>
        <v xml:space="preserve"> </v>
      </c>
      <c r="X603" s="54" t="str">
        <f t="shared" si="37"/>
        <v xml:space="preserve">_ </v>
      </c>
      <c r="Y603" s="54" t="str">
        <f t="shared" si="38"/>
        <v xml:space="preserve">-  _ </v>
      </c>
      <c r="Z603" s="131" t="str">
        <f t="shared" si="39"/>
        <v xml:space="preserve">   </v>
      </c>
      <c r="AA603" s="131" t="str">
        <f>IFERROR(VLOOKUP(Y603,TD!$K$46:$L$64,2,0)," ")</f>
        <v xml:space="preserve"> </v>
      </c>
      <c r="AB603" s="57"/>
      <c r="AC603" s="132"/>
    </row>
    <row r="604" spans="2:29" s="28" customFormat="1">
      <c r="B604" s="85"/>
      <c r="C604" s="53"/>
      <c r="D604" s="129"/>
      <c r="E604" s="54"/>
      <c r="F604" s="129"/>
      <c r="G604" s="129"/>
      <c r="H604" s="55"/>
      <c r="I604" s="133"/>
      <c r="J604" s="130"/>
      <c r="K604" s="56"/>
      <c r="L604" s="57"/>
      <c r="M604" s="129"/>
      <c r="N604" s="57"/>
      <c r="O604" s="54"/>
      <c r="P604" s="131" t="str">
        <f>IFERROR(VLOOKUP(C604,TD!$B$32:$F$36,2,0)," ")</f>
        <v xml:space="preserve"> </v>
      </c>
      <c r="Q604" s="131" t="str">
        <f>IFERROR(VLOOKUP(C604,TD!$B$32:$F$36,3,0)," ")</f>
        <v xml:space="preserve"> </v>
      </c>
      <c r="R604" s="131" t="str">
        <f>IFERROR(VLOOKUP(C604,TD!$B$32:$F$36,4,0)," ")</f>
        <v xml:space="preserve"> </v>
      </c>
      <c r="S604" s="54"/>
      <c r="T604" s="131" t="str">
        <f>IFERROR(VLOOKUP(S604,TD!$J$33:$K$43,2,0)," ")</f>
        <v xml:space="preserve"> </v>
      </c>
      <c r="U604" s="54" t="str">
        <f t="shared" si="36"/>
        <v xml:space="preserve">- </v>
      </c>
      <c r="V604" s="54"/>
      <c r="W604" s="131" t="str">
        <f>IFERROR(VLOOKUP(V604,TD!$N$33:$O$45,2,0)," ")</f>
        <v xml:space="preserve"> </v>
      </c>
      <c r="X604" s="54" t="str">
        <f t="shared" si="37"/>
        <v xml:space="preserve">_ </v>
      </c>
      <c r="Y604" s="54" t="str">
        <f t="shared" si="38"/>
        <v xml:space="preserve">-  _ </v>
      </c>
      <c r="Z604" s="131" t="str">
        <f t="shared" si="39"/>
        <v xml:space="preserve">   </v>
      </c>
      <c r="AA604" s="131" t="str">
        <f>IFERROR(VLOOKUP(Y604,TD!$K$46:$L$64,2,0)," ")</f>
        <v xml:space="preserve"> </v>
      </c>
      <c r="AB604" s="57"/>
      <c r="AC604" s="132"/>
    </row>
    <row r="605" spans="2:29" s="28" customFormat="1">
      <c r="B605" s="85"/>
      <c r="C605" s="53"/>
      <c r="D605" s="129"/>
      <c r="E605" s="54"/>
      <c r="F605" s="129"/>
      <c r="G605" s="129"/>
      <c r="H605" s="55"/>
      <c r="I605" s="133"/>
      <c r="J605" s="130"/>
      <c r="K605" s="56"/>
      <c r="L605" s="57"/>
      <c r="M605" s="129"/>
      <c r="N605" s="57"/>
      <c r="O605" s="54"/>
      <c r="P605" s="131" t="str">
        <f>IFERROR(VLOOKUP(C605,TD!$B$32:$F$36,2,0)," ")</f>
        <v xml:space="preserve"> </v>
      </c>
      <c r="Q605" s="131" t="str">
        <f>IFERROR(VLOOKUP(C605,TD!$B$32:$F$36,3,0)," ")</f>
        <v xml:space="preserve"> </v>
      </c>
      <c r="R605" s="131" t="str">
        <f>IFERROR(VLOOKUP(C605,TD!$B$32:$F$36,4,0)," ")</f>
        <v xml:space="preserve"> </v>
      </c>
      <c r="S605" s="54"/>
      <c r="T605" s="131" t="str">
        <f>IFERROR(VLOOKUP(S605,TD!$J$33:$K$43,2,0)," ")</f>
        <v xml:space="preserve"> </v>
      </c>
      <c r="U605" s="54" t="str">
        <f t="shared" si="36"/>
        <v xml:space="preserve">- </v>
      </c>
      <c r="V605" s="54"/>
      <c r="W605" s="131" t="str">
        <f>IFERROR(VLOOKUP(V605,TD!$N$33:$O$45,2,0)," ")</f>
        <v xml:space="preserve"> </v>
      </c>
      <c r="X605" s="54" t="str">
        <f t="shared" si="37"/>
        <v xml:space="preserve">_ </v>
      </c>
      <c r="Y605" s="54" t="str">
        <f t="shared" si="38"/>
        <v xml:space="preserve">-  _ </v>
      </c>
      <c r="Z605" s="131" t="str">
        <f t="shared" si="39"/>
        <v xml:space="preserve">   </v>
      </c>
      <c r="AA605" s="131" t="str">
        <f>IFERROR(VLOOKUP(Y605,TD!$K$46:$L$64,2,0)," ")</f>
        <v xml:space="preserve"> </v>
      </c>
      <c r="AB605" s="57"/>
      <c r="AC605" s="132"/>
    </row>
    <row r="606" spans="2:29" s="28" customFormat="1">
      <c r="B606" s="85"/>
      <c r="C606" s="53"/>
      <c r="D606" s="129"/>
      <c r="E606" s="54"/>
      <c r="F606" s="129"/>
      <c r="G606" s="129"/>
      <c r="H606" s="55"/>
      <c r="I606" s="133"/>
      <c r="J606" s="130"/>
      <c r="K606" s="56"/>
      <c r="L606" s="57"/>
      <c r="M606" s="129"/>
      <c r="N606" s="57"/>
      <c r="O606" s="54"/>
      <c r="P606" s="131" t="str">
        <f>IFERROR(VLOOKUP(C606,TD!$B$32:$F$36,2,0)," ")</f>
        <v xml:space="preserve"> </v>
      </c>
      <c r="Q606" s="131" t="str">
        <f>IFERROR(VLOOKUP(C606,TD!$B$32:$F$36,3,0)," ")</f>
        <v xml:space="preserve"> </v>
      </c>
      <c r="R606" s="131" t="str">
        <f>IFERROR(VLOOKUP(C606,TD!$B$32:$F$36,4,0)," ")</f>
        <v xml:space="preserve"> </v>
      </c>
      <c r="S606" s="54"/>
      <c r="T606" s="131" t="str">
        <f>IFERROR(VLOOKUP(S606,TD!$J$33:$K$43,2,0)," ")</f>
        <v xml:space="preserve"> </v>
      </c>
      <c r="U606" s="54" t="str">
        <f t="shared" si="36"/>
        <v xml:space="preserve">- </v>
      </c>
      <c r="V606" s="54"/>
      <c r="W606" s="131" t="str">
        <f>IFERROR(VLOOKUP(V606,TD!$N$33:$O$45,2,0)," ")</f>
        <v xml:space="preserve"> </v>
      </c>
      <c r="X606" s="54" t="str">
        <f t="shared" si="37"/>
        <v xml:space="preserve">_ </v>
      </c>
      <c r="Y606" s="54" t="str">
        <f t="shared" si="38"/>
        <v xml:space="preserve">-  _ </v>
      </c>
      <c r="Z606" s="131" t="str">
        <f t="shared" si="39"/>
        <v xml:space="preserve">   </v>
      </c>
      <c r="AA606" s="131" t="str">
        <f>IFERROR(VLOOKUP(Y606,TD!$K$46:$L$64,2,0)," ")</f>
        <v xml:space="preserve"> </v>
      </c>
      <c r="AB606" s="57"/>
      <c r="AC606" s="132"/>
    </row>
    <row r="607" spans="2:29" s="28" customFormat="1">
      <c r="B607" s="85"/>
      <c r="C607" s="53"/>
      <c r="D607" s="129"/>
      <c r="E607" s="54"/>
      <c r="F607" s="129"/>
      <c r="G607" s="129"/>
      <c r="H607" s="55"/>
      <c r="I607" s="133"/>
      <c r="J607" s="130"/>
      <c r="K607" s="56"/>
      <c r="L607" s="57"/>
      <c r="M607" s="129"/>
      <c r="N607" s="57"/>
      <c r="O607" s="54"/>
      <c r="P607" s="131" t="str">
        <f>IFERROR(VLOOKUP(C607,TD!$B$32:$F$36,2,0)," ")</f>
        <v xml:space="preserve"> </v>
      </c>
      <c r="Q607" s="131" t="str">
        <f>IFERROR(VLOOKUP(C607,TD!$B$32:$F$36,3,0)," ")</f>
        <v xml:space="preserve"> </v>
      </c>
      <c r="R607" s="131" t="str">
        <f>IFERROR(VLOOKUP(C607,TD!$B$32:$F$36,4,0)," ")</f>
        <v xml:space="preserve"> </v>
      </c>
      <c r="S607" s="54"/>
      <c r="T607" s="131" t="str">
        <f>IFERROR(VLOOKUP(S607,TD!$J$33:$K$43,2,0)," ")</f>
        <v xml:space="preserve"> </v>
      </c>
      <c r="U607" s="54" t="str">
        <f t="shared" si="36"/>
        <v xml:space="preserve">- </v>
      </c>
      <c r="V607" s="54"/>
      <c r="W607" s="131" t="str">
        <f>IFERROR(VLOOKUP(V607,TD!$N$33:$O$45,2,0)," ")</f>
        <v xml:space="preserve"> </v>
      </c>
      <c r="X607" s="54" t="str">
        <f t="shared" si="37"/>
        <v xml:space="preserve">_ </v>
      </c>
      <c r="Y607" s="54" t="str">
        <f t="shared" si="38"/>
        <v xml:space="preserve">-  _ </v>
      </c>
      <c r="Z607" s="131" t="str">
        <f t="shared" si="39"/>
        <v xml:space="preserve">   </v>
      </c>
      <c r="AA607" s="131" t="str">
        <f>IFERROR(VLOOKUP(Y607,TD!$K$46:$L$64,2,0)," ")</f>
        <v xml:space="preserve"> </v>
      </c>
      <c r="AB607" s="57"/>
      <c r="AC607" s="132"/>
    </row>
    <row r="608" spans="2:29" s="28" customFormat="1">
      <c r="B608" s="85"/>
      <c r="C608" s="53"/>
      <c r="D608" s="129"/>
      <c r="E608" s="54"/>
      <c r="F608" s="129"/>
      <c r="G608" s="129"/>
      <c r="H608" s="55"/>
      <c r="I608" s="133"/>
      <c r="J608" s="130"/>
      <c r="K608" s="56"/>
      <c r="L608" s="57"/>
      <c r="M608" s="129"/>
      <c r="N608" s="57"/>
      <c r="O608" s="54"/>
      <c r="P608" s="131" t="str">
        <f>IFERROR(VLOOKUP(C608,TD!$B$32:$F$36,2,0)," ")</f>
        <v xml:space="preserve"> </v>
      </c>
      <c r="Q608" s="131" t="str">
        <f>IFERROR(VLOOKUP(C608,TD!$B$32:$F$36,3,0)," ")</f>
        <v xml:space="preserve"> </v>
      </c>
      <c r="R608" s="131" t="str">
        <f>IFERROR(VLOOKUP(C608,TD!$B$32:$F$36,4,0)," ")</f>
        <v xml:space="preserve"> </v>
      </c>
      <c r="S608" s="54"/>
      <c r="T608" s="131" t="str">
        <f>IFERROR(VLOOKUP(S608,TD!$J$33:$K$43,2,0)," ")</f>
        <v xml:space="preserve"> </v>
      </c>
      <c r="U608" s="54" t="str">
        <f t="shared" si="36"/>
        <v xml:space="preserve">- </v>
      </c>
      <c r="V608" s="54"/>
      <c r="W608" s="131" t="str">
        <f>IFERROR(VLOOKUP(V608,TD!$N$33:$O$45,2,0)," ")</f>
        <v xml:space="preserve"> </v>
      </c>
      <c r="X608" s="54" t="str">
        <f t="shared" si="37"/>
        <v xml:space="preserve">_ </v>
      </c>
      <c r="Y608" s="54" t="str">
        <f t="shared" si="38"/>
        <v xml:space="preserve">-  _ </v>
      </c>
      <c r="Z608" s="131" t="str">
        <f t="shared" si="39"/>
        <v xml:space="preserve">   </v>
      </c>
      <c r="AA608" s="131" t="str">
        <f>IFERROR(VLOOKUP(Y608,TD!$K$46:$L$64,2,0)," ")</f>
        <v xml:space="preserve"> </v>
      </c>
      <c r="AB608" s="57"/>
      <c r="AC608" s="132"/>
    </row>
    <row r="609" spans="2:29" s="28" customFormat="1">
      <c r="B609" s="85"/>
      <c r="C609" s="53"/>
      <c r="D609" s="129"/>
      <c r="E609" s="54"/>
      <c r="F609" s="129"/>
      <c r="G609" s="129"/>
      <c r="H609" s="55"/>
      <c r="I609" s="133"/>
      <c r="J609" s="130"/>
      <c r="K609" s="56"/>
      <c r="L609" s="57"/>
      <c r="M609" s="129"/>
      <c r="N609" s="57"/>
      <c r="O609" s="54"/>
      <c r="P609" s="131" t="str">
        <f>IFERROR(VLOOKUP(C609,TD!$B$32:$F$36,2,0)," ")</f>
        <v xml:space="preserve"> </v>
      </c>
      <c r="Q609" s="131" t="str">
        <f>IFERROR(VLOOKUP(C609,TD!$B$32:$F$36,3,0)," ")</f>
        <v xml:space="preserve"> </v>
      </c>
      <c r="R609" s="131" t="str">
        <f>IFERROR(VLOOKUP(C609,TD!$B$32:$F$36,4,0)," ")</f>
        <v xml:space="preserve"> </v>
      </c>
      <c r="S609" s="54"/>
      <c r="T609" s="131" t="str">
        <f>IFERROR(VLOOKUP(S609,TD!$J$33:$K$43,2,0)," ")</f>
        <v xml:space="preserve"> </v>
      </c>
      <c r="U609" s="54" t="str">
        <f t="shared" si="36"/>
        <v xml:space="preserve">- </v>
      </c>
      <c r="V609" s="54"/>
      <c r="W609" s="131" t="str">
        <f>IFERROR(VLOOKUP(V609,TD!$N$33:$O$45,2,0)," ")</f>
        <v xml:space="preserve"> </v>
      </c>
      <c r="X609" s="54" t="str">
        <f t="shared" si="37"/>
        <v xml:space="preserve">_ </v>
      </c>
      <c r="Y609" s="54" t="str">
        <f t="shared" si="38"/>
        <v xml:space="preserve">-  _ </v>
      </c>
      <c r="Z609" s="131" t="str">
        <f t="shared" si="39"/>
        <v xml:space="preserve">   </v>
      </c>
      <c r="AA609" s="131" t="str">
        <f>IFERROR(VLOOKUP(Y609,TD!$K$46:$L$64,2,0)," ")</f>
        <v xml:space="preserve"> </v>
      </c>
      <c r="AB609" s="57"/>
      <c r="AC609" s="132"/>
    </row>
    <row r="610" spans="2:29" s="28" customFormat="1">
      <c r="B610" s="85"/>
      <c r="C610" s="53"/>
      <c r="D610" s="129"/>
      <c r="E610" s="54"/>
      <c r="F610" s="129"/>
      <c r="G610" s="129"/>
      <c r="H610" s="55"/>
      <c r="I610" s="133"/>
      <c r="J610" s="130"/>
      <c r="K610" s="56"/>
      <c r="L610" s="57"/>
      <c r="M610" s="129"/>
      <c r="N610" s="57"/>
      <c r="O610" s="54"/>
      <c r="P610" s="131" t="str">
        <f>IFERROR(VLOOKUP(C610,TD!$B$32:$F$36,2,0)," ")</f>
        <v xml:space="preserve"> </v>
      </c>
      <c r="Q610" s="131" t="str">
        <f>IFERROR(VLOOKUP(C610,TD!$B$32:$F$36,3,0)," ")</f>
        <v xml:space="preserve"> </v>
      </c>
      <c r="R610" s="131" t="str">
        <f>IFERROR(VLOOKUP(C610,TD!$B$32:$F$36,4,0)," ")</f>
        <v xml:space="preserve"> </v>
      </c>
      <c r="S610" s="54"/>
      <c r="T610" s="131" t="str">
        <f>IFERROR(VLOOKUP(S610,TD!$J$33:$K$43,2,0)," ")</f>
        <v xml:space="preserve"> </v>
      </c>
      <c r="U610" s="54" t="str">
        <f t="shared" si="36"/>
        <v xml:space="preserve">- </v>
      </c>
      <c r="V610" s="54"/>
      <c r="W610" s="131" t="str">
        <f>IFERROR(VLOOKUP(V610,TD!$N$33:$O$45,2,0)," ")</f>
        <v xml:space="preserve"> </v>
      </c>
      <c r="X610" s="54" t="str">
        <f t="shared" si="37"/>
        <v xml:space="preserve">_ </v>
      </c>
      <c r="Y610" s="54" t="str">
        <f t="shared" si="38"/>
        <v xml:space="preserve">-  _ </v>
      </c>
      <c r="Z610" s="131" t="str">
        <f t="shared" si="39"/>
        <v xml:space="preserve">   </v>
      </c>
      <c r="AA610" s="131" t="str">
        <f>IFERROR(VLOOKUP(Y610,TD!$K$46:$L$64,2,0)," ")</f>
        <v xml:space="preserve"> </v>
      </c>
      <c r="AB610" s="57"/>
      <c r="AC610" s="132"/>
    </row>
    <row r="611" spans="2:29" s="28" customFormat="1">
      <c r="B611" s="85"/>
      <c r="C611" s="53"/>
      <c r="D611" s="129"/>
      <c r="E611" s="54"/>
      <c r="F611" s="129"/>
      <c r="G611" s="129"/>
      <c r="H611" s="55"/>
      <c r="I611" s="133"/>
      <c r="J611" s="130"/>
      <c r="K611" s="56"/>
      <c r="L611" s="57"/>
      <c r="M611" s="129"/>
      <c r="N611" s="57"/>
      <c r="O611" s="54"/>
      <c r="P611" s="131" t="str">
        <f>IFERROR(VLOOKUP(C611,TD!$B$32:$F$36,2,0)," ")</f>
        <v xml:space="preserve"> </v>
      </c>
      <c r="Q611" s="131" t="str">
        <f>IFERROR(VLOOKUP(C611,TD!$B$32:$F$36,3,0)," ")</f>
        <v xml:space="preserve"> </v>
      </c>
      <c r="R611" s="131" t="str">
        <f>IFERROR(VLOOKUP(C611,TD!$B$32:$F$36,4,0)," ")</f>
        <v xml:space="preserve"> </v>
      </c>
      <c r="S611" s="54"/>
      <c r="T611" s="131" t="str">
        <f>IFERROR(VLOOKUP(S611,TD!$J$33:$K$43,2,0)," ")</f>
        <v xml:space="preserve"> </v>
      </c>
      <c r="U611" s="54" t="str">
        <f t="shared" si="36"/>
        <v xml:space="preserve">- </v>
      </c>
      <c r="V611" s="54"/>
      <c r="W611" s="131" t="str">
        <f>IFERROR(VLOOKUP(V611,TD!$N$33:$O$45,2,0)," ")</f>
        <v xml:space="preserve"> </v>
      </c>
      <c r="X611" s="54" t="str">
        <f t="shared" si="37"/>
        <v xml:space="preserve">_ </v>
      </c>
      <c r="Y611" s="54" t="str">
        <f t="shared" si="38"/>
        <v xml:space="preserve">-  _ </v>
      </c>
      <c r="Z611" s="131" t="str">
        <f t="shared" si="39"/>
        <v xml:space="preserve">   </v>
      </c>
      <c r="AA611" s="131" t="str">
        <f>IFERROR(VLOOKUP(Y611,TD!$K$46:$L$64,2,0)," ")</f>
        <v xml:space="preserve"> </v>
      </c>
      <c r="AB611" s="57"/>
      <c r="AC611" s="132"/>
    </row>
    <row r="612" spans="2:29" s="28" customFormat="1">
      <c r="B612" s="85"/>
      <c r="C612" s="53"/>
      <c r="D612" s="129"/>
      <c r="E612" s="54"/>
      <c r="F612" s="129"/>
      <c r="G612" s="129"/>
      <c r="H612" s="55"/>
      <c r="I612" s="133"/>
      <c r="J612" s="130"/>
      <c r="K612" s="56"/>
      <c r="L612" s="57"/>
      <c r="M612" s="129"/>
      <c r="N612" s="57"/>
      <c r="O612" s="54"/>
      <c r="P612" s="131" t="str">
        <f>IFERROR(VLOOKUP(C612,TD!$B$32:$F$36,2,0)," ")</f>
        <v xml:space="preserve"> </v>
      </c>
      <c r="Q612" s="131" t="str">
        <f>IFERROR(VLOOKUP(C612,TD!$B$32:$F$36,3,0)," ")</f>
        <v xml:space="preserve"> </v>
      </c>
      <c r="R612" s="131" t="str">
        <f>IFERROR(VLOOKUP(C612,TD!$B$32:$F$36,4,0)," ")</f>
        <v xml:space="preserve"> </v>
      </c>
      <c r="S612" s="54"/>
      <c r="T612" s="131" t="str">
        <f>IFERROR(VLOOKUP(S612,TD!$J$33:$K$43,2,0)," ")</f>
        <v xml:space="preserve"> </v>
      </c>
      <c r="U612" s="54" t="str">
        <f t="shared" si="36"/>
        <v xml:space="preserve">- </v>
      </c>
      <c r="V612" s="54"/>
      <c r="W612" s="131" t="str">
        <f>IFERROR(VLOOKUP(V612,TD!$N$33:$O$45,2,0)," ")</f>
        <v xml:space="preserve"> </v>
      </c>
      <c r="X612" s="54" t="str">
        <f t="shared" si="37"/>
        <v xml:space="preserve">_ </v>
      </c>
      <c r="Y612" s="54" t="str">
        <f t="shared" si="38"/>
        <v xml:space="preserve">-  _ </v>
      </c>
      <c r="Z612" s="131" t="str">
        <f t="shared" si="39"/>
        <v xml:space="preserve">   </v>
      </c>
      <c r="AA612" s="131" t="str">
        <f>IFERROR(VLOOKUP(Y612,TD!$K$46:$L$64,2,0)," ")</f>
        <v xml:space="preserve"> </v>
      </c>
      <c r="AB612" s="57"/>
      <c r="AC612" s="132"/>
    </row>
    <row r="613" spans="2:29" s="28" customFormat="1">
      <c r="B613" s="85"/>
      <c r="C613" s="53"/>
      <c r="D613" s="129"/>
      <c r="E613" s="54"/>
      <c r="F613" s="129"/>
      <c r="G613" s="129"/>
      <c r="H613" s="55"/>
      <c r="I613" s="133"/>
      <c r="J613" s="130"/>
      <c r="K613" s="56"/>
      <c r="L613" s="57"/>
      <c r="M613" s="129"/>
      <c r="N613" s="57"/>
      <c r="O613" s="54"/>
      <c r="P613" s="131" t="str">
        <f>IFERROR(VLOOKUP(C613,TD!$B$32:$F$36,2,0)," ")</f>
        <v xml:space="preserve"> </v>
      </c>
      <c r="Q613" s="131" t="str">
        <f>IFERROR(VLOOKUP(C613,TD!$B$32:$F$36,3,0)," ")</f>
        <v xml:space="preserve"> </v>
      </c>
      <c r="R613" s="131" t="str">
        <f>IFERROR(VLOOKUP(C613,TD!$B$32:$F$36,4,0)," ")</f>
        <v xml:space="preserve"> </v>
      </c>
      <c r="S613" s="54"/>
      <c r="T613" s="131" t="str">
        <f>IFERROR(VLOOKUP(S613,TD!$J$33:$K$43,2,0)," ")</f>
        <v xml:space="preserve"> </v>
      </c>
      <c r="U613" s="54" t="str">
        <f t="shared" si="36"/>
        <v xml:space="preserve">- </v>
      </c>
      <c r="V613" s="54"/>
      <c r="W613" s="131" t="str">
        <f>IFERROR(VLOOKUP(V613,TD!$N$33:$O$45,2,0)," ")</f>
        <v xml:space="preserve"> </v>
      </c>
      <c r="X613" s="54" t="str">
        <f t="shared" si="37"/>
        <v xml:space="preserve">_ </v>
      </c>
      <c r="Y613" s="54" t="str">
        <f t="shared" si="38"/>
        <v xml:space="preserve">-  _ </v>
      </c>
      <c r="Z613" s="131" t="str">
        <f t="shared" si="39"/>
        <v xml:space="preserve">   </v>
      </c>
      <c r="AA613" s="131" t="str">
        <f>IFERROR(VLOOKUP(Y613,TD!$K$46:$L$64,2,0)," ")</f>
        <v xml:space="preserve"> </v>
      </c>
      <c r="AB613" s="57"/>
      <c r="AC613" s="132"/>
    </row>
    <row r="614" spans="2:29" s="28" customFormat="1">
      <c r="B614" s="85"/>
      <c r="C614" s="53"/>
      <c r="D614" s="129"/>
      <c r="E614" s="54"/>
      <c r="F614" s="129"/>
      <c r="G614" s="129"/>
      <c r="H614" s="55"/>
      <c r="I614" s="133"/>
      <c r="J614" s="130"/>
      <c r="K614" s="56"/>
      <c r="L614" s="57"/>
      <c r="M614" s="129"/>
      <c r="N614" s="57"/>
      <c r="O614" s="54"/>
      <c r="P614" s="131" t="str">
        <f>IFERROR(VLOOKUP(C614,TD!$B$32:$F$36,2,0)," ")</f>
        <v xml:space="preserve"> </v>
      </c>
      <c r="Q614" s="131" t="str">
        <f>IFERROR(VLOOKUP(C614,TD!$B$32:$F$36,3,0)," ")</f>
        <v xml:space="preserve"> </v>
      </c>
      <c r="R614" s="131" t="str">
        <f>IFERROR(VLOOKUP(C614,TD!$B$32:$F$36,4,0)," ")</f>
        <v xml:space="preserve"> </v>
      </c>
      <c r="S614" s="54"/>
      <c r="T614" s="131" t="str">
        <f>IFERROR(VLOOKUP(S614,TD!$J$33:$K$43,2,0)," ")</f>
        <v xml:space="preserve"> </v>
      </c>
      <c r="U614" s="54" t="str">
        <f t="shared" si="36"/>
        <v xml:space="preserve">- </v>
      </c>
      <c r="V614" s="54"/>
      <c r="W614" s="131" t="str">
        <f>IFERROR(VLOOKUP(V614,TD!$N$33:$O$45,2,0)," ")</f>
        <v xml:space="preserve"> </v>
      </c>
      <c r="X614" s="54" t="str">
        <f t="shared" si="37"/>
        <v xml:space="preserve">_ </v>
      </c>
      <c r="Y614" s="54" t="str">
        <f t="shared" si="38"/>
        <v xml:space="preserve">-  _ </v>
      </c>
      <c r="Z614" s="131" t="str">
        <f t="shared" si="39"/>
        <v xml:space="preserve">   </v>
      </c>
      <c r="AA614" s="131" t="str">
        <f>IFERROR(VLOOKUP(Y614,TD!$K$46:$L$64,2,0)," ")</f>
        <v xml:space="preserve"> </v>
      </c>
      <c r="AB614" s="57"/>
      <c r="AC614" s="132"/>
    </row>
    <row r="615" spans="2:29" s="28" customFormat="1">
      <c r="B615" s="85"/>
      <c r="C615" s="53"/>
      <c r="D615" s="129"/>
      <c r="E615" s="54"/>
      <c r="F615" s="129"/>
      <c r="G615" s="129"/>
      <c r="H615" s="55"/>
      <c r="I615" s="133"/>
      <c r="J615" s="130"/>
      <c r="K615" s="56"/>
      <c r="L615" s="57"/>
      <c r="M615" s="129"/>
      <c r="N615" s="57"/>
      <c r="O615" s="54"/>
      <c r="P615" s="131" t="str">
        <f>IFERROR(VLOOKUP(C615,TD!$B$32:$F$36,2,0)," ")</f>
        <v xml:space="preserve"> </v>
      </c>
      <c r="Q615" s="131" t="str">
        <f>IFERROR(VLOOKUP(C615,TD!$B$32:$F$36,3,0)," ")</f>
        <v xml:space="preserve"> </v>
      </c>
      <c r="R615" s="131" t="str">
        <f>IFERROR(VLOOKUP(C615,TD!$B$32:$F$36,4,0)," ")</f>
        <v xml:space="preserve"> </v>
      </c>
      <c r="S615" s="54"/>
      <c r="T615" s="131" t="str">
        <f>IFERROR(VLOOKUP(S615,TD!$J$33:$K$43,2,0)," ")</f>
        <v xml:space="preserve"> </v>
      </c>
      <c r="U615" s="54" t="str">
        <f t="shared" si="36"/>
        <v xml:space="preserve">- </v>
      </c>
      <c r="V615" s="54"/>
      <c r="W615" s="131" t="str">
        <f>IFERROR(VLOOKUP(V615,TD!$N$33:$O$45,2,0)," ")</f>
        <v xml:space="preserve"> </v>
      </c>
      <c r="X615" s="54" t="str">
        <f t="shared" si="37"/>
        <v xml:space="preserve">_ </v>
      </c>
      <c r="Y615" s="54" t="str">
        <f t="shared" si="38"/>
        <v xml:space="preserve">-  _ </v>
      </c>
      <c r="Z615" s="131" t="str">
        <f t="shared" si="39"/>
        <v xml:space="preserve">   </v>
      </c>
      <c r="AA615" s="131" t="str">
        <f>IFERROR(VLOOKUP(Y615,TD!$K$46:$L$64,2,0)," ")</f>
        <v xml:space="preserve"> </v>
      </c>
      <c r="AB615" s="57"/>
      <c r="AC615" s="132"/>
    </row>
    <row r="616" spans="2:29" s="28" customFormat="1">
      <c r="B616" s="85"/>
      <c r="C616" s="53"/>
      <c r="D616" s="129"/>
      <c r="E616" s="54"/>
      <c r="F616" s="129"/>
      <c r="G616" s="129"/>
      <c r="H616" s="55"/>
      <c r="I616" s="133"/>
      <c r="J616" s="130"/>
      <c r="K616" s="56"/>
      <c r="L616" s="57"/>
      <c r="M616" s="129"/>
      <c r="N616" s="57"/>
      <c r="O616" s="54"/>
      <c r="P616" s="131" t="str">
        <f>IFERROR(VLOOKUP(C616,TD!$B$32:$F$36,2,0)," ")</f>
        <v xml:space="preserve"> </v>
      </c>
      <c r="Q616" s="131" t="str">
        <f>IFERROR(VLOOKUP(C616,TD!$B$32:$F$36,3,0)," ")</f>
        <v xml:space="preserve"> </v>
      </c>
      <c r="R616" s="131" t="str">
        <f>IFERROR(VLOOKUP(C616,TD!$B$32:$F$36,4,0)," ")</f>
        <v xml:space="preserve"> </v>
      </c>
      <c r="S616" s="54"/>
      <c r="T616" s="131" t="str">
        <f>IFERROR(VLOOKUP(S616,TD!$J$33:$K$43,2,0)," ")</f>
        <v xml:space="preserve"> </v>
      </c>
      <c r="U616" s="54" t="str">
        <f t="shared" si="36"/>
        <v xml:space="preserve">- </v>
      </c>
      <c r="V616" s="54"/>
      <c r="W616" s="131" t="str">
        <f>IFERROR(VLOOKUP(V616,TD!$N$33:$O$45,2,0)," ")</f>
        <v xml:space="preserve"> </v>
      </c>
      <c r="X616" s="54" t="str">
        <f t="shared" si="37"/>
        <v xml:space="preserve">_ </v>
      </c>
      <c r="Y616" s="54" t="str">
        <f t="shared" si="38"/>
        <v xml:space="preserve">-  _ </v>
      </c>
      <c r="Z616" s="131" t="str">
        <f t="shared" si="39"/>
        <v xml:space="preserve">   </v>
      </c>
      <c r="AA616" s="131" t="str">
        <f>IFERROR(VLOOKUP(Y616,TD!$K$46:$L$64,2,0)," ")</f>
        <v xml:space="preserve"> </v>
      </c>
      <c r="AB616" s="57"/>
      <c r="AC616" s="132"/>
    </row>
    <row r="617" spans="2:29" s="28" customFormat="1">
      <c r="B617" s="85"/>
      <c r="C617" s="53"/>
      <c r="D617" s="129"/>
      <c r="E617" s="54"/>
      <c r="F617" s="129"/>
      <c r="G617" s="129"/>
      <c r="H617" s="55"/>
      <c r="I617" s="133"/>
      <c r="J617" s="130"/>
      <c r="K617" s="56"/>
      <c r="L617" s="57"/>
      <c r="M617" s="129"/>
      <c r="N617" s="57"/>
      <c r="O617" s="54"/>
      <c r="P617" s="131" t="str">
        <f>IFERROR(VLOOKUP(C617,TD!$B$32:$F$36,2,0)," ")</f>
        <v xml:space="preserve"> </v>
      </c>
      <c r="Q617" s="131" t="str">
        <f>IFERROR(VLOOKUP(C617,TD!$B$32:$F$36,3,0)," ")</f>
        <v xml:space="preserve"> </v>
      </c>
      <c r="R617" s="131" t="str">
        <f>IFERROR(VLOOKUP(C617,TD!$B$32:$F$36,4,0)," ")</f>
        <v xml:space="preserve"> </v>
      </c>
      <c r="S617" s="54"/>
      <c r="T617" s="131" t="str">
        <f>IFERROR(VLOOKUP(S617,TD!$J$33:$K$43,2,0)," ")</f>
        <v xml:space="preserve"> </v>
      </c>
      <c r="U617" s="54" t="str">
        <f t="shared" si="36"/>
        <v xml:space="preserve">- </v>
      </c>
      <c r="V617" s="54"/>
      <c r="W617" s="131" t="str">
        <f>IFERROR(VLOOKUP(V617,TD!$N$33:$O$45,2,0)," ")</f>
        <v xml:space="preserve"> </v>
      </c>
      <c r="X617" s="54" t="str">
        <f t="shared" si="37"/>
        <v xml:space="preserve">_ </v>
      </c>
      <c r="Y617" s="54" t="str">
        <f t="shared" si="38"/>
        <v xml:space="preserve">-  _ </v>
      </c>
      <c r="Z617" s="131" t="str">
        <f t="shared" si="39"/>
        <v xml:space="preserve">   </v>
      </c>
      <c r="AA617" s="131" t="str">
        <f>IFERROR(VLOOKUP(Y617,TD!$K$46:$L$64,2,0)," ")</f>
        <v xml:space="preserve"> </v>
      </c>
      <c r="AB617" s="57"/>
      <c r="AC617" s="132"/>
    </row>
    <row r="618" spans="2:29" s="28" customFormat="1">
      <c r="B618" s="85"/>
      <c r="C618" s="53"/>
      <c r="D618" s="129"/>
      <c r="E618" s="54"/>
      <c r="F618" s="129"/>
      <c r="G618" s="129"/>
      <c r="H618" s="55"/>
      <c r="I618" s="133"/>
      <c r="J618" s="130"/>
      <c r="K618" s="56"/>
      <c r="L618" s="57"/>
      <c r="M618" s="129"/>
      <c r="N618" s="57"/>
      <c r="O618" s="54"/>
      <c r="P618" s="131" t="str">
        <f>IFERROR(VLOOKUP(C618,TD!$B$32:$F$36,2,0)," ")</f>
        <v xml:space="preserve"> </v>
      </c>
      <c r="Q618" s="131" t="str">
        <f>IFERROR(VLOOKUP(C618,TD!$B$32:$F$36,3,0)," ")</f>
        <v xml:space="preserve"> </v>
      </c>
      <c r="R618" s="131" t="str">
        <f>IFERROR(VLOOKUP(C618,TD!$B$32:$F$36,4,0)," ")</f>
        <v xml:space="preserve"> </v>
      </c>
      <c r="S618" s="54"/>
      <c r="T618" s="131" t="str">
        <f>IFERROR(VLOOKUP(S618,TD!$J$33:$K$43,2,0)," ")</f>
        <v xml:space="preserve"> </v>
      </c>
      <c r="U618" s="54" t="str">
        <f t="shared" si="36"/>
        <v xml:space="preserve">- </v>
      </c>
      <c r="V618" s="54"/>
      <c r="W618" s="131" t="str">
        <f>IFERROR(VLOOKUP(V618,TD!$N$33:$O$45,2,0)," ")</f>
        <v xml:space="preserve"> </v>
      </c>
      <c r="X618" s="54" t="str">
        <f t="shared" si="37"/>
        <v xml:space="preserve">_ </v>
      </c>
      <c r="Y618" s="54" t="str">
        <f t="shared" si="38"/>
        <v xml:space="preserve">-  _ </v>
      </c>
      <c r="Z618" s="131" t="str">
        <f t="shared" si="39"/>
        <v xml:space="preserve">   </v>
      </c>
      <c r="AA618" s="131" t="str">
        <f>IFERROR(VLOOKUP(Y618,TD!$K$46:$L$64,2,0)," ")</f>
        <v xml:space="preserve"> </v>
      </c>
      <c r="AB618" s="57"/>
      <c r="AC618" s="132"/>
    </row>
    <row r="619" spans="2:29" s="28" customFormat="1">
      <c r="B619" s="85"/>
      <c r="C619" s="53"/>
      <c r="D619" s="129"/>
      <c r="E619" s="54"/>
      <c r="F619" s="129"/>
      <c r="G619" s="129"/>
      <c r="H619" s="55"/>
      <c r="I619" s="133"/>
      <c r="J619" s="130"/>
      <c r="K619" s="56"/>
      <c r="L619" s="57"/>
      <c r="M619" s="129"/>
      <c r="N619" s="57"/>
      <c r="O619" s="54"/>
      <c r="P619" s="131" t="str">
        <f>IFERROR(VLOOKUP(C619,TD!$B$32:$F$36,2,0)," ")</f>
        <v xml:space="preserve"> </v>
      </c>
      <c r="Q619" s="131" t="str">
        <f>IFERROR(VLOOKUP(C619,TD!$B$32:$F$36,3,0)," ")</f>
        <v xml:space="preserve"> </v>
      </c>
      <c r="R619" s="131" t="str">
        <f>IFERROR(VLOOKUP(C619,TD!$B$32:$F$36,4,0)," ")</f>
        <v xml:space="preserve"> </v>
      </c>
      <c r="S619" s="54"/>
      <c r="T619" s="131" t="str">
        <f>IFERROR(VLOOKUP(S619,TD!$J$33:$K$43,2,0)," ")</f>
        <v xml:space="preserve"> </v>
      </c>
      <c r="U619" s="54" t="str">
        <f t="shared" si="36"/>
        <v xml:space="preserve">- </v>
      </c>
      <c r="V619" s="54"/>
      <c r="W619" s="131" t="str">
        <f>IFERROR(VLOOKUP(V619,TD!$N$33:$O$45,2,0)," ")</f>
        <v xml:space="preserve"> </v>
      </c>
      <c r="X619" s="54" t="str">
        <f t="shared" si="37"/>
        <v xml:space="preserve">_ </v>
      </c>
      <c r="Y619" s="54" t="str">
        <f t="shared" si="38"/>
        <v xml:space="preserve">-  _ </v>
      </c>
      <c r="Z619" s="131" t="str">
        <f t="shared" si="39"/>
        <v xml:space="preserve">   </v>
      </c>
      <c r="AA619" s="131" t="str">
        <f>IFERROR(VLOOKUP(Y619,TD!$K$46:$L$64,2,0)," ")</f>
        <v xml:space="preserve"> </v>
      </c>
      <c r="AB619" s="57"/>
      <c r="AC619" s="132"/>
    </row>
    <row r="620" spans="2:29" s="28" customFormat="1">
      <c r="B620" s="85"/>
      <c r="C620" s="53"/>
      <c r="D620" s="129"/>
      <c r="E620" s="54"/>
      <c r="F620" s="129"/>
      <c r="G620" s="129"/>
      <c r="H620" s="55"/>
      <c r="I620" s="133"/>
      <c r="J620" s="130"/>
      <c r="K620" s="56"/>
      <c r="L620" s="57"/>
      <c r="M620" s="129"/>
      <c r="N620" s="57"/>
      <c r="O620" s="54"/>
      <c r="P620" s="131" t="str">
        <f>IFERROR(VLOOKUP(C620,TD!$B$32:$F$36,2,0)," ")</f>
        <v xml:space="preserve"> </v>
      </c>
      <c r="Q620" s="131" t="str">
        <f>IFERROR(VLOOKUP(C620,TD!$B$32:$F$36,3,0)," ")</f>
        <v xml:space="preserve"> </v>
      </c>
      <c r="R620" s="131" t="str">
        <f>IFERROR(VLOOKUP(C620,TD!$B$32:$F$36,4,0)," ")</f>
        <v xml:space="preserve"> </v>
      </c>
      <c r="S620" s="54"/>
      <c r="T620" s="131" t="str">
        <f>IFERROR(VLOOKUP(S620,TD!$J$33:$K$43,2,0)," ")</f>
        <v xml:space="preserve"> </v>
      </c>
      <c r="U620" s="54" t="str">
        <f t="shared" si="36"/>
        <v xml:space="preserve">- </v>
      </c>
      <c r="V620" s="54"/>
      <c r="W620" s="131" t="str">
        <f>IFERROR(VLOOKUP(V620,TD!$N$33:$O$45,2,0)," ")</f>
        <v xml:space="preserve"> </v>
      </c>
      <c r="X620" s="54" t="str">
        <f t="shared" si="37"/>
        <v xml:space="preserve">_ </v>
      </c>
      <c r="Y620" s="54" t="str">
        <f t="shared" si="38"/>
        <v xml:space="preserve">-  _ </v>
      </c>
      <c r="Z620" s="131" t="str">
        <f t="shared" si="39"/>
        <v xml:space="preserve">   </v>
      </c>
      <c r="AA620" s="131" t="str">
        <f>IFERROR(VLOOKUP(Y620,TD!$K$46:$L$64,2,0)," ")</f>
        <v xml:space="preserve"> </v>
      </c>
      <c r="AB620" s="57"/>
      <c r="AC620" s="132"/>
    </row>
    <row r="621" spans="2:29" s="28" customFormat="1">
      <c r="B621" s="85"/>
      <c r="C621" s="53"/>
      <c r="D621" s="129"/>
      <c r="E621" s="54"/>
      <c r="F621" s="129"/>
      <c r="G621" s="129"/>
      <c r="H621" s="55"/>
      <c r="I621" s="133"/>
      <c r="J621" s="130"/>
      <c r="K621" s="56"/>
      <c r="L621" s="57"/>
      <c r="M621" s="129"/>
      <c r="N621" s="57"/>
      <c r="O621" s="54"/>
      <c r="P621" s="131" t="str">
        <f>IFERROR(VLOOKUP(C621,TD!$B$32:$F$36,2,0)," ")</f>
        <v xml:space="preserve"> </v>
      </c>
      <c r="Q621" s="131" t="str">
        <f>IFERROR(VLOOKUP(C621,TD!$B$32:$F$36,3,0)," ")</f>
        <v xml:space="preserve"> </v>
      </c>
      <c r="R621" s="131" t="str">
        <f>IFERROR(VLOOKUP(C621,TD!$B$32:$F$36,4,0)," ")</f>
        <v xml:space="preserve"> </v>
      </c>
      <c r="S621" s="54"/>
      <c r="T621" s="131" t="str">
        <f>IFERROR(VLOOKUP(S621,TD!$J$33:$K$43,2,0)," ")</f>
        <v xml:space="preserve"> </v>
      </c>
      <c r="U621" s="54" t="str">
        <f t="shared" si="36"/>
        <v xml:space="preserve">- </v>
      </c>
      <c r="V621" s="54"/>
      <c r="W621" s="131" t="str">
        <f>IFERROR(VLOOKUP(V621,TD!$N$33:$O$45,2,0)," ")</f>
        <v xml:space="preserve"> </v>
      </c>
      <c r="X621" s="54" t="str">
        <f t="shared" si="37"/>
        <v xml:space="preserve">_ </v>
      </c>
      <c r="Y621" s="54" t="str">
        <f t="shared" si="38"/>
        <v xml:space="preserve">-  _ </v>
      </c>
      <c r="Z621" s="131" t="str">
        <f t="shared" si="39"/>
        <v xml:space="preserve">   </v>
      </c>
      <c r="AA621" s="131" t="str">
        <f>IFERROR(VLOOKUP(Y621,TD!$K$46:$L$64,2,0)," ")</f>
        <v xml:space="preserve"> </v>
      </c>
      <c r="AB621" s="57"/>
      <c r="AC621" s="132"/>
    </row>
    <row r="622" spans="2:29" s="28" customFormat="1">
      <c r="B622" s="85"/>
      <c r="C622" s="53"/>
      <c r="D622" s="129"/>
      <c r="E622" s="54"/>
      <c r="F622" s="129"/>
      <c r="G622" s="129"/>
      <c r="H622" s="55"/>
      <c r="I622" s="133"/>
      <c r="J622" s="130"/>
      <c r="K622" s="56"/>
      <c r="L622" s="57"/>
      <c r="M622" s="129"/>
      <c r="N622" s="57"/>
      <c r="O622" s="54"/>
      <c r="P622" s="131" t="str">
        <f>IFERROR(VLOOKUP(C622,TD!$B$32:$F$36,2,0)," ")</f>
        <v xml:space="preserve"> </v>
      </c>
      <c r="Q622" s="131" t="str">
        <f>IFERROR(VLOOKUP(C622,TD!$B$32:$F$36,3,0)," ")</f>
        <v xml:space="preserve"> </v>
      </c>
      <c r="R622" s="131" t="str">
        <f>IFERROR(VLOOKUP(C622,TD!$B$32:$F$36,4,0)," ")</f>
        <v xml:space="preserve"> </v>
      </c>
      <c r="S622" s="54"/>
      <c r="T622" s="131" t="str">
        <f>IFERROR(VLOOKUP(S622,TD!$J$33:$K$43,2,0)," ")</f>
        <v xml:space="preserve"> </v>
      </c>
      <c r="U622" s="54" t="str">
        <f t="shared" si="36"/>
        <v xml:space="preserve">- </v>
      </c>
      <c r="V622" s="54"/>
      <c r="W622" s="131" t="str">
        <f>IFERROR(VLOOKUP(V622,TD!$N$33:$O$45,2,0)," ")</f>
        <v xml:space="preserve"> </v>
      </c>
      <c r="X622" s="54" t="str">
        <f t="shared" si="37"/>
        <v xml:space="preserve">_ </v>
      </c>
      <c r="Y622" s="54" t="str">
        <f t="shared" si="38"/>
        <v xml:space="preserve">-  _ </v>
      </c>
      <c r="Z622" s="131" t="str">
        <f t="shared" si="39"/>
        <v xml:space="preserve">   </v>
      </c>
      <c r="AA622" s="131" t="str">
        <f>IFERROR(VLOOKUP(Y622,TD!$K$46:$L$64,2,0)," ")</f>
        <v xml:space="preserve"> </v>
      </c>
      <c r="AB622" s="57"/>
      <c r="AC622" s="132"/>
    </row>
    <row r="623" spans="2:29" s="28" customFormat="1">
      <c r="B623" s="85"/>
      <c r="C623" s="53"/>
      <c r="D623" s="129"/>
      <c r="E623" s="54"/>
      <c r="F623" s="129"/>
      <c r="G623" s="129"/>
      <c r="H623" s="55"/>
      <c r="I623" s="133"/>
      <c r="J623" s="130"/>
      <c r="K623" s="56"/>
      <c r="L623" s="57"/>
      <c r="M623" s="129"/>
      <c r="N623" s="57"/>
      <c r="O623" s="54"/>
      <c r="P623" s="131" t="str">
        <f>IFERROR(VLOOKUP(C623,TD!$B$32:$F$36,2,0)," ")</f>
        <v xml:space="preserve"> </v>
      </c>
      <c r="Q623" s="131" t="str">
        <f>IFERROR(VLOOKUP(C623,TD!$B$32:$F$36,3,0)," ")</f>
        <v xml:space="preserve"> </v>
      </c>
      <c r="R623" s="131" t="str">
        <f>IFERROR(VLOOKUP(C623,TD!$B$32:$F$36,4,0)," ")</f>
        <v xml:space="preserve"> </v>
      </c>
      <c r="S623" s="54"/>
      <c r="T623" s="131" t="str">
        <f>IFERROR(VLOOKUP(S623,TD!$J$33:$K$43,2,0)," ")</f>
        <v xml:space="preserve"> </v>
      </c>
      <c r="U623" s="54" t="str">
        <f t="shared" si="36"/>
        <v xml:space="preserve">- </v>
      </c>
      <c r="V623" s="54"/>
      <c r="W623" s="131" t="str">
        <f>IFERROR(VLOOKUP(V623,TD!$N$33:$O$45,2,0)," ")</f>
        <v xml:space="preserve"> </v>
      </c>
      <c r="X623" s="54" t="str">
        <f t="shared" si="37"/>
        <v xml:space="preserve">_ </v>
      </c>
      <c r="Y623" s="54" t="str">
        <f t="shared" si="38"/>
        <v xml:space="preserve">-  _ </v>
      </c>
      <c r="Z623" s="131" t="str">
        <f t="shared" si="39"/>
        <v xml:space="preserve">   </v>
      </c>
      <c r="AA623" s="131" t="str">
        <f>IFERROR(VLOOKUP(Y623,TD!$K$46:$L$64,2,0)," ")</f>
        <v xml:space="preserve"> </v>
      </c>
      <c r="AB623" s="57"/>
      <c r="AC623" s="132"/>
    </row>
    <row r="624" spans="2:29" s="28" customFormat="1">
      <c r="B624" s="85"/>
      <c r="C624" s="53"/>
      <c r="D624" s="129"/>
      <c r="E624" s="54"/>
      <c r="F624" s="129"/>
      <c r="G624" s="129"/>
      <c r="H624" s="55"/>
      <c r="I624" s="133"/>
      <c r="J624" s="130"/>
      <c r="K624" s="56"/>
      <c r="L624" s="57"/>
      <c r="M624" s="129"/>
      <c r="N624" s="57"/>
      <c r="O624" s="54"/>
      <c r="P624" s="131" t="str">
        <f>IFERROR(VLOOKUP(C624,TD!$B$32:$F$36,2,0)," ")</f>
        <v xml:space="preserve"> </v>
      </c>
      <c r="Q624" s="131" t="str">
        <f>IFERROR(VLOOKUP(C624,TD!$B$32:$F$36,3,0)," ")</f>
        <v xml:space="preserve"> </v>
      </c>
      <c r="R624" s="131" t="str">
        <f>IFERROR(VLOOKUP(C624,TD!$B$32:$F$36,4,0)," ")</f>
        <v xml:space="preserve"> </v>
      </c>
      <c r="S624" s="54"/>
      <c r="T624" s="131" t="str">
        <f>IFERROR(VLOOKUP(S624,TD!$J$33:$K$43,2,0)," ")</f>
        <v xml:space="preserve"> </v>
      </c>
      <c r="U624" s="54" t="str">
        <f t="shared" si="36"/>
        <v xml:space="preserve">- </v>
      </c>
      <c r="V624" s="54"/>
      <c r="W624" s="131" t="str">
        <f>IFERROR(VLOOKUP(V624,TD!$N$33:$O$45,2,0)," ")</f>
        <v xml:space="preserve"> </v>
      </c>
      <c r="X624" s="54" t="str">
        <f t="shared" si="37"/>
        <v xml:space="preserve">_ </v>
      </c>
      <c r="Y624" s="54" t="str">
        <f t="shared" si="38"/>
        <v xml:space="preserve">-  _ </v>
      </c>
      <c r="Z624" s="131" t="str">
        <f t="shared" si="39"/>
        <v xml:space="preserve">   </v>
      </c>
      <c r="AA624" s="131" t="str">
        <f>IFERROR(VLOOKUP(Y624,TD!$K$46:$L$64,2,0)," ")</f>
        <v xml:space="preserve"> </v>
      </c>
      <c r="AB624" s="57"/>
      <c r="AC624" s="132"/>
    </row>
    <row r="625" spans="2:29" s="28" customFormat="1">
      <c r="B625" s="85"/>
      <c r="C625" s="53"/>
      <c r="D625" s="129"/>
      <c r="E625" s="54"/>
      <c r="F625" s="129"/>
      <c r="G625" s="129"/>
      <c r="H625" s="55"/>
      <c r="I625" s="133"/>
      <c r="J625" s="130"/>
      <c r="K625" s="56"/>
      <c r="L625" s="57"/>
      <c r="M625" s="129"/>
      <c r="N625" s="57"/>
      <c r="O625" s="54"/>
      <c r="P625" s="131" t="str">
        <f>IFERROR(VLOOKUP(C625,TD!$B$32:$F$36,2,0)," ")</f>
        <v xml:space="preserve"> </v>
      </c>
      <c r="Q625" s="131" t="str">
        <f>IFERROR(VLOOKUP(C625,TD!$B$32:$F$36,3,0)," ")</f>
        <v xml:space="preserve"> </v>
      </c>
      <c r="R625" s="131" t="str">
        <f>IFERROR(VLOOKUP(C625,TD!$B$32:$F$36,4,0)," ")</f>
        <v xml:space="preserve"> </v>
      </c>
      <c r="S625" s="54"/>
      <c r="T625" s="131" t="str">
        <f>IFERROR(VLOOKUP(S625,TD!$J$33:$K$43,2,0)," ")</f>
        <v xml:space="preserve"> </v>
      </c>
      <c r="U625" s="54" t="str">
        <f t="shared" si="36"/>
        <v xml:space="preserve">- </v>
      </c>
      <c r="V625" s="54"/>
      <c r="W625" s="131" t="str">
        <f>IFERROR(VLOOKUP(V625,TD!$N$33:$O$45,2,0)," ")</f>
        <v xml:space="preserve"> </v>
      </c>
      <c r="X625" s="54" t="str">
        <f t="shared" si="37"/>
        <v xml:space="preserve">_ </v>
      </c>
      <c r="Y625" s="54" t="str">
        <f t="shared" si="38"/>
        <v xml:space="preserve">-  _ </v>
      </c>
      <c r="Z625" s="131" t="str">
        <f t="shared" si="39"/>
        <v xml:space="preserve">   </v>
      </c>
      <c r="AA625" s="131" t="str">
        <f>IFERROR(VLOOKUP(Y625,TD!$K$46:$L$64,2,0)," ")</f>
        <v xml:space="preserve"> </v>
      </c>
      <c r="AB625" s="57"/>
      <c r="AC625" s="132"/>
    </row>
    <row r="626" spans="2:29" s="28" customFormat="1">
      <c r="B626" s="85"/>
      <c r="C626" s="53"/>
      <c r="D626" s="129"/>
      <c r="E626" s="54"/>
      <c r="F626" s="129"/>
      <c r="G626" s="129"/>
      <c r="H626" s="55"/>
      <c r="I626" s="133"/>
      <c r="J626" s="130"/>
      <c r="K626" s="56"/>
      <c r="L626" s="57"/>
      <c r="M626" s="129"/>
      <c r="N626" s="57"/>
      <c r="O626" s="54"/>
      <c r="P626" s="131" t="str">
        <f>IFERROR(VLOOKUP(C626,TD!$B$32:$F$36,2,0)," ")</f>
        <v xml:space="preserve"> </v>
      </c>
      <c r="Q626" s="131" t="str">
        <f>IFERROR(VLOOKUP(C626,TD!$B$32:$F$36,3,0)," ")</f>
        <v xml:space="preserve"> </v>
      </c>
      <c r="R626" s="131" t="str">
        <f>IFERROR(VLOOKUP(C626,TD!$B$32:$F$36,4,0)," ")</f>
        <v xml:space="preserve"> </v>
      </c>
      <c r="S626" s="54"/>
      <c r="T626" s="131" t="str">
        <f>IFERROR(VLOOKUP(S626,TD!$J$33:$K$43,2,0)," ")</f>
        <v xml:space="preserve"> </v>
      </c>
      <c r="U626" s="54" t="str">
        <f t="shared" si="36"/>
        <v xml:space="preserve">- </v>
      </c>
      <c r="V626" s="54"/>
      <c r="W626" s="131" t="str">
        <f>IFERROR(VLOOKUP(V626,TD!$N$33:$O$45,2,0)," ")</f>
        <v xml:space="preserve"> </v>
      </c>
      <c r="X626" s="54" t="str">
        <f t="shared" si="37"/>
        <v xml:space="preserve">_ </v>
      </c>
      <c r="Y626" s="54" t="str">
        <f t="shared" si="38"/>
        <v xml:space="preserve">-  _ </v>
      </c>
      <c r="Z626" s="131" t="str">
        <f t="shared" si="39"/>
        <v xml:space="preserve">   </v>
      </c>
      <c r="AA626" s="131" t="str">
        <f>IFERROR(VLOOKUP(Y626,TD!$K$46:$L$64,2,0)," ")</f>
        <v xml:space="preserve"> </v>
      </c>
      <c r="AB626" s="57"/>
      <c r="AC626" s="132"/>
    </row>
    <row r="627" spans="2:29" s="28" customFormat="1">
      <c r="B627" s="85"/>
      <c r="C627" s="53"/>
      <c r="D627" s="129"/>
      <c r="E627" s="54"/>
      <c r="F627" s="129"/>
      <c r="G627" s="129"/>
      <c r="H627" s="55"/>
      <c r="I627" s="133"/>
      <c r="J627" s="130"/>
      <c r="K627" s="56"/>
      <c r="L627" s="57"/>
      <c r="M627" s="129"/>
      <c r="N627" s="57"/>
      <c r="O627" s="54"/>
      <c r="P627" s="131" t="str">
        <f>IFERROR(VLOOKUP(C627,TD!$B$32:$F$36,2,0)," ")</f>
        <v xml:space="preserve"> </v>
      </c>
      <c r="Q627" s="131" t="str">
        <f>IFERROR(VLOOKUP(C627,TD!$B$32:$F$36,3,0)," ")</f>
        <v xml:space="preserve"> </v>
      </c>
      <c r="R627" s="131" t="str">
        <f>IFERROR(VLOOKUP(C627,TD!$B$32:$F$36,4,0)," ")</f>
        <v xml:space="preserve"> </v>
      </c>
      <c r="S627" s="54"/>
      <c r="T627" s="131" t="str">
        <f>IFERROR(VLOOKUP(S627,TD!$J$33:$K$43,2,0)," ")</f>
        <v xml:space="preserve"> </v>
      </c>
      <c r="U627" s="54" t="str">
        <f t="shared" si="36"/>
        <v xml:space="preserve">- </v>
      </c>
      <c r="V627" s="54"/>
      <c r="W627" s="131" t="str">
        <f>IFERROR(VLOOKUP(V627,TD!$N$33:$O$45,2,0)," ")</f>
        <v xml:space="preserve"> </v>
      </c>
      <c r="X627" s="54" t="str">
        <f t="shared" si="37"/>
        <v xml:space="preserve">_ </v>
      </c>
      <c r="Y627" s="54" t="str">
        <f t="shared" si="38"/>
        <v xml:space="preserve">-  _ </v>
      </c>
      <c r="Z627" s="131" t="str">
        <f t="shared" si="39"/>
        <v xml:space="preserve">   </v>
      </c>
      <c r="AA627" s="131" t="str">
        <f>IFERROR(VLOOKUP(Y627,TD!$K$46:$L$64,2,0)," ")</f>
        <v xml:space="preserve"> </v>
      </c>
      <c r="AB627" s="57"/>
      <c r="AC627" s="132"/>
    </row>
    <row r="628" spans="2:29" s="28" customFormat="1">
      <c r="B628" s="85"/>
      <c r="C628" s="53"/>
      <c r="D628" s="129"/>
      <c r="E628" s="54"/>
      <c r="F628" s="129"/>
      <c r="G628" s="129"/>
      <c r="H628" s="55"/>
      <c r="I628" s="133"/>
      <c r="J628" s="130"/>
      <c r="K628" s="56"/>
      <c r="L628" s="57"/>
      <c r="M628" s="129"/>
      <c r="N628" s="57"/>
      <c r="O628" s="54"/>
      <c r="P628" s="131" t="str">
        <f>IFERROR(VLOOKUP(C628,TD!$B$32:$F$36,2,0)," ")</f>
        <v xml:space="preserve"> </v>
      </c>
      <c r="Q628" s="131" t="str">
        <f>IFERROR(VLOOKUP(C628,TD!$B$32:$F$36,3,0)," ")</f>
        <v xml:space="preserve"> </v>
      </c>
      <c r="R628" s="131" t="str">
        <f>IFERROR(VLOOKUP(C628,TD!$B$32:$F$36,4,0)," ")</f>
        <v xml:space="preserve"> </v>
      </c>
      <c r="S628" s="54"/>
      <c r="T628" s="131" t="str">
        <f>IFERROR(VLOOKUP(S628,TD!$J$33:$K$43,2,0)," ")</f>
        <v xml:space="preserve"> </v>
      </c>
      <c r="U628" s="54" t="str">
        <f t="shared" si="36"/>
        <v xml:space="preserve">- </v>
      </c>
      <c r="V628" s="54"/>
      <c r="W628" s="131" t="str">
        <f>IFERROR(VLOOKUP(V628,TD!$N$33:$O$45,2,0)," ")</f>
        <v xml:space="preserve"> </v>
      </c>
      <c r="X628" s="54" t="str">
        <f t="shared" si="37"/>
        <v xml:space="preserve">_ </v>
      </c>
      <c r="Y628" s="54" t="str">
        <f t="shared" si="38"/>
        <v xml:space="preserve">-  _ </v>
      </c>
      <c r="Z628" s="131" t="str">
        <f t="shared" si="39"/>
        <v xml:space="preserve">   </v>
      </c>
      <c r="AA628" s="131" t="str">
        <f>IFERROR(VLOOKUP(Y628,TD!$K$46:$L$64,2,0)," ")</f>
        <v xml:space="preserve"> </v>
      </c>
      <c r="AB628" s="57"/>
      <c r="AC628" s="132"/>
    </row>
    <row r="629" spans="2:29" s="28" customFormat="1">
      <c r="B629" s="85"/>
      <c r="C629" s="53"/>
      <c r="D629" s="129"/>
      <c r="E629" s="54"/>
      <c r="F629" s="129"/>
      <c r="G629" s="129"/>
      <c r="H629" s="55"/>
      <c r="I629" s="133"/>
      <c r="J629" s="130"/>
      <c r="K629" s="56"/>
      <c r="L629" s="57"/>
      <c r="M629" s="129"/>
      <c r="N629" s="57"/>
      <c r="O629" s="54"/>
      <c r="P629" s="131" t="str">
        <f>IFERROR(VLOOKUP(C629,TD!$B$32:$F$36,2,0)," ")</f>
        <v xml:space="preserve"> </v>
      </c>
      <c r="Q629" s="131" t="str">
        <f>IFERROR(VLOOKUP(C629,TD!$B$32:$F$36,3,0)," ")</f>
        <v xml:space="preserve"> </v>
      </c>
      <c r="R629" s="131" t="str">
        <f>IFERROR(VLOOKUP(C629,TD!$B$32:$F$36,4,0)," ")</f>
        <v xml:space="preserve"> </v>
      </c>
      <c r="S629" s="54"/>
      <c r="T629" s="131" t="str">
        <f>IFERROR(VLOOKUP(S629,TD!$J$33:$K$43,2,0)," ")</f>
        <v xml:space="preserve"> </v>
      </c>
      <c r="U629" s="54" t="str">
        <f t="shared" si="36"/>
        <v xml:space="preserve">- </v>
      </c>
      <c r="V629" s="54"/>
      <c r="W629" s="131" t="str">
        <f>IFERROR(VLOOKUP(V629,TD!$N$33:$O$45,2,0)," ")</f>
        <v xml:space="preserve"> </v>
      </c>
      <c r="X629" s="54" t="str">
        <f t="shared" si="37"/>
        <v xml:space="preserve">_ </v>
      </c>
      <c r="Y629" s="54" t="str">
        <f t="shared" si="38"/>
        <v xml:space="preserve">-  _ </v>
      </c>
      <c r="Z629" s="131" t="str">
        <f t="shared" si="39"/>
        <v xml:space="preserve">   </v>
      </c>
      <c r="AA629" s="131" t="str">
        <f>IFERROR(VLOOKUP(Y629,TD!$K$46:$L$64,2,0)," ")</f>
        <v xml:space="preserve"> </v>
      </c>
      <c r="AB629" s="57"/>
      <c r="AC629" s="132"/>
    </row>
    <row r="630" spans="2:29" s="28" customFormat="1">
      <c r="B630" s="85"/>
      <c r="C630" s="53"/>
      <c r="D630" s="129"/>
      <c r="E630" s="54"/>
      <c r="F630" s="129"/>
      <c r="G630" s="129"/>
      <c r="H630" s="55"/>
      <c r="I630" s="133"/>
      <c r="J630" s="130"/>
      <c r="K630" s="56"/>
      <c r="L630" s="57"/>
      <c r="M630" s="129"/>
      <c r="N630" s="57"/>
      <c r="O630" s="54"/>
      <c r="P630" s="131" t="str">
        <f>IFERROR(VLOOKUP(C630,TD!$B$32:$F$36,2,0)," ")</f>
        <v xml:space="preserve"> </v>
      </c>
      <c r="Q630" s="131" t="str">
        <f>IFERROR(VLOOKUP(C630,TD!$B$32:$F$36,3,0)," ")</f>
        <v xml:space="preserve"> </v>
      </c>
      <c r="R630" s="131" t="str">
        <f>IFERROR(VLOOKUP(C630,TD!$B$32:$F$36,4,0)," ")</f>
        <v xml:space="preserve"> </v>
      </c>
      <c r="S630" s="54"/>
      <c r="T630" s="131" t="str">
        <f>IFERROR(VLOOKUP(S630,TD!$J$33:$K$43,2,0)," ")</f>
        <v xml:space="preserve"> </v>
      </c>
      <c r="U630" s="54" t="str">
        <f t="shared" si="36"/>
        <v xml:space="preserve">- </v>
      </c>
      <c r="V630" s="54"/>
      <c r="W630" s="131" t="str">
        <f>IFERROR(VLOOKUP(V630,TD!$N$33:$O$45,2,0)," ")</f>
        <v xml:space="preserve"> </v>
      </c>
      <c r="X630" s="54" t="str">
        <f t="shared" si="37"/>
        <v xml:space="preserve">_ </v>
      </c>
      <c r="Y630" s="54" t="str">
        <f t="shared" si="38"/>
        <v xml:space="preserve">-  _ </v>
      </c>
      <c r="Z630" s="131" t="str">
        <f t="shared" si="39"/>
        <v xml:space="preserve">   </v>
      </c>
      <c r="AA630" s="131" t="str">
        <f>IFERROR(VLOOKUP(Y630,TD!$K$46:$L$64,2,0)," ")</f>
        <v xml:space="preserve"> </v>
      </c>
      <c r="AB630" s="57"/>
      <c r="AC630" s="132"/>
    </row>
    <row r="631" spans="2:29" s="28" customFormat="1">
      <c r="B631" s="85"/>
      <c r="C631" s="53"/>
      <c r="D631" s="129"/>
      <c r="E631" s="54"/>
      <c r="F631" s="129"/>
      <c r="G631" s="129"/>
      <c r="H631" s="55"/>
      <c r="I631" s="133"/>
      <c r="J631" s="130"/>
      <c r="K631" s="56"/>
      <c r="L631" s="57"/>
      <c r="M631" s="129"/>
      <c r="N631" s="57"/>
      <c r="O631" s="54"/>
      <c r="P631" s="131" t="str">
        <f>IFERROR(VLOOKUP(C631,TD!$B$32:$F$36,2,0)," ")</f>
        <v xml:space="preserve"> </v>
      </c>
      <c r="Q631" s="131" t="str">
        <f>IFERROR(VLOOKUP(C631,TD!$B$32:$F$36,3,0)," ")</f>
        <v xml:space="preserve"> </v>
      </c>
      <c r="R631" s="131" t="str">
        <f>IFERROR(VLOOKUP(C631,TD!$B$32:$F$36,4,0)," ")</f>
        <v xml:space="preserve"> </v>
      </c>
      <c r="S631" s="54"/>
      <c r="T631" s="131" t="str">
        <f>IFERROR(VLOOKUP(S631,TD!$J$33:$K$43,2,0)," ")</f>
        <v xml:space="preserve"> </v>
      </c>
      <c r="U631" s="54" t="str">
        <f t="shared" si="36"/>
        <v xml:space="preserve">- </v>
      </c>
      <c r="V631" s="54"/>
      <c r="W631" s="131" t="str">
        <f>IFERROR(VLOOKUP(V631,TD!$N$33:$O$45,2,0)," ")</f>
        <v xml:space="preserve"> </v>
      </c>
      <c r="X631" s="54" t="str">
        <f t="shared" si="37"/>
        <v xml:space="preserve">_ </v>
      </c>
      <c r="Y631" s="54" t="str">
        <f t="shared" si="38"/>
        <v xml:space="preserve">-  _ </v>
      </c>
      <c r="Z631" s="131" t="str">
        <f t="shared" si="39"/>
        <v xml:space="preserve">   </v>
      </c>
      <c r="AA631" s="131" t="str">
        <f>IFERROR(VLOOKUP(Y631,TD!$K$46:$L$64,2,0)," ")</f>
        <v xml:space="preserve"> </v>
      </c>
      <c r="AB631" s="57"/>
      <c r="AC631" s="132"/>
    </row>
    <row r="632" spans="2:29" s="28" customFormat="1">
      <c r="B632" s="85"/>
      <c r="C632" s="53"/>
      <c r="D632" s="129"/>
      <c r="E632" s="54"/>
      <c r="F632" s="129"/>
      <c r="G632" s="129"/>
      <c r="H632" s="55"/>
      <c r="I632" s="133"/>
      <c r="J632" s="130"/>
      <c r="K632" s="56"/>
      <c r="L632" s="57"/>
      <c r="M632" s="129"/>
      <c r="N632" s="57"/>
      <c r="O632" s="54"/>
      <c r="P632" s="131" t="str">
        <f>IFERROR(VLOOKUP(C632,TD!$B$32:$F$36,2,0)," ")</f>
        <v xml:space="preserve"> </v>
      </c>
      <c r="Q632" s="131" t="str">
        <f>IFERROR(VLOOKUP(C632,TD!$B$32:$F$36,3,0)," ")</f>
        <v xml:space="preserve"> </v>
      </c>
      <c r="R632" s="131" t="str">
        <f>IFERROR(VLOOKUP(C632,TD!$B$32:$F$36,4,0)," ")</f>
        <v xml:space="preserve"> </v>
      </c>
      <c r="S632" s="54"/>
      <c r="T632" s="131" t="str">
        <f>IFERROR(VLOOKUP(S632,TD!$J$33:$K$43,2,0)," ")</f>
        <v xml:space="preserve"> </v>
      </c>
      <c r="U632" s="54" t="str">
        <f t="shared" si="36"/>
        <v xml:space="preserve">- </v>
      </c>
      <c r="V632" s="54"/>
      <c r="W632" s="131" t="str">
        <f>IFERROR(VLOOKUP(V632,TD!$N$33:$O$45,2,0)," ")</f>
        <v xml:space="preserve"> </v>
      </c>
      <c r="X632" s="54" t="str">
        <f t="shared" si="37"/>
        <v xml:space="preserve">_ </v>
      </c>
      <c r="Y632" s="54" t="str">
        <f t="shared" si="38"/>
        <v xml:space="preserve">-  _ </v>
      </c>
      <c r="Z632" s="131" t="str">
        <f t="shared" si="39"/>
        <v xml:space="preserve">   </v>
      </c>
      <c r="AA632" s="131" t="str">
        <f>IFERROR(VLOOKUP(Y632,TD!$K$46:$L$64,2,0)," ")</f>
        <v xml:space="preserve"> </v>
      </c>
      <c r="AB632" s="57"/>
      <c r="AC632" s="132"/>
    </row>
    <row r="633" spans="2:29" s="28" customFormat="1">
      <c r="B633" s="85"/>
      <c r="C633" s="53"/>
      <c r="D633" s="129"/>
      <c r="E633" s="54"/>
      <c r="F633" s="129"/>
      <c r="G633" s="129"/>
      <c r="H633" s="55"/>
      <c r="I633" s="133"/>
      <c r="J633" s="130"/>
      <c r="K633" s="56"/>
      <c r="L633" s="57"/>
      <c r="M633" s="129"/>
      <c r="N633" s="57"/>
      <c r="O633" s="54"/>
      <c r="P633" s="131" t="str">
        <f>IFERROR(VLOOKUP(C633,TD!$B$32:$F$36,2,0)," ")</f>
        <v xml:space="preserve"> </v>
      </c>
      <c r="Q633" s="131" t="str">
        <f>IFERROR(VLOOKUP(C633,TD!$B$32:$F$36,3,0)," ")</f>
        <v xml:space="preserve"> </v>
      </c>
      <c r="R633" s="131" t="str">
        <f>IFERROR(VLOOKUP(C633,TD!$B$32:$F$36,4,0)," ")</f>
        <v xml:space="preserve"> </v>
      </c>
      <c r="S633" s="54"/>
      <c r="T633" s="131" t="str">
        <f>IFERROR(VLOOKUP(S633,TD!$J$33:$K$43,2,0)," ")</f>
        <v xml:space="preserve"> </v>
      </c>
      <c r="U633" s="54" t="str">
        <f t="shared" si="36"/>
        <v xml:space="preserve">- </v>
      </c>
      <c r="V633" s="54"/>
      <c r="W633" s="131" t="str">
        <f>IFERROR(VLOOKUP(V633,TD!$N$33:$O$45,2,0)," ")</f>
        <v xml:space="preserve"> </v>
      </c>
      <c r="X633" s="54" t="str">
        <f t="shared" si="37"/>
        <v xml:space="preserve">_ </v>
      </c>
      <c r="Y633" s="54" t="str">
        <f t="shared" si="38"/>
        <v xml:space="preserve">-  _ </v>
      </c>
      <c r="Z633" s="131" t="str">
        <f t="shared" si="39"/>
        <v xml:space="preserve">   </v>
      </c>
      <c r="AA633" s="131" t="str">
        <f>IFERROR(VLOOKUP(Y633,TD!$K$46:$L$64,2,0)," ")</f>
        <v xml:space="preserve"> </v>
      </c>
      <c r="AB633" s="57"/>
      <c r="AC633" s="132"/>
    </row>
    <row r="634" spans="2:29" s="28" customFormat="1">
      <c r="B634" s="85"/>
      <c r="C634" s="53"/>
      <c r="D634" s="129"/>
      <c r="E634" s="54"/>
      <c r="F634" s="129"/>
      <c r="G634" s="129"/>
      <c r="H634" s="55"/>
      <c r="I634" s="133"/>
      <c r="J634" s="130"/>
      <c r="K634" s="56"/>
      <c r="L634" s="57"/>
      <c r="M634" s="129"/>
      <c r="N634" s="57"/>
      <c r="O634" s="54"/>
      <c r="P634" s="131" t="str">
        <f>IFERROR(VLOOKUP(C634,TD!$B$32:$F$36,2,0)," ")</f>
        <v xml:space="preserve"> </v>
      </c>
      <c r="Q634" s="131" t="str">
        <f>IFERROR(VLOOKUP(C634,TD!$B$32:$F$36,3,0)," ")</f>
        <v xml:space="preserve"> </v>
      </c>
      <c r="R634" s="131" t="str">
        <f>IFERROR(VLOOKUP(C634,TD!$B$32:$F$36,4,0)," ")</f>
        <v xml:space="preserve"> </v>
      </c>
      <c r="S634" s="54"/>
      <c r="T634" s="131" t="str">
        <f>IFERROR(VLOOKUP(S634,TD!$J$33:$K$43,2,0)," ")</f>
        <v xml:space="preserve"> </v>
      </c>
      <c r="U634" s="54" t="str">
        <f t="shared" si="36"/>
        <v xml:space="preserve">- </v>
      </c>
      <c r="V634" s="54"/>
      <c r="W634" s="131" t="str">
        <f>IFERROR(VLOOKUP(V634,TD!$N$33:$O$45,2,0)," ")</f>
        <v xml:space="preserve"> </v>
      </c>
      <c r="X634" s="54" t="str">
        <f t="shared" si="37"/>
        <v xml:space="preserve">_ </v>
      </c>
      <c r="Y634" s="54" t="str">
        <f t="shared" si="38"/>
        <v xml:space="preserve">-  _ </v>
      </c>
      <c r="Z634" s="131" t="str">
        <f t="shared" si="39"/>
        <v xml:space="preserve">   </v>
      </c>
      <c r="AA634" s="131" t="str">
        <f>IFERROR(VLOOKUP(Y634,TD!$K$46:$L$64,2,0)," ")</f>
        <v xml:space="preserve"> </v>
      </c>
      <c r="AB634" s="57"/>
      <c r="AC634" s="132"/>
    </row>
    <row r="635" spans="2:29" s="28" customFormat="1">
      <c r="B635" s="85"/>
      <c r="C635" s="53"/>
      <c r="D635" s="129"/>
      <c r="E635" s="54"/>
      <c r="F635" s="129"/>
      <c r="G635" s="129"/>
      <c r="H635" s="55"/>
      <c r="I635" s="133"/>
      <c r="J635" s="130"/>
      <c r="K635" s="56"/>
      <c r="L635" s="57"/>
      <c r="M635" s="129"/>
      <c r="N635" s="57"/>
      <c r="O635" s="54"/>
      <c r="P635" s="131" t="str">
        <f>IFERROR(VLOOKUP(C635,TD!$B$32:$F$36,2,0)," ")</f>
        <v xml:space="preserve"> </v>
      </c>
      <c r="Q635" s="131" t="str">
        <f>IFERROR(VLOOKUP(C635,TD!$B$32:$F$36,3,0)," ")</f>
        <v xml:space="preserve"> </v>
      </c>
      <c r="R635" s="131" t="str">
        <f>IFERROR(VLOOKUP(C635,TD!$B$32:$F$36,4,0)," ")</f>
        <v xml:space="preserve"> </v>
      </c>
      <c r="S635" s="54"/>
      <c r="T635" s="131" t="str">
        <f>IFERROR(VLOOKUP(S635,TD!$J$33:$K$43,2,0)," ")</f>
        <v xml:space="preserve"> </v>
      </c>
      <c r="U635" s="54" t="str">
        <f t="shared" si="36"/>
        <v xml:space="preserve">- </v>
      </c>
      <c r="V635" s="54"/>
      <c r="W635" s="131" t="str">
        <f>IFERROR(VLOOKUP(V635,TD!$N$33:$O$45,2,0)," ")</f>
        <v xml:space="preserve"> </v>
      </c>
      <c r="X635" s="54" t="str">
        <f t="shared" si="37"/>
        <v xml:space="preserve">_ </v>
      </c>
      <c r="Y635" s="54" t="str">
        <f t="shared" si="38"/>
        <v xml:space="preserve">-  _ </v>
      </c>
      <c r="Z635" s="131" t="str">
        <f t="shared" si="39"/>
        <v xml:space="preserve">   </v>
      </c>
      <c r="AA635" s="131" t="str">
        <f>IFERROR(VLOOKUP(Y635,TD!$K$46:$L$64,2,0)," ")</f>
        <v xml:space="preserve"> </v>
      </c>
      <c r="AB635" s="57"/>
      <c r="AC635" s="132"/>
    </row>
    <row r="636" spans="2:29" s="28" customFormat="1">
      <c r="B636" s="85"/>
      <c r="C636" s="53"/>
      <c r="D636" s="129"/>
      <c r="E636" s="54"/>
      <c r="F636" s="129"/>
      <c r="G636" s="129"/>
      <c r="H636" s="55"/>
      <c r="I636" s="133"/>
      <c r="J636" s="130"/>
      <c r="K636" s="56"/>
      <c r="L636" s="57"/>
      <c r="M636" s="129"/>
      <c r="N636" s="57"/>
      <c r="O636" s="54"/>
      <c r="P636" s="131" t="str">
        <f>IFERROR(VLOOKUP(C636,TD!$B$32:$F$36,2,0)," ")</f>
        <v xml:space="preserve"> </v>
      </c>
      <c r="Q636" s="131" t="str">
        <f>IFERROR(VLOOKUP(C636,TD!$B$32:$F$36,3,0)," ")</f>
        <v xml:space="preserve"> </v>
      </c>
      <c r="R636" s="131" t="str">
        <f>IFERROR(VLOOKUP(C636,TD!$B$32:$F$36,4,0)," ")</f>
        <v xml:space="preserve"> </v>
      </c>
      <c r="S636" s="54"/>
      <c r="T636" s="131" t="str">
        <f>IFERROR(VLOOKUP(S636,TD!$J$33:$K$43,2,0)," ")</f>
        <v xml:space="preserve"> </v>
      </c>
      <c r="U636" s="54" t="str">
        <f t="shared" si="36"/>
        <v xml:space="preserve">- </v>
      </c>
      <c r="V636" s="54"/>
      <c r="W636" s="131" t="str">
        <f>IFERROR(VLOOKUP(V636,TD!$N$33:$O$45,2,0)," ")</f>
        <v xml:space="preserve"> </v>
      </c>
      <c r="X636" s="54" t="str">
        <f t="shared" si="37"/>
        <v xml:space="preserve">_ </v>
      </c>
      <c r="Y636" s="54" t="str">
        <f t="shared" si="38"/>
        <v xml:space="preserve">-  _ </v>
      </c>
      <c r="Z636" s="131" t="str">
        <f t="shared" si="39"/>
        <v xml:space="preserve">   </v>
      </c>
      <c r="AA636" s="131" t="str">
        <f>IFERROR(VLOOKUP(Y636,TD!$K$46:$L$64,2,0)," ")</f>
        <v xml:space="preserve"> </v>
      </c>
      <c r="AB636" s="57"/>
      <c r="AC636" s="132"/>
    </row>
    <row r="637" spans="2:29" s="28" customFormat="1">
      <c r="B637" s="85"/>
      <c r="C637" s="53"/>
      <c r="D637" s="129"/>
      <c r="E637" s="54"/>
      <c r="F637" s="129"/>
      <c r="G637" s="129"/>
      <c r="H637" s="55"/>
      <c r="I637" s="133"/>
      <c r="J637" s="130"/>
      <c r="K637" s="56"/>
      <c r="L637" s="57"/>
      <c r="M637" s="129"/>
      <c r="N637" s="57"/>
      <c r="O637" s="54"/>
      <c r="P637" s="131" t="str">
        <f>IFERROR(VLOOKUP(C637,TD!$B$32:$F$36,2,0)," ")</f>
        <v xml:space="preserve"> </v>
      </c>
      <c r="Q637" s="131" t="str">
        <f>IFERROR(VLOOKUP(C637,TD!$B$32:$F$36,3,0)," ")</f>
        <v xml:space="preserve"> </v>
      </c>
      <c r="R637" s="131" t="str">
        <f>IFERROR(VLOOKUP(C637,TD!$B$32:$F$36,4,0)," ")</f>
        <v xml:space="preserve"> </v>
      </c>
      <c r="S637" s="54"/>
      <c r="T637" s="131" t="str">
        <f>IFERROR(VLOOKUP(S637,TD!$J$33:$K$43,2,0)," ")</f>
        <v xml:space="preserve"> </v>
      </c>
      <c r="U637" s="54" t="str">
        <f t="shared" si="36"/>
        <v xml:space="preserve">- </v>
      </c>
      <c r="V637" s="54"/>
      <c r="W637" s="131" t="str">
        <f>IFERROR(VLOOKUP(V637,TD!$N$33:$O$45,2,0)," ")</f>
        <v xml:space="preserve"> </v>
      </c>
      <c r="X637" s="54" t="str">
        <f t="shared" si="37"/>
        <v xml:space="preserve">_ </v>
      </c>
      <c r="Y637" s="54" t="str">
        <f t="shared" si="38"/>
        <v xml:space="preserve">-  _ </v>
      </c>
      <c r="Z637" s="131" t="str">
        <f t="shared" si="39"/>
        <v xml:space="preserve">   </v>
      </c>
      <c r="AA637" s="131" t="str">
        <f>IFERROR(VLOOKUP(Y637,TD!$K$46:$L$64,2,0)," ")</f>
        <v xml:space="preserve"> </v>
      </c>
      <c r="AB637" s="57"/>
      <c r="AC637" s="132"/>
    </row>
    <row r="638" spans="2:29" s="28" customFormat="1">
      <c r="B638" s="85"/>
      <c r="C638" s="53"/>
      <c r="D638" s="129"/>
      <c r="E638" s="54"/>
      <c r="F638" s="129"/>
      <c r="G638" s="129"/>
      <c r="H638" s="55"/>
      <c r="I638" s="133"/>
      <c r="J638" s="130"/>
      <c r="K638" s="56"/>
      <c r="L638" s="57"/>
      <c r="M638" s="129"/>
      <c r="N638" s="57"/>
      <c r="O638" s="54"/>
      <c r="P638" s="131" t="str">
        <f>IFERROR(VLOOKUP(C638,TD!$B$32:$F$36,2,0)," ")</f>
        <v xml:space="preserve"> </v>
      </c>
      <c r="Q638" s="131" t="str">
        <f>IFERROR(VLOOKUP(C638,TD!$B$32:$F$36,3,0)," ")</f>
        <v xml:space="preserve"> </v>
      </c>
      <c r="R638" s="131" t="str">
        <f>IFERROR(VLOOKUP(C638,TD!$B$32:$F$36,4,0)," ")</f>
        <v xml:space="preserve"> </v>
      </c>
      <c r="S638" s="54"/>
      <c r="T638" s="131" t="str">
        <f>IFERROR(VLOOKUP(S638,TD!$J$33:$K$43,2,0)," ")</f>
        <v xml:space="preserve"> </v>
      </c>
      <c r="U638" s="54" t="str">
        <f t="shared" si="36"/>
        <v xml:space="preserve">- </v>
      </c>
      <c r="V638" s="54"/>
      <c r="W638" s="131" t="str">
        <f>IFERROR(VLOOKUP(V638,TD!$N$33:$O$45,2,0)," ")</f>
        <v xml:space="preserve"> </v>
      </c>
      <c r="X638" s="54" t="str">
        <f t="shared" si="37"/>
        <v xml:space="preserve">_ </v>
      </c>
      <c r="Y638" s="54" t="str">
        <f t="shared" si="38"/>
        <v xml:space="preserve">-  _ </v>
      </c>
      <c r="Z638" s="131" t="str">
        <f t="shared" si="39"/>
        <v xml:space="preserve">   </v>
      </c>
      <c r="AA638" s="131" t="str">
        <f>IFERROR(VLOOKUP(Y638,TD!$K$46:$L$64,2,0)," ")</f>
        <v xml:space="preserve"> </v>
      </c>
      <c r="AB638" s="57"/>
      <c r="AC638" s="132"/>
    </row>
    <row r="639" spans="2:29" s="28" customFormat="1">
      <c r="B639" s="85"/>
      <c r="C639" s="53"/>
      <c r="D639" s="129"/>
      <c r="E639" s="54"/>
      <c r="F639" s="129"/>
      <c r="G639" s="129"/>
      <c r="H639" s="55"/>
      <c r="I639" s="133"/>
      <c r="J639" s="130"/>
      <c r="K639" s="56"/>
      <c r="L639" s="57"/>
      <c r="M639" s="129"/>
      <c r="N639" s="57"/>
      <c r="O639" s="54"/>
      <c r="P639" s="131" t="str">
        <f>IFERROR(VLOOKUP(C639,TD!$B$32:$F$36,2,0)," ")</f>
        <v xml:space="preserve"> </v>
      </c>
      <c r="Q639" s="131" t="str">
        <f>IFERROR(VLOOKUP(C639,TD!$B$32:$F$36,3,0)," ")</f>
        <v xml:space="preserve"> </v>
      </c>
      <c r="R639" s="131" t="str">
        <f>IFERROR(VLOOKUP(C639,TD!$B$32:$F$36,4,0)," ")</f>
        <v xml:space="preserve"> </v>
      </c>
      <c r="S639" s="54"/>
      <c r="T639" s="131" t="str">
        <f>IFERROR(VLOOKUP(S639,TD!$J$33:$K$43,2,0)," ")</f>
        <v xml:space="preserve"> </v>
      </c>
      <c r="U639" s="54" t="str">
        <f t="shared" si="36"/>
        <v xml:space="preserve">- </v>
      </c>
      <c r="V639" s="54"/>
      <c r="W639" s="131" t="str">
        <f>IFERROR(VLOOKUP(V639,TD!$N$33:$O$45,2,0)," ")</f>
        <v xml:space="preserve"> </v>
      </c>
      <c r="X639" s="54" t="str">
        <f t="shared" si="37"/>
        <v xml:space="preserve">_ </v>
      </c>
      <c r="Y639" s="54" t="str">
        <f t="shared" si="38"/>
        <v xml:space="preserve">-  _ </v>
      </c>
      <c r="Z639" s="131" t="str">
        <f t="shared" si="39"/>
        <v xml:space="preserve">   </v>
      </c>
      <c r="AA639" s="131" t="str">
        <f>IFERROR(VLOOKUP(Y639,TD!$K$46:$L$64,2,0)," ")</f>
        <v xml:space="preserve"> </v>
      </c>
      <c r="AB639" s="57"/>
      <c r="AC639" s="132"/>
    </row>
    <row r="640" spans="2:29" s="28" customFormat="1">
      <c r="B640" s="85"/>
      <c r="C640" s="53"/>
      <c r="D640" s="129"/>
      <c r="E640" s="54"/>
      <c r="F640" s="129"/>
      <c r="G640" s="129"/>
      <c r="H640" s="55"/>
      <c r="I640" s="133"/>
      <c r="J640" s="130"/>
      <c r="K640" s="56"/>
      <c r="L640" s="57"/>
      <c r="M640" s="129"/>
      <c r="N640" s="57"/>
      <c r="O640" s="54"/>
      <c r="P640" s="131" t="str">
        <f>IFERROR(VLOOKUP(C640,TD!$B$32:$F$36,2,0)," ")</f>
        <v xml:space="preserve"> </v>
      </c>
      <c r="Q640" s="131" t="str">
        <f>IFERROR(VLOOKUP(C640,TD!$B$32:$F$36,3,0)," ")</f>
        <v xml:space="preserve"> </v>
      </c>
      <c r="R640" s="131" t="str">
        <f>IFERROR(VLOOKUP(C640,TD!$B$32:$F$36,4,0)," ")</f>
        <v xml:space="preserve"> </v>
      </c>
      <c r="S640" s="54"/>
      <c r="T640" s="131" t="str">
        <f>IFERROR(VLOOKUP(S640,TD!$J$33:$K$43,2,0)," ")</f>
        <v xml:space="preserve"> </v>
      </c>
      <c r="U640" s="54" t="str">
        <f t="shared" si="36"/>
        <v xml:space="preserve">- </v>
      </c>
      <c r="V640" s="54"/>
      <c r="W640" s="131" t="str">
        <f>IFERROR(VLOOKUP(V640,TD!$N$33:$O$45,2,0)," ")</f>
        <v xml:space="preserve"> </v>
      </c>
      <c r="X640" s="54" t="str">
        <f t="shared" si="37"/>
        <v xml:space="preserve">_ </v>
      </c>
      <c r="Y640" s="54" t="str">
        <f t="shared" si="38"/>
        <v xml:space="preserve">-  _ </v>
      </c>
      <c r="Z640" s="131" t="str">
        <f t="shared" si="39"/>
        <v xml:space="preserve">   </v>
      </c>
      <c r="AA640" s="131" t="str">
        <f>IFERROR(VLOOKUP(Y640,TD!$K$46:$L$64,2,0)," ")</f>
        <v xml:space="preserve"> </v>
      </c>
      <c r="AB640" s="57"/>
      <c r="AC640" s="132"/>
    </row>
    <row r="641" spans="2:29" s="28" customFormat="1">
      <c r="B641" s="85"/>
      <c r="C641" s="53"/>
      <c r="D641" s="129"/>
      <c r="E641" s="54"/>
      <c r="F641" s="129"/>
      <c r="G641" s="129"/>
      <c r="H641" s="55"/>
      <c r="I641" s="133"/>
      <c r="J641" s="130"/>
      <c r="K641" s="56"/>
      <c r="L641" s="57"/>
      <c r="M641" s="129"/>
      <c r="N641" s="57"/>
      <c r="O641" s="54"/>
      <c r="P641" s="131" t="str">
        <f>IFERROR(VLOOKUP(C641,TD!$B$32:$F$36,2,0)," ")</f>
        <v xml:space="preserve"> </v>
      </c>
      <c r="Q641" s="131" t="str">
        <f>IFERROR(VLOOKUP(C641,TD!$B$32:$F$36,3,0)," ")</f>
        <v xml:space="preserve"> </v>
      </c>
      <c r="R641" s="131" t="str">
        <f>IFERROR(VLOOKUP(C641,TD!$B$32:$F$36,4,0)," ")</f>
        <v xml:space="preserve"> </v>
      </c>
      <c r="S641" s="54"/>
      <c r="T641" s="131" t="str">
        <f>IFERROR(VLOOKUP(S641,TD!$J$33:$K$43,2,0)," ")</f>
        <v xml:space="preserve"> </v>
      </c>
      <c r="U641" s="54" t="str">
        <f t="shared" si="36"/>
        <v xml:space="preserve">- </v>
      </c>
      <c r="V641" s="54"/>
      <c r="W641" s="131" t="str">
        <f>IFERROR(VLOOKUP(V641,TD!$N$33:$O$45,2,0)," ")</f>
        <v xml:space="preserve"> </v>
      </c>
      <c r="X641" s="54" t="str">
        <f t="shared" si="37"/>
        <v xml:space="preserve">_ </v>
      </c>
      <c r="Y641" s="54" t="str">
        <f t="shared" si="38"/>
        <v xml:space="preserve">-  _ </v>
      </c>
      <c r="Z641" s="131" t="str">
        <f t="shared" si="39"/>
        <v xml:space="preserve">   </v>
      </c>
      <c r="AA641" s="131" t="str">
        <f>IFERROR(VLOOKUP(Y641,TD!$K$46:$L$64,2,0)," ")</f>
        <v xml:space="preserve"> </v>
      </c>
      <c r="AB641" s="57"/>
      <c r="AC641" s="132"/>
    </row>
    <row r="642" spans="2:29" s="28" customFormat="1">
      <c r="B642" s="85"/>
      <c r="C642" s="53"/>
      <c r="D642" s="129"/>
      <c r="E642" s="54"/>
      <c r="F642" s="129"/>
      <c r="G642" s="129"/>
      <c r="H642" s="55"/>
      <c r="I642" s="133"/>
      <c r="J642" s="130"/>
      <c r="K642" s="56"/>
      <c r="L642" s="57"/>
      <c r="M642" s="129"/>
      <c r="N642" s="57"/>
      <c r="O642" s="54"/>
      <c r="P642" s="131" t="str">
        <f>IFERROR(VLOOKUP(C642,TD!$B$32:$F$36,2,0)," ")</f>
        <v xml:space="preserve"> </v>
      </c>
      <c r="Q642" s="131" t="str">
        <f>IFERROR(VLOOKUP(C642,TD!$B$32:$F$36,3,0)," ")</f>
        <v xml:space="preserve"> </v>
      </c>
      <c r="R642" s="131" t="str">
        <f>IFERROR(VLOOKUP(C642,TD!$B$32:$F$36,4,0)," ")</f>
        <v xml:space="preserve"> </v>
      </c>
      <c r="S642" s="54"/>
      <c r="T642" s="131" t="str">
        <f>IFERROR(VLOOKUP(S642,TD!$J$33:$K$43,2,0)," ")</f>
        <v xml:space="preserve"> </v>
      </c>
      <c r="U642" s="54" t="str">
        <f t="shared" si="36"/>
        <v xml:space="preserve">- </v>
      </c>
      <c r="V642" s="54"/>
      <c r="W642" s="131" t="str">
        <f>IFERROR(VLOOKUP(V642,TD!$N$33:$O$45,2,0)," ")</f>
        <v xml:space="preserve"> </v>
      </c>
      <c r="X642" s="54" t="str">
        <f t="shared" si="37"/>
        <v xml:space="preserve">_ </v>
      </c>
      <c r="Y642" s="54" t="str">
        <f t="shared" si="38"/>
        <v xml:space="preserve">-  _ </v>
      </c>
      <c r="Z642" s="131" t="str">
        <f t="shared" si="39"/>
        <v xml:space="preserve">   </v>
      </c>
      <c r="AA642" s="131" t="str">
        <f>IFERROR(VLOOKUP(Y642,TD!$K$46:$L$64,2,0)," ")</f>
        <v xml:space="preserve"> </v>
      </c>
      <c r="AB642" s="57"/>
      <c r="AC642" s="132"/>
    </row>
    <row r="643" spans="2:29" s="28" customFormat="1">
      <c r="B643" s="85"/>
      <c r="C643" s="53"/>
      <c r="D643" s="129"/>
      <c r="E643" s="54"/>
      <c r="F643" s="129"/>
      <c r="G643" s="129"/>
      <c r="H643" s="55"/>
      <c r="I643" s="133"/>
      <c r="J643" s="130"/>
      <c r="K643" s="56"/>
      <c r="L643" s="57"/>
      <c r="M643" s="129"/>
      <c r="N643" s="57"/>
      <c r="O643" s="54"/>
      <c r="P643" s="131" t="str">
        <f>IFERROR(VLOOKUP(C643,TD!$B$32:$F$36,2,0)," ")</f>
        <v xml:space="preserve"> </v>
      </c>
      <c r="Q643" s="131" t="str">
        <f>IFERROR(VLOOKUP(C643,TD!$B$32:$F$36,3,0)," ")</f>
        <v xml:space="preserve"> </v>
      </c>
      <c r="R643" s="131" t="str">
        <f>IFERROR(VLOOKUP(C643,TD!$B$32:$F$36,4,0)," ")</f>
        <v xml:space="preserve"> </v>
      </c>
      <c r="S643" s="54"/>
      <c r="T643" s="131" t="str">
        <f>IFERROR(VLOOKUP(S643,TD!$J$33:$K$43,2,0)," ")</f>
        <v xml:space="preserve"> </v>
      </c>
      <c r="U643" s="54" t="str">
        <f t="shared" si="36"/>
        <v xml:space="preserve">- </v>
      </c>
      <c r="V643" s="54"/>
      <c r="W643" s="131" t="str">
        <f>IFERROR(VLOOKUP(V643,TD!$N$33:$O$45,2,0)," ")</f>
        <v xml:space="preserve"> </v>
      </c>
      <c r="X643" s="54" t="str">
        <f t="shared" si="37"/>
        <v xml:space="preserve">_ </v>
      </c>
      <c r="Y643" s="54" t="str">
        <f t="shared" si="38"/>
        <v xml:space="preserve">-  _ </v>
      </c>
      <c r="Z643" s="131" t="str">
        <f t="shared" si="39"/>
        <v xml:space="preserve">   </v>
      </c>
      <c r="AA643" s="131" t="str">
        <f>IFERROR(VLOOKUP(Y643,TD!$K$46:$L$64,2,0)," ")</f>
        <v xml:space="preserve"> </v>
      </c>
      <c r="AB643" s="57"/>
      <c r="AC643" s="132"/>
    </row>
    <row r="644" spans="2:29" s="28" customFormat="1">
      <c r="B644" s="85"/>
      <c r="C644" s="53"/>
      <c r="D644" s="129"/>
      <c r="E644" s="54"/>
      <c r="F644" s="129"/>
      <c r="G644" s="129"/>
      <c r="H644" s="55"/>
      <c r="I644" s="133"/>
      <c r="J644" s="130"/>
      <c r="K644" s="56"/>
      <c r="L644" s="57"/>
      <c r="M644" s="129"/>
      <c r="N644" s="57"/>
      <c r="O644" s="54"/>
      <c r="P644" s="131" t="str">
        <f>IFERROR(VLOOKUP(C644,TD!$B$32:$F$36,2,0)," ")</f>
        <v xml:space="preserve"> </v>
      </c>
      <c r="Q644" s="131" t="str">
        <f>IFERROR(VLOOKUP(C644,TD!$B$32:$F$36,3,0)," ")</f>
        <v xml:space="preserve"> </v>
      </c>
      <c r="R644" s="131" t="str">
        <f>IFERROR(VLOOKUP(C644,TD!$B$32:$F$36,4,0)," ")</f>
        <v xml:space="preserve"> </v>
      </c>
      <c r="S644" s="54"/>
      <c r="T644" s="131" t="str">
        <f>IFERROR(VLOOKUP(S644,TD!$J$33:$K$43,2,0)," ")</f>
        <v xml:space="preserve"> </v>
      </c>
      <c r="U644" s="54" t="str">
        <f t="shared" si="36"/>
        <v xml:space="preserve">- </v>
      </c>
      <c r="V644" s="54"/>
      <c r="W644" s="131" t="str">
        <f>IFERROR(VLOOKUP(V644,TD!$N$33:$O$45,2,0)," ")</f>
        <v xml:space="preserve"> </v>
      </c>
      <c r="X644" s="54" t="str">
        <f t="shared" si="37"/>
        <v xml:space="preserve">_ </v>
      </c>
      <c r="Y644" s="54" t="str">
        <f t="shared" si="38"/>
        <v xml:space="preserve">-  _ </v>
      </c>
      <c r="Z644" s="131" t="str">
        <f t="shared" si="39"/>
        <v xml:space="preserve">   </v>
      </c>
      <c r="AA644" s="131" t="str">
        <f>IFERROR(VLOOKUP(Y644,TD!$K$46:$L$64,2,0)," ")</f>
        <v xml:space="preserve"> </v>
      </c>
      <c r="AB644" s="57"/>
      <c r="AC644" s="132"/>
    </row>
    <row r="645" spans="2:29" s="28" customFormat="1">
      <c r="B645" s="85"/>
      <c r="C645" s="53"/>
      <c r="D645" s="129"/>
      <c r="E645" s="54"/>
      <c r="F645" s="129"/>
      <c r="G645" s="129"/>
      <c r="H645" s="55"/>
      <c r="I645" s="133"/>
      <c r="J645" s="130"/>
      <c r="K645" s="56"/>
      <c r="L645" s="57"/>
      <c r="M645" s="129"/>
      <c r="N645" s="57"/>
      <c r="O645" s="54"/>
      <c r="P645" s="131" t="str">
        <f>IFERROR(VLOOKUP(C645,TD!$B$32:$F$36,2,0)," ")</f>
        <v xml:space="preserve"> </v>
      </c>
      <c r="Q645" s="131" t="str">
        <f>IFERROR(VLOOKUP(C645,TD!$B$32:$F$36,3,0)," ")</f>
        <v xml:space="preserve"> </v>
      </c>
      <c r="R645" s="131" t="str">
        <f>IFERROR(VLOOKUP(C645,TD!$B$32:$F$36,4,0)," ")</f>
        <v xml:space="preserve"> </v>
      </c>
      <c r="S645" s="54"/>
      <c r="T645" s="131" t="str">
        <f>IFERROR(VLOOKUP(S645,TD!$J$33:$K$43,2,0)," ")</f>
        <v xml:space="preserve"> </v>
      </c>
      <c r="U645" s="54" t="str">
        <f t="shared" si="36"/>
        <v xml:space="preserve">- </v>
      </c>
      <c r="V645" s="54"/>
      <c r="W645" s="131" t="str">
        <f>IFERROR(VLOOKUP(V645,TD!$N$33:$O$45,2,0)," ")</f>
        <v xml:space="preserve"> </v>
      </c>
      <c r="X645" s="54" t="str">
        <f t="shared" si="37"/>
        <v xml:space="preserve">_ </v>
      </c>
      <c r="Y645" s="54" t="str">
        <f t="shared" si="38"/>
        <v xml:space="preserve">-  _ </v>
      </c>
      <c r="Z645" s="131" t="str">
        <f t="shared" si="39"/>
        <v xml:space="preserve">   </v>
      </c>
      <c r="AA645" s="131" t="str">
        <f>IFERROR(VLOOKUP(Y645,TD!$K$46:$L$64,2,0)," ")</f>
        <v xml:space="preserve"> </v>
      </c>
      <c r="AB645" s="57"/>
      <c r="AC645" s="132"/>
    </row>
    <row r="646" spans="2:29" s="28" customFormat="1">
      <c r="B646" s="85"/>
      <c r="C646" s="53"/>
      <c r="D646" s="129"/>
      <c r="E646" s="54"/>
      <c r="F646" s="129"/>
      <c r="G646" s="129"/>
      <c r="H646" s="55"/>
      <c r="I646" s="133"/>
      <c r="J646" s="130"/>
      <c r="K646" s="56"/>
      <c r="L646" s="57"/>
      <c r="M646" s="129"/>
      <c r="N646" s="57"/>
      <c r="O646" s="54"/>
      <c r="P646" s="131" t="str">
        <f>IFERROR(VLOOKUP(C646,TD!$B$32:$F$36,2,0)," ")</f>
        <v xml:space="preserve"> </v>
      </c>
      <c r="Q646" s="131" t="str">
        <f>IFERROR(VLOOKUP(C646,TD!$B$32:$F$36,3,0)," ")</f>
        <v xml:space="preserve"> </v>
      </c>
      <c r="R646" s="131" t="str">
        <f>IFERROR(VLOOKUP(C646,TD!$B$32:$F$36,4,0)," ")</f>
        <v xml:space="preserve"> </v>
      </c>
      <c r="S646" s="54"/>
      <c r="T646" s="131" t="str">
        <f>IFERROR(VLOOKUP(S646,TD!$J$33:$K$43,2,0)," ")</f>
        <v xml:space="preserve"> </v>
      </c>
      <c r="U646" s="54" t="str">
        <f t="shared" si="36"/>
        <v xml:space="preserve">- </v>
      </c>
      <c r="V646" s="54"/>
      <c r="W646" s="131" t="str">
        <f>IFERROR(VLOOKUP(V646,TD!$N$33:$O$45,2,0)," ")</f>
        <v xml:space="preserve"> </v>
      </c>
      <c r="X646" s="54" t="str">
        <f t="shared" si="37"/>
        <v xml:space="preserve">_ </v>
      </c>
      <c r="Y646" s="54" t="str">
        <f t="shared" si="38"/>
        <v xml:space="preserve">-  _ </v>
      </c>
      <c r="Z646" s="131" t="str">
        <f t="shared" si="39"/>
        <v xml:space="preserve">   </v>
      </c>
      <c r="AA646" s="131" t="str">
        <f>IFERROR(VLOOKUP(Y646,TD!$K$46:$L$64,2,0)," ")</f>
        <v xml:space="preserve"> </v>
      </c>
      <c r="AB646" s="57"/>
      <c r="AC646" s="132"/>
    </row>
    <row r="647" spans="2:29" s="28" customFormat="1">
      <c r="B647" s="85"/>
      <c r="C647" s="53"/>
      <c r="D647" s="129"/>
      <c r="E647" s="54"/>
      <c r="F647" s="129"/>
      <c r="G647" s="129"/>
      <c r="H647" s="55"/>
      <c r="I647" s="133"/>
      <c r="J647" s="130"/>
      <c r="K647" s="56"/>
      <c r="L647" s="57"/>
      <c r="M647" s="129"/>
      <c r="N647" s="57"/>
      <c r="O647" s="54"/>
      <c r="P647" s="131" t="str">
        <f>IFERROR(VLOOKUP(C647,TD!$B$32:$F$36,2,0)," ")</f>
        <v xml:space="preserve"> </v>
      </c>
      <c r="Q647" s="131" t="str">
        <f>IFERROR(VLOOKUP(C647,TD!$B$32:$F$36,3,0)," ")</f>
        <v xml:space="preserve"> </v>
      </c>
      <c r="R647" s="131" t="str">
        <f>IFERROR(VLOOKUP(C647,TD!$B$32:$F$36,4,0)," ")</f>
        <v xml:space="preserve"> </v>
      </c>
      <c r="S647" s="54"/>
      <c r="T647" s="131" t="str">
        <f>IFERROR(VLOOKUP(S647,TD!$J$33:$K$43,2,0)," ")</f>
        <v xml:space="preserve"> </v>
      </c>
      <c r="U647" s="54" t="str">
        <f t="shared" si="36"/>
        <v xml:space="preserve">- </v>
      </c>
      <c r="V647" s="54"/>
      <c r="W647" s="131" t="str">
        <f>IFERROR(VLOOKUP(V647,TD!$N$33:$O$45,2,0)," ")</f>
        <v xml:space="preserve"> </v>
      </c>
      <c r="X647" s="54" t="str">
        <f t="shared" si="37"/>
        <v xml:space="preserve">_ </v>
      </c>
      <c r="Y647" s="54" t="str">
        <f t="shared" si="38"/>
        <v xml:space="preserve">-  _ </v>
      </c>
      <c r="Z647" s="131" t="str">
        <f t="shared" si="39"/>
        <v xml:space="preserve">   </v>
      </c>
      <c r="AA647" s="131" t="str">
        <f>IFERROR(VLOOKUP(Y647,TD!$K$46:$L$64,2,0)," ")</f>
        <v xml:space="preserve"> </v>
      </c>
      <c r="AB647" s="57"/>
      <c r="AC647" s="132"/>
    </row>
    <row r="648" spans="2:29" s="28" customFormat="1">
      <c r="B648" s="85"/>
      <c r="C648" s="53"/>
      <c r="D648" s="129"/>
      <c r="E648" s="54"/>
      <c r="F648" s="129"/>
      <c r="G648" s="129"/>
      <c r="H648" s="55"/>
      <c r="I648" s="133"/>
      <c r="J648" s="130"/>
      <c r="K648" s="56"/>
      <c r="L648" s="57"/>
      <c r="M648" s="129"/>
      <c r="N648" s="57"/>
      <c r="O648" s="54"/>
      <c r="P648" s="131" t="str">
        <f>IFERROR(VLOOKUP(C648,TD!$B$32:$F$36,2,0)," ")</f>
        <v xml:space="preserve"> </v>
      </c>
      <c r="Q648" s="131" t="str">
        <f>IFERROR(VLOOKUP(C648,TD!$B$32:$F$36,3,0)," ")</f>
        <v xml:space="preserve"> </v>
      </c>
      <c r="R648" s="131" t="str">
        <f>IFERROR(VLOOKUP(C648,TD!$B$32:$F$36,4,0)," ")</f>
        <v xml:space="preserve"> </v>
      </c>
      <c r="S648" s="54"/>
      <c r="T648" s="131" t="str">
        <f>IFERROR(VLOOKUP(S648,TD!$J$33:$K$43,2,0)," ")</f>
        <v xml:space="preserve"> </v>
      </c>
      <c r="U648" s="54" t="str">
        <f t="shared" si="36"/>
        <v xml:space="preserve">- </v>
      </c>
      <c r="V648" s="54"/>
      <c r="W648" s="131" t="str">
        <f>IFERROR(VLOOKUP(V648,TD!$N$33:$O$45,2,0)," ")</f>
        <v xml:space="preserve"> </v>
      </c>
      <c r="X648" s="54" t="str">
        <f t="shared" si="37"/>
        <v xml:space="preserve">_ </v>
      </c>
      <c r="Y648" s="54" t="str">
        <f t="shared" si="38"/>
        <v xml:space="preserve">-  _ </v>
      </c>
      <c r="Z648" s="131" t="str">
        <f t="shared" si="39"/>
        <v xml:space="preserve">   </v>
      </c>
      <c r="AA648" s="131" t="str">
        <f>IFERROR(VLOOKUP(Y648,TD!$K$46:$L$64,2,0)," ")</f>
        <v xml:space="preserve"> </v>
      </c>
      <c r="AB648" s="57"/>
      <c r="AC648" s="132"/>
    </row>
    <row r="649" spans="2:29" s="28" customFormat="1">
      <c r="B649" s="85"/>
      <c r="C649" s="53"/>
      <c r="D649" s="129"/>
      <c r="E649" s="54"/>
      <c r="F649" s="129"/>
      <c r="G649" s="129"/>
      <c r="H649" s="55"/>
      <c r="I649" s="133"/>
      <c r="J649" s="130"/>
      <c r="K649" s="56"/>
      <c r="L649" s="57"/>
      <c r="M649" s="129"/>
      <c r="N649" s="57"/>
      <c r="O649" s="54"/>
      <c r="P649" s="131" t="str">
        <f>IFERROR(VLOOKUP(C649,TD!$B$32:$F$36,2,0)," ")</f>
        <v xml:space="preserve"> </v>
      </c>
      <c r="Q649" s="131" t="str">
        <f>IFERROR(VLOOKUP(C649,TD!$B$32:$F$36,3,0)," ")</f>
        <v xml:space="preserve"> </v>
      </c>
      <c r="R649" s="131" t="str">
        <f>IFERROR(VLOOKUP(C649,TD!$B$32:$F$36,4,0)," ")</f>
        <v xml:space="preserve"> </v>
      </c>
      <c r="S649" s="54"/>
      <c r="T649" s="131" t="str">
        <f>IFERROR(VLOOKUP(S649,TD!$J$33:$K$43,2,0)," ")</f>
        <v xml:space="preserve"> </v>
      </c>
      <c r="U649" s="54" t="str">
        <f t="shared" si="36"/>
        <v xml:space="preserve">- </v>
      </c>
      <c r="V649" s="54"/>
      <c r="W649" s="131" t="str">
        <f>IFERROR(VLOOKUP(V649,TD!$N$33:$O$45,2,0)," ")</f>
        <v xml:space="preserve"> </v>
      </c>
      <c r="X649" s="54" t="str">
        <f t="shared" si="37"/>
        <v xml:space="preserve">_ </v>
      </c>
      <c r="Y649" s="54" t="str">
        <f t="shared" si="38"/>
        <v xml:space="preserve">-  _ </v>
      </c>
      <c r="Z649" s="131" t="str">
        <f t="shared" si="39"/>
        <v xml:space="preserve">   </v>
      </c>
      <c r="AA649" s="131" t="str">
        <f>IFERROR(VLOOKUP(Y649,TD!$K$46:$L$64,2,0)," ")</f>
        <v xml:space="preserve"> </v>
      </c>
      <c r="AB649" s="57"/>
      <c r="AC649" s="132"/>
    </row>
    <row r="650" spans="2:29" s="28" customFormat="1">
      <c r="B650" s="85"/>
      <c r="C650" s="53"/>
      <c r="D650" s="129"/>
      <c r="E650" s="54"/>
      <c r="F650" s="129"/>
      <c r="G650" s="129"/>
      <c r="H650" s="55"/>
      <c r="I650" s="133"/>
      <c r="J650" s="130"/>
      <c r="K650" s="56"/>
      <c r="L650" s="57"/>
      <c r="M650" s="129"/>
      <c r="N650" s="57"/>
      <c r="O650" s="54"/>
      <c r="P650" s="131" t="str">
        <f>IFERROR(VLOOKUP(C650,TD!$B$32:$F$36,2,0)," ")</f>
        <v xml:space="preserve"> </v>
      </c>
      <c r="Q650" s="131" t="str">
        <f>IFERROR(VLOOKUP(C650,TD!$B$32:$F$36,3,0)," ")</f>
        <v xml:space="preserve"> </v>
      </c>
      <c r="R650" s="131" t="str">
        <f>IFERROR(VLOOKUP(C650,TD!$B$32:$F$36,4,0)," ")</f>
        <v xml:space="preserve"> </v>
      </c>
      <c r="S650" s="54"/>
      <c r="T650" s="131" t="str">
        <f>IFERROR(VLOOKUP(S650,TD!$J$33:$K$43,2,0)," ")</f>
        <v xml:space="preserve"> </v>
      </c>
      <c r="U650" s="54" t="str">
        <f t="shared" si="36"/>
        <v xml:space="preserve">- </v>
      </c>
      <c r="V650" s="54"/>
      <c r="W650" s="131" t="str">
        <f>IFERROR(VLOOKUP(V650,TD!$N$33:$O$45,2,0)," ")</f>
        <v xml:space="preserve"> </v>
      </c>
      <c r="X650" s="54" t="str">
        <f t="shared" si="37"/>
        <v xml:space="preserve">_ </v>
      </c>
      <c r="Y650" s="54" t="str">
        <f t="shared" si="38"/>
        <v xml:space="preserve">-  _ </v>
      </c>
      <c r="Z650" s="131" t="str">
        <f t="shared" si="39"/>
        <v xml:space="preserve">   </v>
      </c>
      <c r="AA650" s="131" t="str">
        <f>IFERROR(VLOOKUP(Y650,TD!$K$46:$L$64,2,0)," ")</f>
        <v xml:space="preserve"> </v>
      </c>
      <c r="AB650" s="57"/>
      <c r="AC650" s="132"/>
    </row>
    <row r="651" spans="2:29" s="28" customFormat="1">
      <c r="B651" s="85"/>
      <c r="C651" s="53"/>
      <c r="D651" s="129"/>
      <c r="E651" s="54"/>
      <c r="F651" s="129"/>
      <c r="G651" s="129"/>
      <c r="H651" s="55"/>
      <c r="I651" s="133"/>
      <c r="J651" s="130"/>
      <c r="K651" s="56"/>
      <c r="L651" s="57"/>
      <c r="M651" s="129"/>
      <c r="N651" s="57"/>
      <c r="O651" s="54"/>
      <c r="P651" s="131" t="str">
        <f>IFERROR(VLOOKUP(C651,TD!$B$32:$F$36,2,0)," ")</f>
        <v xml:space="preserve"> </v>
      </c>
      <c r="Q651" s="131" t="str">
        <f>IFERROR(VLOOKUP(C651,TD!$B$32:$F$36,3,0)," ")</f>
        <v xml:space="preserve"> </v>
      </c>
      <c r="R651" s="131" t="str">
        <f>IFERROR(VLOOKUP(C651,TD!$B$32:$F$36,4,0)," ")</f>
        <v xml:space="preserve"> </v>
      </c>
      <c r="S651" s="54"/>
      <c r="T651" s="131" t="str">
        <f>IFERROR(VLOOKUP(S651,TD!$J$33:$K$43,2,0)," ")</f>
        <v xml:space="preserve"> </v>
      </c>
      <c r="U651" s="54" t="str">
        <f t="shared" ref="U651:U714" si="40">CONCATENATE(S651,"-",T651)</f>
        <v xml:space="preserve">- </v>
      </c>
      <c r="V651" s="54"/>
      <c r="W651" s="131" t="str">
        <f>IFERROR(VLOOKUP(V651,TD!$N$33:$O$45,2,0)," ")</f>
        <v xml:space="preserve"> </v>
      </c>
      <c r="X651" s="54" t="str">
        <f t="shared" ref="X651:X714" si="41">CONCATENATE(V651,"_",W651)</f>
        <v xml:space="preserve">_ </v>
      </c>
      <c r="Y651" s="54" t="str">
        <f t="shared" ref="Y651:Y714" si="42">CONCATENATE(U651," ",X651)</f>
        <v xml:space="preserve">-  _ </v>
      </c>
      <c r="Z651" s="131" t="str">
        <f t="shared" ref="Z651:Z714" si="43">CONCATENATE(P651,Q651,R651,S651,V651)</f>
        <v xml:space="preserve">   </v>
      </c>
      <c r="AA651" s="131" t="str">
        <f>IFERROR(VLOOKUP(Y651,TD!$K$46:$L$64,2,0)," ")</f>
        <v xml:space="preserve"> </v>
      </c>
      <c r="AB651" s="57"/>
      <c r="AC651" s="132"/>
    </row>
    <row r="652" spans="2:29" s="28" customFormat="1">
      <c r="B652" s="85"/>
      <c r="C652" s="53"/>
      <c r="D652" s="129"/>
      <c r="E652" s="54"/>
      <c r="F652" s="129"/>
      <c r="G652" s="129"/>
      <c r="H652" s="55"/>
      <c r="I652" s="133"/>
      <c r="J652" s="130"/>
      <c r="K652" s="56"/>
      <c r="L652" s="57"/>
      <c r="M652" s="129"/>
      <c r="N652" s="57"/>
      <c r="O652" s="54"/>
      <c r="P652" s="131" t="str">
        <f>IFERROR(VLOOKUP(C652,TD!$B$32:$F$36,2,0)," ")</f>
        <v xml:space="preserve"> </v>
      </c>
      <c r="Q652" s="131" t="str">
        <f>IFERROR(VLOOKUP(C652,TD!$B$32:$F$36,3,0)," ")</f>
        <v xml:space="preserve"> </v>
      </c>
      <c r="R652" s="131" t="str">
        <f>IFERROR(VLOOKUP(C652,TD!$B$32:$F$36,4,0)," ")</f>
        <v xml:space="preserve"> </v>
      </c>
      <c r="S652" s="54"/>
      <c r="T652" s="131" t="str">
        <f>IFERROR(VLOOKUP(S652,TD!$J$33:$K$43,2,0)," ")</f>
        <v xml:space="preserve"> </v>
      </c>
      <c r="U652" s="54" t="str">
        <f t="shared" si="40"/>
        <v xml:space="preserve">- </v>
      </c>
      <c r="V652" s="54"/>
      <c r="W652" s="131" t="str">
        <f>IFERROR(VLOOKUP(V652,TD!$N$33:$O$45,2,0)," ")</f>
        <v xml:space="preserve"> </v>
      </c>
      <c r="X652" s="54" t="str">
        <f t="shared" si="41"/>
        <v xml:space="preserve">_ </v>
      </c>
      <c r="Y652" s="54" t="str">
        <f t="shared" si="42"/>
        <v xml:space="preserve">-  _ </v>
      </c>
      <c r="Z652" s="131" t="str">
        <f t="shared" si="43"/>
        <v xml:space="preserve">   </v>
      </c>
      <c r="AA652" s="131" t="str">
        <f>IFERROR(VLOOKUP(Y652,TD!$K$46:$L$64,2,0)," ")</f>
        <v xml:space="preserve"> </v>
      </c>
      <c r="AB652" s="57"/>
      <c r="AC652" s="132"/>
    </row>
    <row r="653" spans="2:29" s="28" customFormat="1">
      <c r="B653" s="85"/>
      <c r="C653" s="53"/>
      <c r="D653" s="129"/>
      <c r="E653" s="54"/>
      <c r="F653" s="129"/>
      <c r="G653" s="129"/>
      <c r="H653" s="55"/>
      <c r="I653" s="133"/>
      <c r="J653" s="130"/>
      <c r="K653" s="56"/>
      <c r="L653" s="57"/>
      <c r="M653" s="129"/>
      <c r="N653" s="57"/>
      <c r="O653" s="54"/>
      <c r="P653" s="131" t="str">
        <f>IFERROR(VLOOKUP(C653,TD!$B$32:$F$36,2,0)," ")</f>
        <v xml:space="preserve"> </v>
      </c>
      <c r="Q653" s="131" t="str">
        <f>IFERROR(VLOOKUP(C653,TD!$B$32:$F$36,3,0)," ")</f>
        <v xml:space="preserve"> </v>
      </c>
      <c r="R653" s="131" t="str">
        <f>IFERROR(VLOOKUP(C653,TD!$B$32:$F$36,4,0)," ")</f>
        <v xml:space="preserve"> </v>
      </c>
      <c r="S653" s="54"/>
      <c r="T653" s="131" t="str">
        <f>IFERROR(VLOOKUP(S653,TD!$J$33:$K$43,2,0)," ")</f>
        <v xml:space="preserve"> </v>
      </c>
      <c r="U653" s="54" t="str">
        <f t="shared" si="40"/>
        <v xml:space="preserve">- </v>
      </c>
      <c r="V653" s="54"/>
      <c r="W653" s="131" t="str">
        <f>IFERROR(VLOOKUP(V653,TD!$N$33:$O$45,2,0)," ")</f>
        <v xml:space="preserve"> </v>
      </c>
      <c r="X653" s="54" t="str">
        <f t="shared" si="41"/>
        <v xml:space="preserve">_ </v>
      </c>
      <c r="Y653" s="54" t="str">
        <f t="shared" si="42"/>
        <v xml:space="preserve">-  _ </v>
      </c>
      <c r="Z653" s="131" t="str">
        <f t="shared" si="43"/>
        <v xml:space="preserve">   </v>
      </c>
      <c r="AA653" s="131" t="str">
        <f>IFERROR(VLOOKUP(Y653,TD!$K$46:$L$64,2,0)," ")</f>
        <v xml:space="preserve"> </v>
      </c>
      <c r="AB653" s="57"/>
      <c r="AC653" s="132"/>
    </row>
    <row r="654" spans="2:29" s="28" customFormat="1">
      <c r="B654" s="85"/>
      <c r="C654" s="53"/>
      <c r="D654" s="129"/>
      <c r="E654" s="54"/>
      <c r="F654" s="129"/>
      <c r="G654" s="129"/>
      <c r="H654" s="55"/>
      <c r="I654" s="133"/>
      <c r="J654" s="130"/>
      <c r="K654" s="56"/>
      <c r="L654" s="57"/>
      <c r="M654" s="129"/>
      <c r="N654" s="57"/>
      <c r="O654" s="54"/>
      <c r="P654" s="131" t="str">
        <f>IFERROR(VLOOKUP(C654,TD!$B$32:$F$36,2,0)," ")</f>
        <v xml:space="preserve"> </v>
      </c>
      <c r="Q654" s="131" t="str">
        <f>IFERROR(VLOOKUP(C654,TD!$B$32:$F$36,3,0)," ")</f>
        <v xml:space="preserve"> </v>
      </c>
      <c r="R654" s="131" t="str">
        <f>IFERROR(VLOOKUP(C654,TD!$B$32:$F$36,4,0)," ")</f>
        <v xml:space="preserve"> </v>
      </c>
      <c r="S654" s="54"/>
      <c r="T654" s="131" t="str">
        <f>IFERROR(VLOOKUP(S654,TD!$J$33:$K$43,2,0)," ")</f>
        <v xml:space="preserve"> </v>
      </c>
      <c r="U654" s="54" t="str">
        <f t="shared" si="40"/>
        <v xml:space="preserve">- </v>
      </c>
      <c r="V654" s="54"/>
      <c r="W654" s="131" t="str">
        <f>IFERROR(VLOOKUP(V654,TD!$N$33:$O$45,2,0)," ")</f>
        <v xml:space="preserve"> </v>
      </c>
      <c r="X654" s="54" t="str">
        <f t="shared" si="41"/>
        <v xml:space="preserve">_ </v>
      </c>
      <c r="Y654" s="54" t="str">
        <f t="shared" si="42"/>
        <v xml:space="preserve">-  _ </v>
      </c>
      <c r="Z654" s="131" t="str">
        <f t="shared" si="43"/>
        <v xml:space="preserve">   </v>
      </c>
      <c r="AA654" s="131" t="str">
        <f>IFERROR(VLOOKUP(Y654,TD!$K$46:$L$64,2,0)," ")</f>
        <v xml:space="preserve"> </v>
      </c>
      <c r="AB654" s="57"/>
      <c r="AC654" s="132"/>
    </row>
    <row r="655" spans="2:29" s="28" customFormat="1">
      <c r="B655" s="85"/>
      <c r="C655" s="53"/>
      <c r="D655" s="129"/>
      <c r="E655" s="54"/>
      <c r="F655" s="129"/>
      <c r="G655" s="129"/>
      <c r="H655" s="55"/>
      <c r="I655" s="133"/>
      <c r="J655" s="130"/>
      <c r="K655" s="56"/>
      <c r="L655" s="57"/>
      <c r="M655" s="129"/>
      <c r="N655" s="57"/>
      <c r="O655" s="54"/>
      <c r="P655" s="131" t="str">
        <f>IFERROR(VLOOKUP(C655,TD!$B$32:$F$36,2,0)," ")</f>
        <v xml:space="preserve"> </v>
      </c>
      <c r="Q655" s="131" t="str">
        <f>IFERROR(VLOOKUP(C655,TD!$B$32:$F$36,3,0)," ")</f>
        <v xml:space="preserve"> </v>
      </c>
      <c r="R655" s="131" t="str">
        <f>IFERROR(VLOOKUP(C655,TD!$B$32:$F$36,4,0)," ")</f>
        <v xml:space="preserve"> </v>
      </c>
      <c r="S655" s="54"/>
      <c r="T655" s="131" t="str">
        <f>IFERROR(VLOOKUP(S655,TD!$J$33:$K$43,2,0)," ")</f>
        <v xml:space="preserve"> </v>
      </c>
      <c r="U655" s="54" t="str">
        <f t="shared" si="40"/>
        <v xml:space="preserve">- </v>
      </c>
      <c r="V655" s="54"/>
      <c r="W655" s="131" t="str">
        <f>IFERROR(VLOOKUP(V655,TD!$N$33:$O$45,2,0)," ")</f>
        <v xml:space="preserve"> </v>
      </c>
      <c r="X655" s="54" t="str">
        <f t="shared" si="41"/>
        <v xml:space="preserve">_ </v>
      </c>
      <c r="Y655" s="54" t="str">
        <f t="shared" si="42"/>
        <v xml:space="preserve">-  _ </v>
      </c>
      <c r="Z655" s="131" t="str">
        <f t="shared" si="43"/>
        <v xml:space="preserve">   </v>
      </c>
      <c r="AA655" s="131" t="str">
        <f>IFERROR(VLOOKUP(Y655,TD!$K$46:$L$64,2,0)," ")</f>
        <v xml:space="preserve"> </v>
      </c>
      <c r="AB655" s="57"/>
      <c r="AC655" s="132"/>
    </row>
    <row r="656" spans="2:29" s="28" customFormat="1">
      <c r="B656" s="85"/>
      <c r="C656" s="53"/>
      <c r="D656" s="129"/>
      <c r="E656" s="54"/>
      <c r="F656" s="129"/>
      <c r="G656" s="129"/>
      <c r="H656" s="55"/>
      <c r="I656" s="133"/>
      <c r="J656" s="130"/>
      <c r="K656" s="56"/>
      <c r="L656" s="57"/>
      <c r="M656" s="129"/>
      <c r="N656" s="57"/>
      <c r="O656" s="54"/>
      <c r="P656" s="131" t="str">
        <f>IFERROR(VLOOKUP(C656,TD!$B$32:$F$36,2,0)," ")</f>
        <v xml:space="preserve"> </v>
      </c>
      <c r="Q656" s="131" t="str">
        <f>IFERROR(VLOOKUP(C656,TD!$B$32:$F$36,3,0)," ")</f>
        <v xml:space="preserve"> </v>
      </c>
      <c r="R656" s="131" t="str">
        <f>IFERROR(VLOOKUP(C656,TD!$B$32:$F$36,4,0)," ")</f>
        <v xml:space="preserve"> </v>
      </c>
      <c r="S656" s="54"/>
      <c r="T656" s="131" t="str">
        <f>IFERROR(VLOOKUP(S656,TD!$J$33:$K$43,2,0)," ")</f>
        <v xml:space="preserve"> </v>
      </c>
      <c r="U656" s="54" t="str">
        <f t="shared" si="40"/>
        <v xml:space="preserve">- </v>
      </c>
      <c r="V656" s="54"/>
      <c r="W656" s="131" t="str">
        <f>IFERROR(VLOOKUP(V656,TD!$N$33:$O$45,2,0)," ")</f>
        <v xml:space="preserve"> </v>
      </c>
      <c r="X656" s="54" t="str">
        <f t="shared" si="41"/>
        <v xml:space="preserve">_ </v>
      </c>
      <c r="Y656" s="54" t="str">
        <f t="shared" si="42"/>
        <v xml:space="preserve">-  _ </v>
      </c>
      <c r="Z656" s="131" t="str">
        <f t="shared" si="43"/>
        <v xml:space="preserve">   </v>
      </c>
      <c r="AA656" s="131" t="str">
        <f>IFERROR(VLOOKUP(Y656,TD!$K$46:$L$64,2,0)," ")</f>
        <v xml:space="preserve"> </v>
      </c>
      <c r="AB656" s="57"/>
      <c r="AC656" s="132"/>
    </row>
    <row r="657" spans="2:29" s="28" customFormat="1">
      <c r="B657" s="85"/>
      <c r="C657" s="53"/>
      <c r="D657" s="129"/>
      <c r="E657" s="54"/>
      <c r="F657" s="129"/>
      <c r="G657" s="129"/>
      <c r="H657" s="55"/>
      <c r="I657" s="133"/>
      <c r="J657" s="130"/>
      <c r="K657" s="56"/>
      <c r="L657" s="57"/>
      <c r="M657" s="129"/>
      <c r="N657" s="57"/>
      <c r="O657" s="54"/>
      <c r="P657" s="131" t="str">
        <f>IFERROR(VLOOKUP(C657,TD!$B$32:$F$36,2,0)," ")</f>
        <v xml:space="preserve"> </v>
      </c>
      <c r="Q657" s="131" t="str">
        <f>IFERROR(VLOOKUP(C657,TD!$B$32:$F$36,3,0)," ")</f>
        <v xml:space="preserve"> </v>
      </c>
      <c r="R657" s="131" t="str">
        <f>IFERROR(VLOOKUP(C657,TD!$B$32:$F$36,4,0)," ")</f>
        <v xml:space="preserve"> </v>
      </c>
      <c r="S657" s="54"/>
      <c r="T657" s="131" t="str">
        <f>IFERROR(VLOOKUP(S657,TD!$J$33:$K$43,2,0)," ")</f>
        <v xml:space="preserve"> </v>
      </c>
      <c r="U657" s="54" t="str">
        <f t="shared" si="40"/>
        <v xml:space="preserve">- </v>
      </c>
      <c r="V657" s="54"/>
      <c r="W657" s="131" t="str">
        <f>IFERROR(VLOOKUP(V657,TD!$N$33:$O$45,2,0)," ")</f>
        <v xml:space="preserve"> </v>
      </c>
      <c r="X657" s="54" t="str">
        <f t="shared" si="41"/>
        <v xml:space="preserve">_ </v>
      </c>
      <c r="Y657" s="54" t="str">
        <f t="shared" si="42"/>
        <v xml:space="preserve">-  _ </v>
      </c>
      <c r="Z657" s="131" t="str">
        <f t="shared" si="43"/>
        <v xml:space="preserve">   </v>
      </c>
      <c r="AA657" s="131" t="str">
        <f>IFERROR(VLOOKUP(Y657,TD!$K$46:$L$64,2,0)," ")</f>
        <v xml:space="preserve"> </v>
      </c>
      <c r="AB657" s="57"/>
      <c r="AC657" s="132"/>
    </row>
    <row r="658" spans="2:29" s="28" customFormat="1">
      <c r="B658" s="85"/>
      <c r="C658" s="53"/>
      <c r="D658" s="129"/>
      <c r="E658" s="54"/>
      <c r="F658" s="129"/>
      <c r="G658" s="129"/>
      <c r="H658" s="55"/>
      <c r="I658" s="133"/>
      <c r="J658" s="130"/>
      <c r="K658" s="56"/>
      <c r="L658" s="57"/>
      <c r="M658" s="129"/>
      <c r="N658" s="57"/>
      <c r="O658" s="54"/>
      <c r="P658" s="131" t="str">
        <f>IFERROR(VLOOKUP(C658,TD!$B$32:$F$36,2,0)," ")</f>
        <v xml:space="preserve"> </v>
      </c>
      <c r="Q658" s="131" t="str">
        <f>IFERROR(VLOOKUP(C658,TD!$B$32:$F$36,3,0)," ")</f>
        <v xml:space="preserve"> </v>
      </c>
      <c r="R658" s="131" t="str">
        <f>IFERROR(VLOOKUP(C658,TD!$B$32:$F$36,4,0)," ")</f>
        <v xml:space="preserve"> </v>
      </c>
      <c r="S658" s="54"/>
      <c r="T658" s="131" t="str">
        <f>IFERROR(VLOOKUP(S658,TD!$J$33:$K$43,2,0)," ")</f>
        <v xml:space="preserve"> </v>
      </c>
      <c r="U658" s="54" t="str">
        <f t="shared" si="40"/>
        <v xml:space="preserve">- </v>
      </c>
      <c r="V658" s="54"/>
      <c r="W658" s="131" t="str">
        <f>IFERROR(VLOOKUP(V658,TD!$N$33:$O$45,2,0)," ")</f>
        <v xml:space="preserve"> </v>
      </c>
      <c r="X658" s="54" t="str">
        <f t="shared" si="41"/>
        <v xml:space="preserve">_ </v>
      </c>
      <c r="Y658" s="54" t="str">
        <f t="shared" si="42"/>
        <v xml:space="preserve">-  _ </v>
      </c>
      <c r="Z658" s="131" t="str">
        <f t="shared" si="43"/>
        <v xml:space="preserve">   </v>
      </c>
      <c r="AA658" s="131" t="str">
        <f>IFERROR(VLOOKUP(Y658,TD!$K$46:$L$64,2,0)," ")</f>
        <v xml:space="preserve"> </v>
      </c>
      <c r="AB658" s="57"/>
      <c r="AC658" s="132"/>
    </row>
    <row r="659" spans="2:29" s="28" customFormat="1">
      <c r="B659" s="85"/>
      <c r="C659" s="53"/>
      <c r="D659" s="129"/>
      <c r="E659" s="54"/>
      <c r="F659" s="129"/>
      <c r="G659" s="129"/>
      <c r="H659" s="55"/>
      <c r="I659" s="133"/>
      <c r="J659" s="130"/>
      <c r="K659" s="56"/>
      <c r="L659" s="57"/>
      <c r="M659" s="129"/>
      <c r="N659" s="57"/>
      <c r="O659" s="54"/>
      <c r="P659" s="131" t="str">
        <f>IFERROR(VLOOKUP(C659,TD!$B$32:$F$36,2,0)," ")</f>
        <v xml:space="preserve"> </v>
      </c>
      <c r="Q659" s="131" t="str">
        <f>IFERROR(VLOOKUP(C659,TD!$B$32:$F$36,3,0)," ")</f>
        <v xml:space="preserve"> </v>
      </c>
      <c r="R659" s="131" t="str">
        <f>IFERROR(VLOOKUP(C659,TD!$B$32:$F$36,4,0)," ")</f>
        <v xml:space="preserve"> </v>
      </c>
      <c r="S659" s="54"/>
      <c r="T659" s="131" t="str">
        <f>IFERROR(VLOOKUP(S659,TD!$J$33:$K$43,2,0)," ")</f>
        <v xml:space="preserve"> </v>
      </c>
      <c r="U659" s="54" t="str">
        <f t="shared" si="40"/>
        <v xml:space="preserve">- </v>
      </c>
      <c r="V659" s="54"/>
      <c r="W659" s="131" t="str">
        <f>IFERROR(VLOOKUP(V659,TD!$N$33:$O$45,2,0)," ")</f>
        <v xml:space="preserve"> </v>
      </c>
      <c r="X659" s="54" t="str">
        <f t="shared" si="41"/>
        <v xml:space="preserve">_ </v>
      </c>
      <c r="Y659" s="54" t="str">
        <f t="shared" si="42"/>
        <v xml:space="preserve">-  _ </v>
      </c>
      <c r="Z659" s="131" t="str">
        <f t="shared" si="43"/>
        <v xml:space="preserve">   </v>
      </c>
      <c r="AA659" s="131" t="str">
        <f>IFERROR(VLOOKUP(Y659,TD!$K$46:$L$64,2,0)," ")</f>
        <v xml:space="preserve"> </v>
      </c>
      <c r="AB659" s="57"/>
      <c r="AC659" s="132"/>
    </row>
    <row r="660" spans="2:29" s="28" customFormat="1">
      <c r="B660" s="85"/>
      <c r="C660" s="53"/>
      <c r="D660" s="129"/>
      <c r="E660" s="54"/>
      <c r="F660" s="129"/>
      <c r="G660" s="129"/>
      <c r="H660" s="55"/>
      <c r="I660" s="133"/>
      <c r="J660" s="130"/>
      <c r="K660" s="56"/>
      <c r="L660" s="57"/>
      <c r="M660" s="129"/>
      <c r="N660" s="57"/>
      <c r="O660" s="54"/>
      <c r="P660" s="131" t="str">
        <f>IFERROR(VLOOKUP(C660,TD!$B$32:$F$36,2,0)," ")</f>
        <v xml:space="preserve"> </v>
      </c>
      <c r="Q660" s="131" t="str">
        <f>IFERROR(VLOOKUP(C660,TD!$B$32:$F$36,3,0)," ")</f>
        <v xml:space="preserve"> </v>
      </c>
      <c r="R660" s="131" t="str">
        <f>IFERROR(VLOOKUP(C660,TD!$B$32:$F$36,4,0)," ")</f>
        <v xml:space="preserve"> </v>
      </c>
      <c r="S660" s="54"/>
      <c r="T660" s="131" t="str">
        <f>IFERROR(VLOOKUP(S660,TD!$J$33:$K$43,2,0)," ")</f>
        <v xml:space="preserve"> </v>
      </c>
      <c r="U660" s="54" t="str">
        <f t="shared" si="40"/>
        <v xml:space="preserve">- </v>
      </c>
      <c r="V660" s="54"/>
      <c r="W660" s="131" t="str">
        <f>IFERROR(VLOOKUP(V660,TD!$N$33:$O$45,2,0)," ")</f>
        <v xml:space="preserve"> </v>
      </c>
      <c r="X660" s="54" t="str">
        <f t="shared" si="41"/>
        <v xml:space="preserve">_ </v>
      </c>
      <c r="Y660" s="54" t="str">
        <f t="shared" si="42"/>
        <v xml:space="preserve">-  _ </v>
      </c>
      <c r="Z660" s="131" t="str">
        <f t="shared" si="43"/>
        <v xml:space="preserve">   </v>
      </c>
      <c r="AA660" s="131" t="str">
        <f>IFERROR(VLOOKUP(Y660,TD!$K$46:$L$64,2,0)," ")</f>
        <v xml:space="preserve"> </v>
      </c>
      <c r="AB660" s="57"/>
      <c r="AC660" s="132"/>
    </row>
    <row r="661" spans="2:29" s="28" customFormat="1">
      <c r="B661" s="85"/>
      <c r="C661" s="53"/>
      <c r="D661" s="129"/>
      <c r="E661" s="54"/>
      <c r="F661" s="129"/>
      <c r="G661" s="129"/>
      <c r="H661" s="55"/>
      <c r="I661" s="133"/>
      <c r="J661" s="130"/>
      <c r="K661" s="56"/>
      <c r="L661" s="57"/>
      <c r="M661" s="129"/>
      <c r="N661" s="57"/>
      <c r="O661" s="54"/>
      <c r="P661" s="131" t="str">
        <f>IFERROR(VLOOKUP(C661,TD!$B$32:$F$36,2,0)," ")</f>
        <v xml:space="preserve"> </v>
      </c>
      <c r="Q661" s="131" t="str">
        <f>IFERROR(VLOOKUP(C661,TD!$B$32:$F$36,3,0)," ")</f>
        <v xml:space="preserve"> </v>
      </c>
      <c r="R661" s="131" t="str">
        <f>IFERROR(VLOOKUP(C661,TD!$B$32:$F$36,4,0)," ")</f>
        <v xml:space="preserve"> </v>
      </c>
      <c r="S661" s="54"/>
      <c r="T661" s="131" t="str">
        <f>IFERROR(VLOOKUP(S661,TD!$J$33:$K$43,2,0)," ")</f>
        <v xml:space="preserve"> </v>
      </c>
      <c r="U661" s="54" t="str">
        <f t="shared" si="40"/>
        <v xml:space="preserve">- </v>
      </c>
      <c r="V661" s="54"/>
      <c r="W661" s="131" t="str">
        <f>IFERROR(VLOOKUP(V661,TD!$N$33:$O$45,2,0)," ")</f>
        <v xml:space="preserve"> </v>
      </c>
      <c r="X661" s="54" t="str">
        <f t="shared" si="41"/>
        <v xml:space="preserve">_ </v>
      </c>
      <c r="Y661" s="54" t="str">
        <f t="shared" si="42"/>
        <v xml:space="preserve">-  _ </v>
      </c>
      <c r="Z661" s="131" t="str">
        <f t="shared" si="43"/>
        <v xml:space="preserve">   </v>
      </c>
      <c r="AA661" s="131" t="str">
        <f>IFERROR(VLOOKUP(Y661,TD!$K$46:$L$64,2,0)," ")</f>
        <v xml:space="preserve"> </v>
      </c>
      <c r="AB661" s="57"/>
      <c r="AC661" s="132"/>
    </row>
    <row r="662" spans="2:29" s="28" customFormat="1">
      <c r="B662" s="85"/>
      <c r="C662" s="53"/>
      <c r="D662" s="129"/>
      <c r="E662" s="54"/>
      <c r="F662" s="129"/>
      <c r="G662" s="129"/>
      <c r="H662" s="55"/>
      <c r="I662" s="133"/>
      <c r="J662" s="130"/>
      <c r="K662" s="56"/>
      <c r="L662" s="57"/>
      <c r="M662" s="129"/>
      <c r="N662" s="57"/>
      <c r="O662" s="54"/>
      <c r="P662" s="131" t="str">
        <f>IFERROR(VLOOKUP(C662,TD!$B$32:$F$36,2,0)," ")</f>
        <v xml:space="preserve"> </v>
      </c>
      <c r="Q662" s="131" t="str">
        <f>IFERROR(VLOOKUP(C662,TD!$B$32:$F$36,3,0)," ")</f>
        <v xml:space="preserve"> </v>
      </c>
      <c r="R662" s="131" t="str">
        <f>IFERROR(VLOOKUP(C662,TD!$B$32:$F$36,4,0)," ")</f>
        <v xml:space="preserve"> </v>
      </c>
      <c r="S662" s="54"/>
      <c r="T662" s="131" t="str">
        <f>IFERROR(VLOOKUP(S662,TD!$J$33:$K$43,2,0)," ")</f>
        <v xml:space="preserve"> </v>
      </c>
      <c r="U662" s="54" t="str">
        <f t="shared" si="40"/>
        <v xml:space="preserve">- </v>
      </c>
      <c r="V662" s="54"/>
      <c r="W662" s="131" t="str">
        <f>IFERROR(VLOOKUP(V662,TD!$N$33:$O$45,2,0)," ")</f>
        <v xml:space="preserve"> </v>
      </c>
      <c r="X662" s="54" t="str">
        <f t="shared" si="41"/>
        <v xml:space="preserve">_ </v>
      </c>
      <c r="Y662" s="54" t="str">
        <f t="shared" si="42"/>
        <v xml:space="preserve">-  _ </v>
      </c>
      <c r="Z662" s="131" t="str">
        <f t="shared" si="43"/>
        <v xml:space="preserve">   </v>
      </c>
      <c r="AA662" s="131" t="str">
        <f>IFERROR(VLOOKUP(Y662,TD!$K$46:$L$64,2,0)," ")</f>
        <v xml:space="preserve"> </v>
      </c>
      <c r="AB662" s="57"/>
      <c r="AC662" s="132"/>
    </row>
    <row r="663" spans="2:29" s="28" customFormat="1">
      <c r="B663" s="85"/>
      <c r="C663" s="53"/>
      <c r="D663" s="129"/>
      <c r="E663" s="54"/>
      <c r="F663" s="129"/>
      <c r="G663" s="129"/>
      <c r="H663" s="55"/>
      <c r="I663" s="133"/>
      <c r="J663" s="130"/>
      <c r="K663" s="56"/>
      <c r="L663" s="57"/>
      <c r="M663" s="129"/>
      <c r="N663" s="57"/>
      <c r="O663" s="54"/>
      <c r="P663" s="131" t="str">
        <f>IFERROR(VLOOKUP(C663,TD!$B$32:$F$36,2,0)," ")</f>
        <v xml:space="preserve"> </v>
      </c>
      <c r="Q663" s="131" t="str">
        <f>IFERROR(VLOOKUP(C663,TD!$B$32:$F$36,3,0)," ")</f>
        <v xml:space="preserve"> </v>
      </c>
      <c r="R663" s="131" t="str">
        <f>IFERROR(VLOOKUP(C663,TD!$B$32:$F$36,4,0)," ")</f>
        <v xml:space="preserve"> </v>
      </c>
      <c r="S663" s="54"/>
      <c r="T663" s="131" t="str">
        <f>IFERROR(VLOOKUP(S663,TD!$J$33:$K$43,2,0)," ")</f>
        <v xml:space="preserve"> </v>
      </c>
      <c r="U663" s="54" t="str">
        <f t="shared" si="40"/>
        <v xml:space="preserve">- </v>
      </c>
      <c r="V663" s="54"/>
      <c r="W663" s="131" t="str">
        <f>IFERROR(VLOOKUP(V663,TD!$N$33:$O$45,2,0)," ")</f>
        <v xml:space="preserve"> </v>
      </c>
      <c r="X663" s="54" t="str">
        <f t="shared" si="41"/>
        <v xml:space="preserve">_ </v>
      </c>
      <c r="Y663" s="54" t="str">
        <f t="shared" si="42"/>
        <v xml:space="preserve">-  _ </v>
      </c>
      <c r="Z663" s="131" t="str">
        <f t="shared" si="43"/>
        <v xml:space="preserve">   </v>
      </c>
      <c r="AA663" s="131" t="str">
        <f>IFERROR(VLOOKUP(Y663,TD!$K$46:$L$64,2,0)," ")</f>
        <v xml:space="preserve"> </v>
      </c>
      <c r="AB663" s="57"/>
      <c r="AC663" s="132"/>
    </row>
    <row r="664" spans="2:29" s="28" customFormat="1">
      <c r="B664" s="85"/>
      <c r="C664" s="53"/>
      <c r="D664" s="129"/>
      <c r="E664" s="54"/>
      <c r="F664" s="129"/>
      <c r="G664" s="129"/>
      <c r="H664" s="55"/>
      <c r="I664" s="133"/>
      <c r="J664" s="130"/>
      <c r="K664" s="56"/>
      <c r="L664" s="57"/>
      <c r="M664" s="129"/>
      <c r="N664" s="57"/>
      <c r="O664" s="54"/>
      <c r="P664" s="131" t="str">
        <f>IFERROR(VLOOKUP(C664,TD!$B$32:$F$36,2,0)," ")</f>
        <v xml:space="preserve"> </v>
      </c>
      <c r="Q664" s="131" t="str">
        <f>IFERROR(VLOOKUP(C664,TD!$B$32:$F$36,3,0)," ")</f>
        <v xml:space="preserve"> </v>
      </c>
      <c r="R664" s="131" t="str">
        <f>IFERROR(VLOOKUP(C664,TD!$B$32:$F$36,4,0)," ")</f>
        <v xml:space="preserve"> </v>
      </c>
      <c r="S664" s="54"/>
      <c r="T664" s="131" t="str">
        <f>IFERROR(VLOOKUP(S664,TD!$J$33:$K$43,2,0)," ")</f>
        <v xml:space="preserve"> </v>
      </c>
      <c r="U664" s="54" t="str">
        <f t="shared" si="40"/>
        <v xml:space="preserve">- </v>
      </c>
      <c r="V664" s="54"/>
      <c r="W664" s="131" t="str">
        <f>IFERROR(VLOOKUP(V664,TD!$N$33:$O$45,2,0)," ")</f>
        <v xml:space="preserve"> </v>
      </c>
      <c r="X664" s="54" t="str">
        <f t="shared" si="41"/>
        <v xml:space="preserve">_ </v>
      </c>
      <c r="Y664" s="54" t="str">
        <f t="shared" si="42"/>
        <v xml:space="preserve">-  _ </v>
      </c>
      <c r="Z664" s="131" t="str">
        <f t="shared" si="43"/>
        <v xml:space="preserve">   </v>
      </c>
      <c r="AA664" s="131" t="str">
        <f>IFERROR(VLOOKUP(Y664,TD!$K$46:$L$64,2,0)," ")</f>
        <v xml:space="preserve"> </v>
      </c>
      <c r="AB664" s="57"/>
      <c r="AC664" s="132"/>
    </row>
    <row r="665" spans="2:29" s="28" customFormat="1">
      <c r="B665" s="85"/>
      <c r="C665" s="53"/>
      <c r="D665" s="129"/>
      <c r="E665" s="54"/>
      <c r="F665" s="129"/>
      <c r="G665" s="129"/>
      <c r="H665" s="55"/>
      <c r="I665" s="133"/>
      <c r="J665" s="130"/>
      <c r="K665" s="56"/>
      <c r="L665" s="57"/>
      <c r="M665" s="129"/>
      <c r="N665" s="57"/>
      <c r="O665" s="54"/>
      <c r="P665" s="131" t="str">
        <f>IFERROR(VLOOKUP(C665,TD!$B$32:$F$36,2,0)," ")</f>
        <v xml:space="preserve"> </v>
      </c>
      <c r="Q665" s="131" t="str">
        <f>IFERROR(VLOOKUP(C665,TD!$B$32:$F$36,3,0)," ")</f>
        <v xml:space="preserve"> </v>
      </c>
      <c r="R665" s="131" t="str">
        <f>IFERROR(VLOOKUP(C665,TD!$B$32:$F$36,4,0)," ")</f>
        <v xml:space="preserve"> </v>
      </c>
      <c r="S665" s="54"/>
      <c r="T665" s="131" t="str">
        <f>IFERROR(VLOOKUP(S665,TD!$J$33:$K$43,2,0)," ")</f>
        <v xml:space="preserve"> </v>
      </c>
      <c r="U665" s="54" t="str">
        <f t="shared" si="40"/>
        <v xml:space="preserve">- </v>
      </c>
      <c r="V665" s="54"/>
      <c r="W665" s="131" t="str">
        <f>IFERROR(VLOOKUP(V665,TD!$N$33:$O$45,2,0)," ")</f>
        <v xml:space="preserve"> </v>
      </c>
      <c r="X665" s="54" t="str">
        <f t="shared" si="41"/>
        <v xml:space="preserve">_ </v>
      </c>
      <c r="Y665" s="54" t="str">
        <f t="shared" si="42"/>
        <v xml:space="preserve">-  _ </v>
      </c>
      <c r="Z665" s="131" t="str">
        <f t="shared" si="43"/>
        <v xml:space="preserve">   </v>
      </c>
      <c r="AA665" s="131" t="str">
        <f>IFERROR(VLOOKUP(Y665,TD!$K$46:$L$64,2,0)," ")</f>
        <v xml:space="preserve"> </v>
      </c>
      <c r="AB665" s="57"/>
      <c r="AC665" s="132"/>
    </row>
    <row r="666" spans="2:29" s="28" customFormat="1">
      <c r="B666" s="85"/>
      <c r="C666" s="53"/>
      <c r="D666" s="129"/>
      <c r="E666" s="54"/>
      <c r="F666" s="129"/>
      <c r="G666" s="129"/>
      <c r="H666" s="55"/>
      <c r="I666" s="133"/>
      <c r="J666" s="130"/>
      <c r="K666" s="56"/>
      <c r="L666" s="57"/>
      <c r="M666" s="129"/>
      <c r="N666" s="57"/>
      <c r="O666" s="54"/>
      <c r="P666" s="131" t="str">
        <f>IFERROR(VLOOKUP(C666,TD!$B$32:$F$36,2,0)," ")</f>
        <v xml:space="preserve"> </v>
      </c>
      <c r="Q666" s="131" t="str">
        <f>IFERROR(VLOOKUP(C666,TD!$B$32:$F$36,3,0)," ")</f>
        <v xml:space="preserve"> </v>
      </c>
      <c r="R666" s="131" t="str">
        <f>IFERROR(VLOOKUP(C666,TD!$B$32:$F$36,4,0)," ")</f>
        <v xml:space="preserve"> </v>
      </c>
      <c r="S666" s="54"/>
      <c r="T666" s="131" t="str">
        <f>IFERROR(VLOOKUP(S666,TD!$J$33:$K$43,2,0)," ")</f>
        <v xml:space="preserve"> </v>
      </c>
      <c r="U666" s="54" t="str">
        <f t="shared" si="40"/>
        <v xml:space="preserve">- </v>
      </c>
      <c r="V666" s="54"/>
      <c r="W666" s="131" t="str">
        <f>IFERROR(VLOOKUP(V666,TD!$N$33:$O$45,2,0)," ")</f>
        <v xml:space="preserve"> </v>
      </c>
      <c r="X666" s="54" t="str">
        <f t="shared" si="41"/>
        <v xml:space="preserve">_ </v>
      </c>
      <c r="Y666" s="54" t="str">
        <f t="shared" si="42"/>
        <v xml:space="preserve">-  _ </v>
      </c>
      <c r="Z666" s="131" t="str">
        <f t="shared" si="43"/>
        <v xml:space="preserve">   </v>
      </c>
      <c r="AA666" s="131" t="str">
        <f>IFERROR(VLOOKUP(Y666,TD!$K$46:$L$64,2,0)," ")</f>
        <v xml:space="preserve"> </v>
      </c>
      <c r="AB666" s="57"/>
      <c r="AC666" s="132"/>
    </row>
    <row r="667" spans="2:29" s="28" customFormat="1">
      <c r="B667" s="85"/>
      <c r="C667" s="53"/>
      <c r="D667" s="129"/>
      <c r="E667" s="54"/>
      <c r="F667" s="129"/>
      <c r="G667" s="129"/>
      <c r="H667" s="55"/>
      <c r="I667" s="133"/>
      <c r="J667" s="130"/>
      <c r="K667" s="56"/>
      <c r="L667" s="57"/>
      <c r="M667" s="129"/>
      <c r="N667" s="57"/>
      <c r="O667" s="54"/>
      <c r="P667" s="131" t="str">
        <f>IFERROR(VLOOKUP(C667,TD!$B$32:$F$36,2,0)," ")</f>
        <v xml:space="preserve"> </v>
      </c>
      <c r="Q667" s="131" t="str">
        <f>IFERROR(VLOOKUP(C667,TD!$B$32:$F$36,3,0)," ")</f>
        <v xml:space="preserve"> </v>
      </c>
      <c r="R667" s="131" t="str">
        <f>IFERROR(VLOOKUP(C667,TD!$B$32:$F$36,4,0)," ")</f>
        <v xml:space="preserve"> </v>
      </c>
      <c r="S667" s="54"/>
      <c r="T667" s="131" t="str">
        <f>IFERROR(VLOOKUP(S667,TD!$J$33:$K$43,2,0)," ")</f>
        <v xml:space="preserve"> </v>
      </c>
      <c r="U667" s="54" t="str">
        <f t="shared" si="40"/>
        <v xml:space="preserve">- </v>
      </c>
      <c r="V667" s="54"/>
      <c r="W667" s="131" t="str">
        <f>IFERROR(VLOOKUP(V667,TD!$N$33:$O$45,2,0)," ")</f>
        <v xml:space="preserve"> </v>
      </c>
      <c r="X667" s="54" t="str">
        <f t="shared" si="41"/>
        <v xml:space="preserve">_ </v>
      </c>
      <c r="Y667" s="54" t="str">
        <f t="shared" si="42"/>
        <v xml:space="preserve">-  _ </v>
      </c>
      <c r="Z667" s="131" t="str">
        <f t="shared" si="43"/>
        <v xml:space="preserve">   </v>
      </c>
      <c r="AA667" s="131" t="str">
        <f>IFERROR(VLOOKUP(Y667,TD!$K$46:$L$64,2,0)," ")</f>
        <v xml:space="preserve"> </v>
      </c>
      <c r="AB667" s="57"/>
      <c r="AC667" s="132"/>
    </row>
    <row r="668" spans="2:29" s="28" customFormat="1">
      <c r="B668" s="85"/>
      <c r="C668" s="53"/>
      <c r="D668" s="129"/>
      <c r="E668" s="54"/>
      <c r="F668" s="129"/>
      <c r="G668" s="129"/>
      <c r="H668" s="55"/>
      <c r="I668" s="133"/>
      <c r="J668" s="130"/>
      <c r="K668" s="56"/>
      <c r="L668" s="57"/>
      <c r="M668" s="129"/>
      <c r="N668" s="57"/>
      <c r="O668" s="54"/>
      <c r="P668" s="131" t="str">
        <f>IFERROR(VLOOKUP(C668,TD!$B$32:$F$36,2,0)," ")</f>
        <v xml:space="preserve"> </v>
      </c>
      <c r="Q668" s="131" t="str">
        <f>IFERROR(VLOOKUP(C668,TD!$B$32:$F$36,3,0)," ")</f>
        <v xml:space="preserve"> </v>
      </c>
      <c r="R668" s="131" t="str">
        <f>IFERROR(VLOOKUP(C668,TD!$B$32:$F$36,4,0)," ")</f>
        <v xml:space="preserve"> </v>
      </c>
      <c r="S668" s="54"/>
      <c r="T668" s="131" t="str">
        <f>IFERROR(VLOOKUP(S668,TD!$J$33:$K$43,2,0)," ")</f>
        <v xml:space="preserve"> </v>
      </c>
      <c r="U668" s="54" t="str">
        <f t="shared" si="40"/>
        <v xml:space="preserve">- </v>
      </c>
      <c r="V668" s="54"/>
      <c r="W668" s="131" t="str">
        <f>IFERROR(VLOOKUP(V668,TD!$N$33:$O$45,2,0)," ")</f>
        <v xml:space="preserve"> </v>
      </c>
      <c r="X668" s="54" t="str">
        <f t="shared" si="41"/>
        <v xml:space="preserve">_ </v>
      </c>
      <c r="Y668" s="54" t="str">
        <f t="shared" si="42"/>
        <v xml:space="preserve">-  _ </v>
      </c>
      <c r="Z668" s="131" t="str">
        <f t="shared" si="43"/>
        <v xml:space="preserve">   </v>
      </c>
      <c r="AA668" s="131" t="str">
        <f>IFERROR(VLOOKUP(Y668,TD!$K$46:$L$64,2,0)," ")</f>
        <v xml:space="preserve"> </v>
      </c>
      <c r="AB668" s="57"/>
      <c r="AC668" s="132"/>
    </row>
    <row r="669" spans="2:29" s="28" customFormat="1">
      <c r="B669" s="85"/>
      <c r="C669" s="53"/>
      <c r="D669" s="129"/>
      <c r="E669" s="54"/>
      <c r="F669" s="129"/>
      <c r="G669" s="129"/>
      <c r="H669" s="55"/>
      <c r="I669" s="133"/>
      <c r="J669" s="130"/>
      <c r="K669" s="56"/>
      <c r="L669" s="57"/>
      <c r="M669" s="129"/>
      <c r="N669" s="57"/>
      <c r="O669" s="54"/>
      <c r="P669" s="131" t="str">
        <f>IFERROR(VLOOKUP(C669,TD!$B$32:$F$36,2,0)," ")</f>
        <v xml:space="preserve"> </v>
      </c>
      <c r="Q669" s="131" t="str">
        <f>IFERROR(VLOOKUP(C669,TD!$B$32:$F$36,3,0)," ")</f>
        <v xml:space="preserve"> </v>
      </c>
      <c r="R669" s="131" t="str">
        <f>IFERROR(VLOOKUP(C669,TD!$B$32:$F$36,4,0)," ")</f>
        <v xml:space="preserve"> </v>
      </c>
      <c r="S669" s="54"/>
      <c r="T669" s="131" t="str">
        <f>IFERROR(VLOOKUP(S669,TD!$J$33:$K$43,2,0)," ")</f>
        <v xml:space="preserve"> </v>
      </c>
      <c r="U669" s="54" t="str">
        <f t="shared" si="40"/>
        <v xml:space="preserve">- </v>
      </c>
      <c r="V669" s="54"/>
      <c r="W669" s="131" t="str">
        <f>IFERROR(VLOOKUP(V669,TD!$N$33:$O$45,2,0)," ")</f>
        <v xml:space="preserve"> </v>
      </c>
      <c r="X669" s="54" t="str">
        <f t="shared" si="41"/>
        <v xml:space="preserve">_ </v>
      </c>
      <c r="Y669" s="54" t="str">
        <f t="shared" si="42"/>
        <v xml:space="preserve">-  _ </v>
      </c>
      <c r="Z669" s="131" t="str">
        <f t="shared" si="43"/>
        <v xml:space="preserve">   </v>
      </c>
      <c r="AA669" s="131" t="str">
        <f>IFERROR(VLOOKUP(Y669,TD!$K$46:$L$64,2,0)," ")</f>
        <v xml:space="preserve"> </v>
      </c>
      <c r="AB669" s="57"/>
      <c r="AC669" s="132"/>
    </row>
    <row r="670" spans="2:29" s="28" customFormat="1">
      <c r="B670" s="85"/>
      <c r="C670" s="53"/>
      <c r="D670" s="129"/>
      <c r="E670" s="54"/>
      <c r="F670" s="129"/>
      <c r="G670" s="129"/>
      <c r="H670" s="55"/>
      <c r="I670" s="133"/>
      <c r="J670" s="130"/>
      <c r="K670" s="56"/>
      <c r="L670" s="57"/>
      <c r="M670" s="129"/>
      <c r="N670" s="57"/>
      <c r="O670" s="54"/>
      <c r="P670" s="131" t="str">
        <f>IFERROR(VLOOKUP(C670,TD!$B$32:$F$36,2,0)," ")</f>
        <v xml:space="preserve"> </v>
      </c>
      <c r="Q670" s="131" t="str">
        <f>IFERROR(VLOOKUP(C670,TD!$B$32:$F$36,3,0)," ")</f>
        <v xml:space="preserve"> </v>
      </c>
      <c r="R670" s="131" t="str">
        <f>IFERROR(VLOOKUP(C670,TD!$B$32:$F$36,4,0)," ")</f>
        <v xml:space="preserve"> </v>
      </c>
      <c r="S670" s="54"/>
      <c r="T670" s="131" t="str">
        <f>IFERROR(VLOOKUP(S670,TD!$J$33:$K$43,2,0)," ")</f>
        <v xml:space="preserve"> </v>
      </c>
      <c r="U670" s="54" t="str">
        <f t="shared" si="40"/>
        <v xml:space="preserve">- </v>
      </c>
      <c r="V670" s="54"/>
      <c r="W670" s="131" t="str">
        <f>IFERROR(VLOOKUP(V670,TD!$N$33:$O$45,2,0)," ")</f>
        <v xml:space="preserve"> </v>
      </c>
      <c r="X670" s="54" t="str">
        <f t="shared" si="41"/>
        <v xml:space="preserve">_ </v>
      </c>
      <c r="Y670" s="54" t="str">
        <f t="shared" si="42"/>
        <v xml:space="preserve">-  _ </v>
      </c>
      <c r="Z670" s="131" t="str">
        <f t="shared" si="43"/>
        <v xml:space="preserve">   </v>
      </c>
      <c r="AA670" s="131" t="str">
        <f>IFERROR(VLOOKUP(Y670,TD!$K$46:$L$64,2,0)," ")</f>
        <v xml:space="preserve"> </v>
      </c>
      <c r="AB670" s="57"/>
      <c r="AC670" s="132"/>
    </row>
    <row r="671" spans="2:29" s="28" customFormat="1">
      <c r="B671" s="85"/>
      <c r="C671" s="53"/>
      <c r="D671" s="129"/>
      <c r="E671" s="54"/>
      <c r="F671" s="129"/>
      <c r="G671" s="129"/>
      <c r="H671" s="55"/>
      <c r="I671" s="133"/>
      <c r="J671" s="130"/>
      <c r="K671" s="56"/>
      <c r="L671" s="57"/>
      <c r="M671" s="129"/>
      <c r="N671" s="57"/>
      <c r="O671" s="54"/>
      <c r="P671" s="131" t="str">
        <f>IFERROR(VLOOKUP(C671,TD!$B$32:$F$36,2,0)," ")</f>
        <v xml:space="preserve"> </v>
      </c>
      <c r="Q671" s="131" t="str">
        <f>IFERROR(VLOOKUP(C671,TD!$B$32:$F$36,3,0)," ")</f>
        <v xml:space="preserve"> </v>
      </c>
      <c r="R671" s="131" t="str">
        <f>IFERROR(VLOOKUP(C671,TD!$B$32:$F$36,4,0)," ")</f>
        <v xml:space="preserve"> </v>
      </c>
      <c r="S671" s="54"/>
      <c r="T671" s="131" t="str">
        <f>IFERROR(VLOOKUP(S671,TD!$J$33:$K$43,2,0)," ")</f>
        <v xml:space="preserve"> </v>
      </c>
      <c r="U671" s="54" t="str">
        <f t="shared" si="40"/>
        <v xml:space="preserve">- </v>
      </c>
      <c r="V671" s="54"/>
      <c r="W671" s="131" t="str">
        <f>IFERROR(VLOOKUP(V671,TD!$N$33:$O$45,2,0)," ")</f>
        <v xml:space="preserve"> </v>
      </c>
      <c r="X671" s="54" t="str">
        <f t="shared" si="41"/>
        <v xml:space="preserve">_ </v>
      </c>
      <c r="Y671" s="54" t="str">
        <f t="shared" si="42"/>
        <v xml:space="preserve">-  _ </v>
      </c>
      <c r="Z671" s="131" t="str">
        <f t="shared" si="43"/>
        <v xml:space="preserve">   </v>
      </c>
      <c r="AA671" s="131" t="str">
        <f>IFERROR(VLOOKUP(Y671,TD!$K$46:$L$64,2,0)," ")</f>
        <v xml:space="preserve"> </v>
      </c>
      <c r="AB671" s="57"/>
      <c r="AC671" s="132"/>
    </row>
    <row r="672" spans="2:29" s="28" customFormat="1">
      <c r="B672" s="85"/>
      <c r="C672" s="53"/>
      <c r="D672" s="129"/>
      <c r="E672" s="54"/>
      <c r="F672" s="129"/>
      <c r="G672" s="129"/>
      <c r="H672" s="55"/>
      <c r="I672" s="133"/>
      <c r="J672" s="130"/>
      <c r="K672" s="56"/>
      <c r="L672" s="57"/>
      <c r="M672" s="129"/>
      <c r="N672" s="57"/>
      <c r="O672" s="54"/>
      <c r="P672" s="131" t="str">
        <f>IFERROR(VLOOKUP(C672,TD!$B$32:$F$36,2,0)," ")</f>
        <v xml:space="preserve"> </v>
      </c>
      <c r="Q672" s="131" t="str">
        <f>IFERROR(VLOOKUP(C672,TD!$B$32:$F$36,3,0)," ")</f>
        <v xml:space="preserve"> </v>
      </c>
      <c r="R672" s="131" t="str">
        <f>IFERROR(VLOOKUP(C672,TD!$B$32:$F$36,4,0)," ")</f>
        <v xml:space="preserve"> </v>
      </c>
      <c r="S672" s="54"/>
      <c r="T672" s="131" t="str">
        <f>IFERROR(VLOOKUP(S672,TD!$J$33:$K$43,2,0)," ")</f>
        <v xml:space="preserve"> </v>
      </c>
      <c r="U672" s="54" t="str">
        <f t="shared" si="40"/>
        <v xml:space="preserve">- </v>
      </c>
      <c r="V672" s="54"/>
      <c r="W672" s="131" t="str">
        <f>IFERROR(VLOOKUP(V672,TD!$N$33:$O$45,2,0)," ")</f>
        <v xml:space="preserve"> </v>
      </c>
      <c r="X672" s="54" t="str">
        <f t="shared" si="41"/>
        <v xml:space="preserve">_ </v>
      </c>
      <c r="Y672" s="54" t="str">
        <f t="shared" si="42"/>
        <v xml:space="preserve">-  _ </v>
      </c>
      <c r="Z672" s="131" t="str">
        <f t="shared" si="43"/>
        <v xml:space="preserve">   </v>
      </c>
      <c r="AA672" s="131" t="str">
        <f>IFERROR(VLOOKUP(Y672,TD!$K$46:$L$64,2,0)," ")</f>
        <v xml:space="preserve"> </v>
      </c>
      <c r="AB672" s="57"/>
      <c r="AC672" s="132"/>
    </row>
    <row r="673" spans="2:29" s="28" customFormat="1">
      <c r="B673" s="85"/>
      <c r="C673" s="53"/>
      <c r="D673" s="129"/>
      <c r="E673" s="54"/>
      <c r="F673" s="129"/>
      <c r="G673" s="129"/>
      <c r="H673" s="55"/>
      <c r="I673" s="133"/>
      <c r="J673" s="130"/>
      <c r="K673" s="56"/>
      <c r="L673" s="57"/>
      <c r="M673" s="129"/>
      <c r="N673" s="57"/>
      <c r="O673" s="54"/>
      <c r="P673" s="131" t="str">
        <f>IFERROR(VLOOKUP(C673,TD!$B$32:$F$36,2,0)," ")</f>
        <v xml:space="preserve"> </v>
      </c>
      <c r="Q673" s="131" t="str">
        <f>IFERROR(VLOOKUP(C673,TD!$B$32:$F$36,3,0)," ")</f>
        <v xml:space="preserve"> </v>
      </c>
      <c r="R673" s="131" t="str">
        <f>IFERROR(VLOOKUP(C673,TD!$B$32:$F$36,4,0)," ")</f>
        <v xml:space="preserve"> </v>
      </c>
      <c r="S673" s="54"/>
      <c r="T673" s="131" t="str">
        <f>IFERROR(VLOOKUP(S673,TD!$J$33:$K$43,2,0)," ")</f>
        <v xml:space="preserve"> </v>
      </c>
      <c r="U673" s="54" t="str">
        <f t="shared" si="40"/>
        <v xml:space="preserve">- </v>
      </c>
      <c r="V673" s="54"/>
      <c r="W673" s="131" t="str">
        <f>IFERROR(VLOOKUP(V673,TD!$N$33:$O$45,2,0)," ")</f>
        <v xml:space="preserve"> </v>
      </c>
      <c r="X673" s="54" t="str">
        <f t="shared" si="41"/>
        <v xml:space="preserve">_ </v>
      </c>
      <c r="Y673" s="54" t="str">
        <f t="shared" si="42"/>
        <v xml:space="preserve">-  _ </v>
      </c>
      <c r="Z673" s="131" t="str">
        <f t="shared" si="43"/>
        <v xml:space="preserve">   </v>
      </c>
      <c r="AA673" s="131" t="str">
        <f>IFERROR(VLOOKUP(Y673,TD!$K$46:$L$64,2,0)," ")</f>
        <v xml:space="preserve"> </v>
      </c>
      <c r="AB673" s="57"/>
      <c r="AC673" s="132"/>
    </row>
    <row r="674" spans="2:29" s="28" customFormat="1">
      <c r="B674" s="85"/>
      <c r="C674" s="53"/>
      <c r="D674" s="129"/>
      <c r="E674" s="54"/>
      <c r="F674" s="129"/>
      <c r="G674" s="129"/>
      <c r="H674" s="55"/>
      <c r="I674" s="133"/>
      <c r="J674" s="130"/>
      <c r="K674" s="56"/>
      <c r="L674" s="57"/>
      <c r="M674" s="129"/>
      <c r="N674" s="57"/>
      <c r="O674" s="54"/>
      <c r="P674" s="131" t="str">
        <f>IFERROR(VLOOKUP(C674,TD!$B$32:$F$36,2,0)," ")</f>
        <v xml:space="preserve"> </v>
      </c>
      <c r="Q674" s="131" t="str">
        <f>IFERROR(VLOOKUP(C674,TD!$B$32:$F$36,3,0)," ")</f>
        <v xml:space="preserve"> </v>
      </c>
      <c r="R674" s="131" t="str">
        <f>IFERROR(VLOOKUP(C674,TD!$B$32:$F$36,4,0)," ")</f>
        <v xml:space="preserve"> </v>
      </c>
      <c r="S674" s="54"/>
      <c r="T674" s="131" t="str">
        <f>IFERROR(VLOOKUP(S674,TD!$J$33:$K$43,2,0)," ")</f>
        <v xml:space="preserve"> </v>
      </c>
      <c r="U674" s="54" t="str">
        <f t="shared" si="40"/>
        <v xml:space="preserve">- </v>
      </c>
      <c r="V674" s="54"/>
      <c r="W674" s="131" t="str">
        <f>IFERROR(VLOOKUP(V674,TD!$N$33:$O$45,2,0)," ")</f>
        <v xml:space="preserve"> </v>
      </c>
      <c r="X674" s="54" t="str">
        <f t="shared" si="41"/>
        <v xml:space="preserve">_ </v>
      </c>
      <c r="Y674" s="54" t="str">
        <f t="shared" si="42"/>
        <v xml:space="preserve">-  _ </v>
      </c>
      <c r="Z674" s="131" t="str">
        <f t="shared" si="43"/>
        <v xml:space="preserve">   </v>
      </c>
      <c r="AA674" s="131" t="str">
        <f>IFERROR(VLOOKUP(Y674,TD!$K$46:$L$64,2,0)," ")</f>
        <v xml:space="preserve"> </v>
      </c>
      <c r="AB674" s="57"/>
      <c r="AC674" s="132"/>
    </row>
    <row r="675" spans="2:29" s="28" customFormat="1">
      <c r="B675" s="85"/>
      <c r="C675" s="53"/>
      <c r="D675" s="129"/>
      <c r="E675" s="54"/>
      <c r="F675" s="129"/>
      <c r="G675" s="129"/>
      <c r="H675" s="55"/>
      <c r="I675" s="133"/>
      <c r="J675" s="130"/>
      <c r="K675" s="56"/>
      <c r="L675" s="57"/>
      <c r="M675" s="129"/>
      <c r="N675" s="57"/>
      <c r="O675" s="54"/>
      <c r="P675" s="131" t="str">
        <f>IFERROR(VLOOKUP(C675,TD!$B$32:$F$36,2,0)," ")</f>
        <v xml:space="preserve"> </v>
      </c>
      <c r="Q675" s="131" t="str">
        <f>IFERROR(VLOOKUP(C675,TD!$B$32:$F$36,3,0)," ")</f>
        <v xml:space="preserve"> </v>
      </c>
      <c r="R675" s="131" t="str">
        <f>IFERROR(VLOOKUP(C675,TD!$B$32:$F$36,4,0)," ")</f>
        <v xml:space="preserve"> </v>
      </c>
      <c r="S675" s="54"/>
      <c r="T675" s="131" t="str">
        <f>IFERROR(VLOOKUP(S675,TD!$J$33:$K$43,2,0)," ")</f>
        <v xml:space="preserve"> </v>
      </c>
      <c r="U675" s="54" t="str">
        <f t="shared" si="40"/>
        <v xml:space="preserve">- </v>
      </c>
      <c r="V675" s="54"/>
      <c r="W675" s="131" t="str">
        <f>IFERROR(VLOOKUP(V675,TD!$N$33:$O$45,2,0)," ")</f>
        <v xml:space="preserve"> </v>
      </c>
      <c r="X675" s="54" t="str">
        <f t="shared" si="41"/>
        <v xml:space="preserve">_ </v>
      </c>
      <c r="Y675" s="54" t="str">
        <f t="shared" si="42"/>
        <v xml:space="preserve">-  _ </v>
      </c>
      <c r="Z675" s="131" t="str">
        <f t="shared" si="43"/>
        <v xml:space="preserve">   </v>
      </c>
      <c r="AA675" s="131" t="str">
        <f>IFERROR(VLOOKUP(Y675,TD!$K$46:$L$64,2,0)," ")</f>
        <v xml:space="preserve"> </v>
      </c>
      <c r="AB675" s="57"/>
      <c r="AC675" s="132"/>
    </row>
    <row r="676" spans="2:29" s="28" customFormat="1">
      <c r="B676" s="85"/>
      <c r="C676" s="53"/>
      <c r="D676" s="129"/>
      <c r="E676" s="54"/>
      <c r="F676" s="129"/>
      <c r="G676" s="129"/>
      <c r="H676" s="55"/>
      <c r="I676" s="133"/>
      <c r="J676" s="130"/>
      <c r="K676" s="56"/>
      <c r="L676" s="57"/>
      <c r="M676" s="129"/>
      <c r="N676" s="57"/>
      <c r="O676" s="54"/>
      <c r="P676" s="131" t="str">
        <f>IFERROR(VLOOKUP(C676,TD!$B$32:$F$36,2,0)," ")</f>
        <v xml:space="preserve"> </v>
      </c>
      <c r="Q676" s="131" t="str">
        <f>IFERROR(VLOOKUP(C676,TD!$B$32:$F$36,3,0)," ")</f>
        <v xml:space="preserve"> </v>
      </c>
      <c r="R676" s="131" t="str">
        <f>IFERROR(VLOOKUP(C676,TD!$B$32:$F$36,4,0)," ")</f>
        <v xml:space="preserve"> </v>
      </c>
      <c r="S676" s="54"/>
      <c r="T676" s="131" t="str">
        <f>IFERROR(VLOOKUP(S676,TD!$J$33:$K$43,2,0)," ")</f>
        <v xml:space="preserve"> </v>
      </c>
      <c r="U676" s="54" t="str">
        <f t="shared" si="40"/>
        <v xml:space="preserve">- </v>
      </c>
      <c r="V676" s="54"/>
      <c r="W676" s="131" t="str">
        <f>IFERROR(VLOOKUP(V676,TD!$N$33:$O$45,2,0)," ")</f>
        <v xml:space="preserve"> </v>
      </c>
      <c r="X676" s="54" t="str">
        <f t="shared" si="41"/>
        <v xml:space="preserve">_ </v>
      </c>
      <c r="Y676" s="54" t="str">
        <f t="shared" si="42"/>
        <v xml:space="preserve">-  _ </v>
      </c>
      <c r="Z676" s="131" t="str">
        <f t="shared" si="43"/>
        <v xml:space="preserve">   </v>
      </c>
      <c r="AA676" s="131" t="str">
        <f>IFERROR(VLOOKUP(Y676,TD!$K$46:$L$64,2,0)," ")</f>
        <v xml:space="preserve"> </v>
      </c>
      <c r="AB676" s="57"/>
      <c r="AC676" s="132"/>
    </row>
    <row r="677" spans="2:29" s="28" customFormat="1">
      <c r="B677" s="85"/>
      <c r="C677" s="53"/>
      <c r="D677" s="129"/>
      <c r="E677" s="54"/>
      <c r="F677" s="129"/>
      <c r="G677" s="129"/>
      <c r="H677" s="55"/>
      <c r="I677" s="133"/>
      <c r="J677" s="130"/>
      <c r="K677" s="56"/>
      <c r="L677" s="57"/>
      <c r="M677" s="129"/>
      <c r="N677" s="57"/>
      <c r="O677" s="54"/>
      <c r="P677" s="131" t="str">
        <f>IFERROR(VLOOKUP(C677,TD!$B$32:$F$36,2,0)," ")</f>
        <v xml:space="preserve"> </v>
      </c>
      <c r="Q677" s="131" t="str">
        <f>IFERROR(VLOOKUP(C677,TD!$B$32:$F$36,3,0)," ")</f>
        <v xml:space="preserve"> </v>
      </c>
      <c r="R677" s="131" t="str">
        <f>IFERROR(VLOOKUP(C677,TD!$B$32:$F$36,4,0)," ")</f>
        <v xml:space="preserve"> </v>
      </c>
      <c r="S677" s="54"/>
      <c r="T677" s="131" t="str">
        <f>IFERROR(VLOOKUP(S677,TD!$J$33:$K$43,2,0)," ")</f>
        <v xml:space="preserve"> </v>
      </c>
      <c r="U677" s="54" t="str">
        <f t="shared" si="40"/>
        <v xml:space="preserve">- </v>
      </c>
      <c r="V677" s="54"/>
      <c r="W677" s="131" t="str">
        <f>IFERROR(VLOOKUP(V677,TD!$N$33:$O$45,2,0)," ")</f>
        <v xml:space="preserve"> </v>
      </c>
      <c r="X677" s="54" t="str">
        <f t="shared" si="41"/>
        <v xml:space="preserve">_ </v>
      </c>
      <c r="Y677" s="54" t="str">
        <f t="shared" si="42"/>
        <v xml:space="preserve">-  _ </v>
      </c>
      <c r="Z677" s="131" t="str">
        <f t="shared" si="43"/>
        <v xml:space="preserve">   </v>
      </c>
      <c r="AA677" s="131" t="str">
        <f>IFERROR(VLOOKUP(Y677,TD!$K$46:$L$64,2,0)," ")</f>
        <v xml:space="preserve"> </v>
      </c>
      <c r="AB677" s="57"/>
      <c r="AC677" s="132"/>
    </row>
    <row r="678" spans="2:29" s="28" customFormat="1">
      <c r="B678" s="85"/>
      <c r="C678" s="53"/>
      <c r="D678" s="129"/>
      <c r="E678" s="54"/>
      <c r="F678" s="129"/>
      <c r="G678" s="129"/>
      <c r="H678" s="55"/>
      <c r="I678" s="133"/>
      <c r="J678" s="130"/>
      <c r="K678" s="56"/>
      <c r="L678" s="57"/>
      <c r="M678" s="129"/>
      <c r="N678" s="57"/>
      <c r="O678" s="54"/>
      <c r="P678" s="131" t="str">
        <f>IFERROR(VLOOKUP(C678,TD!$B$32:$F$36,2,0)," ")</f>
        <v xml:space="preserve"> </v>
      </c>
      <c r="Q678" s="131" t="str">
        <f>IFERROR(VLOOKUP(C678,TD!$B$32:$F$36,3,0)," ")</f>
        <v xml:space="preserve"> </v>
      </c>
      <c r="R678" s="131" t="str">
        <f>IFERROR(VLOOKUP(C678,TD!$B$32:$F$36,4,0)," ")</f>
        <v xml:space="preserve"> </v>
      </c>
      <c r="S678" s="54"/>
      <c r="T678" s="131" t="str">
        <f>IFERROR(VLOOKUP(S678,TD!$J$33:$K$43,2,0)," ")</f>
        <v xml:space="preserve"> </v>
      </c>
      <c r="U678" s="54" t="str">
        <f t="shared" si="40"/>
        <v xml:space="preserve">- </v>
      </c>
      <c r="V678" s="54"/>
      <c r="W678" s="131" t="str">
        <f>IFERROR(VLOOKUP(V678,TD!$N$33:$O$45,2,0)," ")</f>
        <v xml:space="preserve"> </v>
      </c>
      <c r="X678" s="54" t="str">
        <f t="shared" si="41"/>
        <v xml:space="preserve">_ </v>
      </c>
      <c r="Y678" s="54" t="str">
        <f t="shared" si="42"/>
        <v xml:space="preserve">-  _ </v>
      </c>
      <c r="Z678" s="131" t="str">
        <f t="shared" si="43"/>
        <v xml:space="preserve">   </v>
      </c>
      <c r="AA678" s="131" t="str">
        <f>IFERROR(VLOOKUP(Y678,TD!$K$46:$L$64,2,0)," ")</f>
        <v xml:space="preserve"> </v>
      </c>
      <c r="AB678" s="57"/>
      <c r="AC678" s="132"/>
    </row>
    <row r="679" spans="2:29" s="28" customFormat="1">
      <c r="B679" s="85"/>
      <c r="C679" s="53"/>
      <c r="D679" s="129"/>
      <c r="E679" s="54"/>
      <c r="F679" s="129"/>
      <c r="G679" s="129"/>
      <c r="H679" s="55"/>
      <c r="I679" s="133"/>
      <c r="J679" s="130"/>
      <c r="K679" s="56"/>
      <c r="L679" s="57"/>
      <c r="M679" s="129"/>
      <c r="N679" s="57"/>
      <c r="O679" s="54"/>
      <c r="P679" s="131" t="str">
        <f>IFERROR(VLOOKUP(C679,TD!$B$32:$F$36,2,0)," ")</f>
        <v xml:space="preserve"> </v>
      </c>
      <c r="Q679" s="131" t="str">
        <f>IFERROR(VLOOKUP(C679,TD!$B$32:$F$36,3,0)," ")</f>
        <v xml:space="preserve"> </v>
      </c>
      <c r="R679" s="131" t="str">
        <f>IFERROR(VLOOKUP(C679,TD!$B$32:$F$36,4,0)," ")</f>
        <v xml:space="preserve"> </v>
      </c>
      <c r="S679" s="54"/>
      <c r="T679" s="131" t="str">
        <f>IFERROR(VLOOKUP(S679,TD!$J$33:$K$43,2,0)," ")</f>
        <v xml:space="preserve"> </v>
      </c>
      <c r="U679" s="54" t="str">
        <f t="shared" si="40"/>
        <v xml:space="preserve">- </v>
      </c>
      <c r="V679" s="54"/>
      <c r="W679" s="131" t="str">
        <f>IFERROR(VLOOKUP(V679,TD!$N$33:$O$45,2,0)," ")</f>
        <v xml:space="preserve"> </v>
      </c>
      <c r="X679" s="54" t="str">
        <f t="shared" si="41"/>
        <v xml:space="preserve">_ </v>
      </c>
      <c r="Y679" s="54" t="str">
        <f t="shared" si="42"/>
        <v xml:space="preserve">-  _ </v>
      </c>
      <c r="Z679" s="131" t="str">
        <f t="shared" si="43"/>
        <v xml:space="preserve">   </v>
      </c>
      <c r="AA679" s="131" t="str">
        <f>IFERROR(VLOOKUP(Y679,TD!$K$46:$L$64,2,0)," ")</f>
        <v xml:space="preserve"> </v>
      </c>
      <c r="AB679" s="57"/>
      <c r="AC679" s="132"/>
    </row>
    <row r="680" spans="2:29" s="28" customFormat="1">
      <c r="B680" s="85"/>
      <c r="C680" s="53"/>
      <c r="D680" s="129"/>
      <c r="E680" s="54"/>
      <c r="F680" s="129"/>
      <c r="G680" s="129"/>
      <c r="H680" s="55"/>
      <c r="I680" s="133"/>
      <c r="J680" s="130"/>
      <c r="K680" s="56"/>
      <c r="L680" s="57"/>
      <c r="M680" s="129"/>
      <c r="N680" s="57"/>
      <c r="O680" s="54"/>
      <c r="P680" s="131" t="str">
        <f>IFERROR(VLOOKUP(C680,TD!$B$32:$F$36,2,0)," ")</f>
        <v xml:space="preserve"> </v>
      </c>
      <c r="Q680" s="131" t="str">
        <f>IFERROR(VLOOKUP(C680,TD!$B$32:$F$36,3,0)," ")</f>
        <v xml:space="preserve"> </v>
      </c>
      <c r="R680" s="131" t="str">
        <f>IFERROR(VLOOKUP(C680,TD!$B$32:$F$36,4,0)," ")</f>
        <v xml:space="preserve"> </v>
      </c>
      <c r="S680" s="54"/>
      <c r="T680" s="131" t="str">
        <f>IFERROR(VLOOKUP(S680,TD!$J$33:$K$43,2,0)," ")</f>
        <v xml:space="preserve"> </v>
      </c>
      <c r="U680" s="54" t="str">
        <f t="shared" si="40"/>
        <v xml:space="preserve">- </v>
      </c>
      <c r="V680" s="54"/>
      <c r="W680" s="131" t="str">
        <f>IFERROR(VLOOKUP(V680,TD!$N$33:$O$45,2,0)," ")</f>
        <v xml:space="preserve"> </v>
      </c>
      <c r="X680" s="54" t="str">
        <f t="shared" si="41"/>
        <v xml:space="preserve">_ </v>
      </c>
      <c r="Y680" s="54" t="str">
        <f t="shared" si="42"/>
        <v xml:space="preserve">-  _ </v>
      </c>
      <c r="Z680" s="131" t="str">
        <f t="shared" si="43"/>
        <v xml:space="preserve">   </v>
      </c>
      <c r="AA680" s="131" t="str">
        <f>IFERROR(VLOOKUP(Y680,TD!$K$46:$L$64,2,0)," ")</f>
        <v xml:space="preserve"> </v>
      </c>
      <c r="AB680" s="57"/>
      <c r="AC680" s="132"/>
    </row>
    <row r="681" spans="2:29" s="28" customFormat="1">
      <c r="B681" s="85"/>
      <c r="C681" s="53"/>
      <c r="D681" s="129"/>
      <c r="E681" s="54"/>
      <c r="F681" s="129"/>
      <c r="G681" s="129"/>
      <c r="H681" s="55"/>
      <c r="I681" s="133"/>
      <c r="J681" s="130"/>
      <c r="K681" s="56"/>
      <c r="L681" s="57"/>
      <c r="M681" s="129"/>
      <c r="N681" s="57"/>
      <c r="O681" s="54"/>
      <c r="P681" s="131" t="str">
        <f>IFERROR(VLOOKUP(C681,TD!$B$32:$F$36,2,0)," ")</f>
        <v xml:space="preserve"> </v>
      </c>
      <c r="Q681" s="131" t="str">
        <f>IFERROR(VLOOKUP(C681,TD!$B$32:$F$36,3,0)," ")</f>
        <v xml:space="preserve"> </v>
      </c>
      <c r="R681" s="131" t="str">
        <f>IFERROR(VLOOKUP(C681,TD!$B$32:$F$36,4,0)," ")</f>
        <v xml:space="preserve"> </v>
      </c>
      <c r="S681" s="54"/>
      <c r="T681" s="131" t="str">
        <f>IFERROR(VLOOKUP(S681,TD!$J$33:$K$43,2,0)," ")</f>
        <v xml:space="preserve"> </v>
      </c>
      <c r="U681" s="54" t="str">
        <f t="shared" si="40"/>
        <v xml:space="preserve">- </v>
      </c>
      <c r="V681" s="54"/>
      <c r="W681" s="131" t="str">
        <f>IFERROR(VLOOKUP(V681,TD!$N$33:$O$45,2,0)," ")</f>
        <v xml:space="preserve"> </v>
      </c>
      <c r="X681" s="54" t="str">
        <f t="shared" si="41"/>
        <v xml:space="preserve">_ </v>
      </c>
      <c r="Y681" s="54" t="str">
        <f t="shared" si="42"/>
        <v xml:space="preserve">-  _ </v>
      </c>
      <c r="Z681" s="131" t="str">
        <f t="shared" si="43"/>
        <v xml:space="preserve">   </v>
      </c>
      <c r="AA681" s="131" t="str">
        <f>IFERROR(VLOOKUP(Y681,TD!$K$46:$L$64,2,0)," ")</f>
        <v xml:space="preserve"> </v>
      </c>
      <c r="AB681" s="57"/>
      <c r="AC681" s="132"/>
    </row>
    <row r="682" spans="2:29" s="28" customFormat="1">
      <c r="B682" s="85"/>
      <c r="C682" s="53"/>
      <c r="D682" s="129"/>
      <c r="E682" s="54"/>
      <c r="F682" s="129"/>
      <c r="G682" s="129"/>
      <c r="H682" s="55"/>
      <c r="I682" s="133"/>
      <c r="J682" s="130"/>
      <c r="K682" s="56"/>
      <c r="L682" s="57"/>
      <c r="M682" s="129"/>
      <c r="N682" s="57"/>
      <c r="O682" s="54"/>
      <c r="P682" s="131" t="str">
        <f>IFERROR(VLOOKUP(C682,TD!$B$32:$F$36,2,0)," ")</f>
        <v xml:space="preserve"> </v>
      </c>
      <c r="Q682" s="131" t="str">
        <f>IFERROR(VLOOKUP(C682,TD!$B$32:$F$36,3,0)," ")</f>
        <v xml:space="preserve"> </v>
      </c>
      <c r="R682" s="131" t="str">
        <f>IFERROR(VLOOKUP(C682,TD!$B$32:$F$36,4,0)," ")</f>
        <v xml:space="preserve"> </v>
      </c>
      <c r="S682" s="54"/>
      <c r="T682" s="131" t="str">
        <f>IFERROR(VLOOKUP(S682,TD!$J$33:$K$43,2,0)," ")</f>
        <v xml:space="preserve"> </v>
      </c>
      <c r="U682" s="54" t="str">
        <f t="shared" si="40"/>
        <v xml:space="preserve">- </v>
      </c>
      <c r="V682" s="54"/>
      <c r="W682" s="131" t="str">
        <f>IFERROR(VLOOKUP(V682,TD!$N$33:$O$45,2,0)," ")</f>
        <v xml:space="preserve"> </v>
      </c>
      <c r="X682" s="54" t="str">
        <f t="shared" si="41"/>
        <v xml:space="preserve">_ </v>
      </c>
      <c r="Y682" s="54" t="str">
        <f t="shared" si="42"/>
        <v xml:space="preserve">-  _ </v>
      </c>
      <c r="Z682" s="131" t="str">
        <f t="shared" si="43"/>
        <v xml:space="preserve">   </v>
      </c>
      <c r="AA682" s="131" t="str">
        <f>IFERROR(VLOOKUP(Y682,TD!$K$46:$L$64,2,0)," ")</f>
        <v xml:space="preserve"> </v>
      </c>
      <c r="AB682" s="57"/>
      <c r="AC682" s="132"/>
    </row>
    <row r="683" spans="2:29" s="28" customFormat="1">
      <c r="B683" s="85"/>
      <c r="C683" s="53"/>
      <c r="D683" s="129"/>
      <c r="E683" s="54"/>
      <c r="F683" s="129"/>
      <c r="G683" s="129"/>
      <c r="H683" s="55"/>
      <c r="I683" s="133"/>
      <c r="J683" s="130"/>
      <c r="K683" s="56"/>
      <c r="L683" s="57"/>
      <c r="M683" s="129"/>
      <c r="N683" s="57"/>
      <c r="O683" s="54"/>
      <c r="P683" s="131" t="str">
        <f>IFERROR(VLOOKUP(C683,TD!$B$32:$F$36,2,0)," ")</f>
        <v xml:space="preserve"> </v>
      </c>
      <c r="Q683" s="131" t="str">
        <f>IFERROR(VLOOKUP(C683,TD!$B$32:$F$36,3,0)," ")</f>
        <v xml:space="preserve"> </v>
      </c>
      <c r="R683" s="131" t="str">
        <f>IFERROR(VLOOKUP(C683,TD!$B$32:$F$36,4,0)," ")</f>
        <v xml:space="preserve"> </v>
      </c>
      <c r="S683" s="54"/>
      <c r="T683" s="131" t="str">
        <f>IFERROR(VLOOKUP(S683,TD!$J$33:$K$43,2,0)," ")</f>
        <v xml:space="preserve"> </v>
      </c>
      <c r="U683" s="54" t="str">
        <f t="shared" si="40"/>
        <v xml:space="preserve">- </v>
      </c>
      <c r="V683" s="54"/>
      <c r="W683" s="131" t="str">
        <f>IFERROR(VLOOKUP(V683,TD!$N$33:$O$45,2,0)," ")</f>
        <v xml:space="preserve"> </v>
      </c>
      <c r="X683" s="54" t="str">
        <f t="shared" si="41"/>
        <v xml:space="preserve">_ </v>
      </c>
      <c r="Y683" s="54" t="str">
        <f t="shared" si="42"/>
        <v xml:space="preserve">-  _ </v>
      </c>
      <c r="Z683" s="131" t="str">
        <f t="shared" si="43"/>
        <v xml:space="preserve">   </v>
      </c>
      <c r="AA683" s="131" t="str">
        <f>IFERROR(VLOOKUP(Y683,TD!$K$46:$L$64,2,0)," ")</f>
        <v xml:space="preserve"> </v>
      </c>
      <c r="AB683" s="57"/>
      <c r="AC683" s="132"/>
    </row>
    <row r="684" spans="2:29" s="28" customFormat="1">
      <c r="B684" s="85"/>
      <c r="C684" s="53"/>
      <c r="D684" s="129"/>
      <c r="E684" s="54"/>
      <c r="F684" s="129"/>
      <c r="G684" s="129"/>
      <c r="H684" s="55"/>
      <c r="I684" s="133"/>
      <c r="J684" s="130"/>
      <c r="K684" s="56"/>
      <c r="L684" s="57"/>
      <c r="M684" s="129"/>
      <c r="N684" s="57"/>
      <c r="O684" s="54"/>
      <c r="P684" s="131" t="str">
        <f>IFERROR(VLOOKUP(C684,TD!$B$32:$F$36,2,0)," ")</f>
        <v xml:space="preserve"> </v>
      </c>
      <c r="Q684" s="131" t="str">
        <f>IFERROR(VLOOKUP(C684,TD!$B$32:$F$36,3,0)," ")</f>
        <v xml:space="preserve"> </v>
      </c>
      <c r="R684" s="131" t="str">
        <f>IFERROR(VLOOKUP(C684,TD!$B$32:$F$36,4,0)," ")</f>
        <v xml:space="preserve"> </v>
      </c>
      <c r="S684" s="54"/>
      <c r="T684" s="131" t="str">
        <f>IFERROR(VLOOKUP(S684,TD!$J$33:$K$43,2,0)," ")</f>
        <v xml:space="preserve"> </v>
      </c>
      <c r="U684" s="54" t="str">
        <f t="shared" si="40"/>
        <v xml:space="preserve">- </v>
      </c>
      <c r="V684" s="54"/>
      <c r="W684" s="131" t="str">
        <f>IFERROR(VLOOKUP(V684,TD!$N$33:$O$45,2,0)," ")</f>
        <v xml:space="preserve"> </v>
      </c>
      <c r="X684" s="54" t="str">
        <f t="shared" si="41"/>
        <v xml:space="preserve">_ </v>
      </c>
      <c r="Y684" s="54" t="str">
        <f t="shared" si="42"/>
        <v xml:space="preserve">-  _ </v>
      </c>
      <c r="Z684" s="131" t="str">
        <f t="shared" si="43"/>
        <v xml:space="preserve">   </v>
      </c>
      <c r="AA684" s="131" t="str">
        <f>IFERROR(VLOOKUP(Y684,TD!$K$46:$L$64,2,0)," ")</f>
        <v xml:space="preserve"> </v>
      </c>
      <c r="AB684" s="57"/>
      <c r="AC684" s="132"/>
    </row>
    <row r="685" spans="2:29" s="28" customFormat="1">
      <c r="B685" s="85"/>
      <c r="C685" s="53"/>
      <c r="D685" s="129"/>
      <c r="E685" s="54"/>
      <c r="F685" s="129"/>
      <c r="G685" s="129"/>
      <c r="H685" s="55"/>
      <c r="I685" s="133"/>
      <c r="J685" s="130"/>
      <c r="K685" s="56"/>
      <c r="L685" s="57"/>
      <c r="M685" s="129"/>
      <c r="N685" s="57"/>
      <c r="O685" s="54"/>
      <c r="P685" s="131" t="str">
        <f>IFERROR(VLOOKUP(C685,TD!$B$32:$F$36,2,0)," ")</f>
        <v xml:space="preserve"> </v>
      </c>
      <c r="Q685" s="131" t="str">
        <f>IFERROR(VLOOKUP(C685,TD!$B$32:$F$36,3,0)," ")</f>
        <v xml:space="preserve"> </v>
      </c>
      <c r="R685" s="131" t="str">
        <f>IFERROR(VLOOKUP(C685,TD!$B$32:$F$36,4,0)," ")</f>
        <v xml:space="preserve"> </v>
      </c>
      <c r="S685" s="54"/>
      <c r="T685" s="131" t="str">
        <f>IFERROR(VLOOKUP(S685,TD!$J$33:$K$43,2,0)," ")</f>
        <v xml:space="preserve"> </v>
      </c>
      <c r="U685" s="54" t="str">
        <f t="shared" si="40"/>
        <v xml:space="preserve">- </v>
      </c>
      <c r="V685" s="54"/>
      <c r="W685" s="131" t="str">
        <f>IFERROR(VLOOKUP(V685,TD!$N$33:$O$45,2,0)," ")</f>
        <v xml:space="preserve"> </v>
      </c>
      <c r="X685" s="54" t="str">
        <f t="shared" si="41"/>
        <v xml:space="preserve">_ </v>
      </c>
      <c r="Y685" s="54" t="str">
        <f t="shared" si="42"/>
        <v xml:space="preserve">-  _ </v>
      </c>
      <c r="Z685" s="131" t="str">
        <f t="shared" si="43"/>
        <v xml:space="preserve">   </v>
      </c>
      <c r="AA685" s="131" t="str">
        <f>IFERROR(VLOOKUP(Y685,TD!$K$46:$L$64,2,0)," ")</f>
        <v xml:space="preserve"> </v>
      </c>
      <c r="AB685" s="57"/>
      <c r="AC685" s="132"/>
    </row>
    <row r="686" spans="2:29" s="28" customFormat="1">
      <c r="B686" s="85"/>
      <c r="C686" s="53"/>
      <c r="D686" s="129"/>
      <c r="E686" s="54"/>
      <c r="F686" s="129"/>
      <c r="G686" s="129"/>
      <c r="H686" s="55"/>
      <c r="I686" s="133"/>
      <c r="J686" s="130"/>
      <c r="K686" s="56"/>
      <c r="L686" s="57"/>
      <c r="M686" s="129"/>
      <c r="N686" s="57"/>
      <c r="O686" s="54"/>
      <c r="P686" s="131" t="str">
        <f>IFERROR(VLOOKUP(C686,TD!$B$32:$F$36,2,0)," ")</f>
        <v xml:space="preserve"> </v>
      </c>
      <c r="Q686" s="131" t="str">
        <f>IFERROR(VLOOKUP(C686,TD!$B$32:$F$36,3,0)," ")</f>
        <v xml:space="preserve"> </v>
      </c>
      <c r="R686" s="131" t="str">
        <f>IFERROR(VLOOKUP(C686,TD!$B$32:$F$36,4,0)," ")</f>
        <v xml:space="preserve"> </v>
      </c>
      <c r="S686" s="54"/>
      <c r="T686" s="131" t="str">
        <f>IFERROR(VLOOKUP(S686,TD!$J$33:$K$43,2,0)," ")</f>
        <v xml:space="preserve"> </v>
      </c>
      <c r="U686" s="54" t="str">
        <f t="shared" si="40"/>
        <v xml:space="preserve">- </v>
      </c>
      <c r="V686" s="54"/>
      <c r="W686" s="131" t="str">
        <f>IFERROR(VLOOKUP(V686,TD!$N$33:$O$45,2,0)," ")</f>
        <v xml:space="preserve"> </v>
      </c>
      <c r="X686" s="54" t="str">
        <f t="shared" si="41"/>
        <v xml:space="preserve">_ </v>
      </c>
      <c r="Y686" s="54" t="str">
        <f t="shared" si="42"/>
        <v xml:space="preserve">-  _ </v>
      </c>
      <c r="Z686" s="131" t="str">
        <f t="shared" si="43"/>
        <v xml:space="preserve">   </v>
      </c>
      <c r="AA686" s="131" t="str">
        <f>IFERROR(VLOOKUP(Y686,TD!$K$46:$L$64,2,0)," ")</f>
        <v xml:space="preserve"> </v>
      </c>
      <c r="AB686" s="57"/>
      <c r="AC686" s="132"/>
    </row>
    <row r="687" spans="2:29" s="28" customFormat="1">
      <c r="B687" s="85"/>
      <c r="C687" s="53"/>
      <c r="D687" s="129"/>
      <c r="E687" s="54"/>
      <c r="F687" s="129"/>
      <c r="G687" s="129"/>
      <c r="H687" s="55"/>
      <c r="I687" s="133"/>
      <c r="J687" s="130"/>
      <c r="K687" s="56"/>
      <c r="L687" s="57"/>
      <c r="M687" s="129"/>
      <c r="N687" s="57"/>
      <c r="O687" s="54"/>
      <c r="P687" s="131" t="str">
        <f>IFERROR(VLOOKUP(C687,TD!$B$32:$F$36,2,0)," ")</f>
        <v xml:space="preserve"> </v>
      </c>
      <c r="Q687" s="131" t="str">
        <f>IFERROR(VLOOKUP(C687,TD!$B$32:$F$36,3,0)," ")</f>
        <v xml:space="preserve"> </v>
      </c>
      <c r="R687" s="131" t="str">
        <f>IFERROR(VLOOKUP(C687,TD!$B$32:$F$36,4,0)," ")</f>
        <v xml:space="preserve"> </v>
      </c>
      <c r="S687" s="54"/>
      <c r="T687" s="131" t="str">
        <f>IFERROR(VLOOKUP(S687,TD!$J$33:$K$43,2,0)," ")</f>
        <v xml:space="preserve"> </v>
      </c>
      <c r="U687" s="54" t="str">
        <f t="shared" si="40"/>
        <v xml:space="preserve">- </v>
      </c>
      <c r="V687" s="54"/>
      <c r="W687" s="131" t="str">
        <f>IFERROR(VLOOKUP(V687,TD!$N$33:$O$45,2,0)," ")</f>
        <v xml:space="preserve"> </v>
      </c>
      <c r="X687" s="54" t="str">
        <f t="shared" si="41"/>
        <v xml:space="preserve">_ </v>
      </c>
      <c r="Y687" s="54" t="str">
        <f t="shared" si="42"/>
        <v xml:space="preserve">-  _ </v>
      </c>
      <c r="Z687" s="131" t="str">
        <f t="shared" si="43"/>
        <v xml:space="preserve">   </v>
      </c>
      <c r="AA687" s="131" t="str">
        <f>IFERROR(VLOOKUP(Y687,TD!$K$46:$L$64,2,0)," ")</f>
        <v xml:space="preserve"> </v>
      </c>
      <c r="AB687" s="57"/>
      <c r="AC687" s="132"/>
    </row>
    <row r="688" spans="2:29" s="28" customFormat="1">
      <c r="B688" s="85"/>
      <c r="C688" s="53"/>
      <c r="D688" s="129"/>
      <c r="E688" s="54"/>
      <c r="F688" s="129"/>
      <c r="G688" s="129"/>
      <c r="H688" s="55"/>
      <c r="I688" s="133"/>
      <c r="J688" s="130"/>
      <c r="K688" s="56"/>
      <c r="L688" s="57"/>
      <c r="M688" s="129"/>
      <c r="N688" s="57"/>
      <c r="O688" s="54"/>
      <c r="P688" s="131" t="str">
        <f>IFERROR(VLOOKUP(C688,TD!$B$32:$F$36,2,0)," ")</f>
        <v xml:space="preserve"> </v>
      </c>
      <c r="Q688" s="131" t="str">
        <f>IFERROR(VLOOKUP(C688,TD!$B$32:$F$36,3,0)," ")</f>
        <v xml:space="preserve"> </v>
      </c>
      <c r="R688" s="131" t="str">
        <f>IFERROR(VLOOKUP(C688,TD!$B$32:$F$36,4,0)," ")</f>
        <v xml:space="preserve"> </v>
      </c>
      <c r="S688" s="54"/>
      <c r="T688" s="131" t="str">
        <f>IFERROR(VLOOKUP(S688,TD!$J$33:$K$43,2,0)," ")</f>
        <v xml:space="preserve"> </v>
      </c>
      <c r="U688" s="54" t="str">
        <f t="shared" si="40"/>
        <v xml:space="preserve">- </v>
      </c>
      <c r="V688" s="54"/>
      <c r="W688" s="131" t="str">
        <f>IFERROR(VLOOKUP(V688,TD!$N$33:$O$45,2,0)," ")</f>
        <v xml:space="preserve"> </v>
      </c>
      <c r="X688" s="54" t="str">
        <f t="shared" si="41"/>
        <v xml:space="preserve">_ </v>
      </c>
      <c r="Y688" s="54" t="str">
        <f t="shared" si="42"/>
        <v xml:space="preserve">-  _ </v>
      </c>
      <c r="Z688" s="131" t="str">
        <f t="shared" si="43"/>
        <v xml:space="preserve">   </v>
      </c>
      <c r="AA688" s="131" t="str">
        <f>IFERROR(VLOOKUP(Y688,TD!$K$46:$L$64,2,0)," ")</f>
        <v xml:space="preserve"> </v>
      </c>
      <c r="AB688" s="57"/>
      <c r="AC688" s="132"/>
    </row>
    <row r="689" spans="2:29" s="28" customFormat="1">
      <c r="B689" s="85"/>
      <c r="C689" s="53"/>
      <c r="D689" s="129"/>
      <c r="E689" s="54"/>
      <c r="F689" s="129"/>
      <c r="G689" s="129"/>
      <c r="H689" s="55"/>
      <c r="I689" s="133"/>
      <c r="J689" s="130"/>
      <c r="K689" s="56"/>
      <c r="L689" s="57"/>
      <c r="M689" s="129"/>
      <c r="N689" s="57"/>
      <c r="O689" s="54"/>
      <c r="P689" s="131" t="str">
        <f>IFERROR(VLOOKUP(C689,TD!$B$32:$F$36,2,0)," ")</f>
        <v xml:space="preserve"> </v>
      </c>
      <c r="Q689" s="131" t="str">
        <f>IFERROR(VLOOKUP(C689,TD!$B$32:$F$36,3,0)," ")</f>
        <v xml:space="preserve"> </v>
      </c>
      <c r="R689" s="131" t="str">
        <f>IFERROR(VLOOKUP(C689,TD!$B$32:$F$36,4,0)," ")</f>
        <v xml:space="preserve"> </v>
      </c>
      <c r="S689" s="54"/>
      <c r="T689" s="131" t="str">
        <f>IFERROR(VLOOKUP(S689,TD!$J$33:$K$43,2,0)," ")</f>
        <v xml:space="preserve"> </v>
      </c>
      <c r="U689" s="54" t="str">
        <f t="shared" si="40"/>
        <v xml:space="preserve">- </v>
      </c>
      <c r="V689" s="54"/>
      <c r="W689" s="131" t="str">
        <f>IFERROR(VLOOKUP(V689,TD!$N$33:$O$45,2,0)," ")</f>
        <v xml:space="preserve"> </v>
      </c>
      <c r="X689" s="54" t="str">
        <f t="shared" si="41"/>
        <v xml:space="preserve">_ </v>
      </c>
      <c r="Y689" s="54" t="str">
        <f t="shared" si="42"/>
        <v xml:space="preserve">-  _ </v>
      </c>
      <c r="Z689" s="131" t="str">
        <f t="shared" si="43"/>
        <v xml:space="preserve">   </v>
      </c>
      <c r="AA689" s="131" t="str">
        <f>IFERROR(VLOOKUP(Y689,TD!$K$46:$L$64,2,0)," ")</f>
        <v xml:space="preserve"> </v>
      </c>
      <c r="AB689" s="57"/>
      <c r="AC689" s="132"/>
    </row>
    <row r="690" spans="2:29" s="28" customFormat="1">
      <c r="B690" s="85"/>
      <c r="C690" s="53"/>
      <c r="D690" s="129"/>
      <c r="E690" s="54"/>
      <c r="F690" s="129"/>
      <c r="G690" s="129"/>
      <c r="H690" s="55"/>
      <c r="I690" s="133"/>
      <c r="J690" s="130"/>
      <c r="K690" s="56"/>
      <c r="L690" s="57"/>
      <c r="M690" s="129"/>
      <c r="N690" s="57"/>
      <c r="O690" s="54"/>
      <c r="P690" s="131" t="str">
        <f>IFERROR(VLOOKUP(C690,TD!$B$32:$F$36,2,0)," ")</f>
        <v xml:space="preserve"> </v>
      </c>
      <c r="Q690" s="131" t="str">
        <f>IFERROR(VLOOKUP(C690,TD!$B$32:$F$36,3,0)," ")</f>
        <v xml:space="preserve"> </v>
      </c>
      <c r="R690" s="131" t="str">
        <f>IFERROR(VLOOKUP(C690,TD!$B$32:$F$36,4,0)," ")</f>
        <v xml:space="preserve"> </v>
      </c>
      <c r="S690" s="54"/>
      <c r="T690" s="131" t="str">
        <f>IFERROR(VLOOKUP(S690,TD!$J$33:$K$43,2,0)," ")</f>
        <v xml:space="preserve"> </v>
      </c>
      <c r="U690" s="54" t="str">
        <f t="shared" si="40"/>
        <v xml:space="preserve">- </v>
      </c>
      <c r="V690" s="54"/>
      <c r="W690" s="131" t="str">
        <f>IFERROR(VLOOKUP(V690,TD!$N$33:$O$45,2,0)," ")</f>
        <v xml:space="preserve"> </v>
      </c>
      <c r="X690" s="54" t="str">
        <f t="shared" si="41"/>
        <v xml:space="preserve">_ </v>
      </c>
      <c r="Y690" s="54" t="str">
        <f t="shared" si="42"/>
        <v xml:space="preserve">-  _ </v>
      </c>
      <c r="Z690" s="131" t="str">
        <f t="shared" si="43"/>
        <v xml:space="preserve">   </v>
      </c>
      <c r="AA690" s="131" t="str">
        <f>IFERROR(VLOOKUP(Y690,TD!$K$46:$L$64,2,0)," ")</f>
        <v xml:space="preserve"> </v>
      </c>
      <c r="AB690" s="57"/>
      <c r="AC690" s="132"/>
    </row>
    <row r="691" spans="2:29" s="28" customFormat="1">
      <c r="B691" s="85"/>
      <c r="C691" s="53"/>
      <c r="D691" s="129"/>
      <c r="E691" s="54"/>
      <c r="F691" s="129"/>
      <c r="G691" s="129"/>
      <c r="H691" s="55"/>
      <c r="I691" s="133"/>
      <c r="J691" s="130"/>
      <c r="K691" s="56"/>
      <c r="L691" s="57"/>
      <c r="M691" s="129"/>
      <c r="N691" s="57"/>
      <c r="O691" s="54"/>
      <c r="P691" s="131" t="str">
        <f>IFERROR(VLOOKUP(C691,TD!$B$32:$F$36,2,0)," ")</f>
        <v xml:space="preserve"> </v>
      </c>
      <c r="Q691" s="131" t="str">
        <f>IFERROR(VLOOKUP(C691,TD!$B$32:$F$36,3,0)," ")</f>
        <v xml:space="preserve"> </v>
      </c>
      <c r="R691" s="131" t="str">
        <f>IFERROR(VLOOKUP(C691,TD!$B$32:$F$36,4,0)," ")</f>
        <v xml:space="preserve"> </v>
      </c>
      <c r="S691" s="54"/>
      <c r="T691" s="131" t="str">
        <f>IFERROR(VLOOKUP(S691,TD!$J$33:$K$43,2,0)," ")</f>
        <v xml:space="preserve"> </v>
      </c>
      <c r="U691" s="54" t="str">
        <f t="shared" si="40"/>
        <v xml:space="preserve">- </v>
      </c>
      <c r="V691" s="54"/>
      <c r="W691" s="131" t="str">
        <f>IFERROR(VLOOKUP(V691,TD!$N$33:$O$45,2,0)," ")</f>
        <v xml:space="preserve"> </v>
      </c>
      <c r="X691" s="54" t="str">
        <f t="shared" si="41"/>
        <v xml:space="preserve">_ </v>
      </c>
      <c r="Y691" s="54" t="str">
        <f t="shared" si="42"/>
        <v xml:space="preserve">-  _ </v>
      </c>
      <c r="Z691" s="131" t="str">
        <f t="shared" si="43"/>
        <v xml:space="preserve">   </v>
      </c>
      <c r="AA691" s="131" t="str">
        <f>IFERROR(VLOOKUP(Y691,TD!$K$46:$L$64,2,0)," ")</f>
        <v xml:space="preserve"> </v>
      </c>
      <c r="AB691" s="57"/>
      <c r="AC691" s="132"/>
    </row>
    <row r="692" spans="2:29" s="28" customFormat="1">
      <c r="B692" s="85"/>
      <c r="C692" s="53"/>
      <c r="D692" s="129"/>
      <c r="E692" s="54"/>
      <c r="F692" s="129"/>
      <c r="G692" s="129"/>
      <c r="H692" s="55"/>
      <c r="I692" s="133"/>
      <c r="J692" s="130"/>
      <c r="K692" s="56"/>
      <c r="L692" s="57"/>
      <c r="M692" s="129"/>
      <c r="N692" s="57"/>
      <c r="O692" s="54"/>
      <c r="P692" s="131" t="str">
        <f>IFERROR(VLOOKUP(C692,TD!$B$32:$F$36,2,0)," ")</f>
        <v xml:space="preserve"> </v>
      </c>
      <c r="Q692" s="131" t="str">
        <f>IFERROR(VLOOKUP(C692,TD!$B$32:$F$36,3,0)," ")</f>
        <v xml:space="preserve"> </v>
      </c>
      <c r="R692" s="131" t="str">
        <f>IFERROR(VLOOKUP(C692,TD!$B$32:$F$36,4,0)," ")</f>
        <v xml:space="preserve"> </v>
      </c>
      <c r="S692" s="54"/>
      <c r="T692" s="131" t="str">
        <f>IFERROR(VLOOKUP(S692,TD!$J$33:$K$43,2,0)," ")</f>
        <v xml:space="preserve"> </v>
      </c>
      <c r="U692" s="54" t="str">
        <f t="shared" si="40"/>
        <v xml:space="preserve">- </v>
      </c>
      <c r="V692" s="54"/>
      <c r="W692" s="131" t="str">
        <f>IFERROR(VLOOKUP(V692,TD!$N$33:$O$45,2,0)," ")</f>
        <v xml:space="preserve"> </v>
      </c>
      <c r="X692" s="54" t="str">
        <f t="shared" si="41"/>
        <v xml:space="preserve">_ </v>
      </c>
      <c r="Y692" s="54" t="str">
        <f t="shared" si="42"/>
        <v xml:space="preserve">-  _ </v>
      </c>
      <c r="Z692" s="131" t="str">
        <f t="shared" si="43"/>
        <v xml:space="preserve">   </v>
      </c>
      <c r="AA692" s="131" t="str">
        <f>IFERROR(VLOOKUP(Y692,TD!$K$46:$L$64,2,0)," ")</f>
        <v xml:space="preserve"> </v>
      </c>
      <c r="AB692" s="57"/>
      <c r="AC692" s="132"/>
    </row>
    <row r="693" spans="2:29" s="28" customFormat="1">
      <c r="B693" s="85"/>
      <c r="C693" s="53"/>
      <c r="D693" s="129"/>
      <c r="E693" s="54"/>
      <c r="F693" s="129"/>
      <c r="G693" s="129"/>
      <c r="H693" s="55"/>
      <c r="I693" s="133"/>
      <c r="J693" s="130"/>
      <c r="K693" s="56"/>
      <c r="L693" s="57"/>
      <c r="M693" s="129"/>
      <c r="N693" s="57"/>
      <c r="O693" s="54"/>
      <c r="P693" s="131" t="str">
        <f>IFERROR(VLOOKUP(C693,TD!$B$32:$F$36,2,0)," ")</f>
        <v xml:space="preserve"> </v>
      </c>
      <c r="Q693" s="131" t="str">
        <f>IFERROR(VLOOKUP(C693,TD!$B$32:$F$36,3,0)," ")</f>
        <v xml:space="preserve"> </v>
      </c>
      <c r="R693" s="131" t="str">
        <f>IFERROR(VLOOKUP(C693,TD!$B$32:$F$36,4,0)," ")</f>
        <v xml:space="preserve"> </v>
      </c>
      <c r="S693" s="54"/>
      <c r="T693" s="131" t="str">
        <f>IFERROR(VLOOKUP(S693,TD!$J$33:$K$43,2,0)," ")</f>
        <v xml:space="preserve"> </v>
      </c>
      <c r="U693" s="54" t="str">
        <f t="shared" si="40"/>
        <v xml:space="preserve">- </v>
      </c>
      <c r="V693" s="54"/>
      <c r="W693" s="131" t="str">
        <f>IFERROR(VLOOKUP(V693,TD!$N$33:$O$45,2,0)," ")</f>
        <v xml:space="preserve"> </v>
      </c>
      <c r="X693" s="54" t="str">
        <f t="shared" si="41"/>
        <v xml:space="preserve">_ </v>
      </c>
      <c r="Y693" s="54" t="str">
        <f t="shared" si="42"/>
        <v xml:space="preserve">-  _ </v>
      </c>
      <c r="Z693" s="131" t="str">
        <f t="shared" si="43"/>
        <v xml:space="preserve">   </v>
      </c>
      <c r="AA693" s="131" t="str">
        <f>IFERROR(VLOOKUP(Y693,TD!$K$46:$L$64,2,0)," ")</f>
        <v xml:space="preserve"> </v>
      </c>
      <c r="AB693" s="57"/>
      <c r="AC693" s="132"/>
    </row>
    <row r="694" spans="2:29" s="28" customFormat="1">
      <c r="B694" s="85"/>
      <c r="C694" s="53"/>
      <c r="D694" s="129"/>
      <c r="E694" s="54"/>
      <c r="F694" s="129"/>
      <c r="G694" s="129"/>
      <c r="H694" s="55"/>
      <c r="I694" s="133"/>
      <c r="J694" s="130"/>
      <c r="K694" s="56"/>
      <c r="L694" s="57"/>
      <c r="M694" s="129"/>
      <c r="N694" s="57"/>
      <c r="O694" s="54"/>
      <c r="P694" s="131" t="str">
        <f>IFERROR(VLOOKUP(C694,TD!$B$32:$F$36,2,0)," ")</f>
        <v xml:space="preserve"> </v>
      </c>
      <c r="Q694" s="131" t="str">
        <f>IFERROR(VLOOKUP(C694,TD!$B$32:$F$36,3,0)," ")</f>
        <v xml:space="preserve"> </v>
      </c>
      <c r="R694" s="131" t="str">
        <f>IFERROR(VLOOKUP(C694,TD!$B$32:$F$36,4,0)," ")</f>
        <v xml:space="preserve"> </v>
      </c>
      <c r="S694" s="54"/>
      <c r="T694" s="131" t="str">
        <f>IFERROR(VLOOKUP(S694,TD!$J$33:$K$43,2,0)," ")</f>
        <v xml:space="preserve"> </v>
      </c>
      <c r="U694" s="54" t="str">
        <f t="shared" si="40"/>
        <v xml:space="preserve">- </v>
      </c>
      <c r="V694" s="54"/>
      <c r="W694" s="131" t="str">
        <f>IFERROR(VLOOKUP(V694,TD!$N$33:$O$45,2,0)," ")</f>
        <v xml:space="preserve"> </v>
      </c>
      <c r="X694" s="54" t="str">
        <f t="shared" si="41"/>
        <v xml:space="preserve">_ </v>
      </c>
      <c r="Y694" s="54" t="str">
        <f t="shared" si="42"/>
        <v xml:space="preserve">-  _ </v>
      </c>
      <c r="Z694" s="131" t="str">
        <f t="shared" si="43"/>
        <v xml:space="preserve">   </v>
      </c>
      <c r="AA694" s="131" t="str">
        <f>IFERROR(VLOOKUP(Y694,TD!$K$46:$L$64,2,0)," ")</f>
        <v xml:space="preserve"> </v>
      </c>
      <c r="AB694" s="57"/>
      <c r="AC694" s="132"/>
    </row>
    <row r="695" spans="2:29" s="28" customFormat="1">
      <c r="B695" s="85"/>
      <c r="C695" s="53"/>
      <c r="D695" s="129"/>
      <c r="E695" s="54"/>
      <c r="F695" s="129"/>
      <c r="G695" s="129"/>
      <c r="H695" s="55"/>
      <c r="I695" s="133"/>
      <c r="J695" s="130"/>
      <c r="K695" s="56"/>
      <c r="L695" s="57"/>
      <c r="M695" s="129"/>
      <c r="N695" s="57"/>
      <c r="O695" s="54"/>
      <c r="P695" s="131" t="str">
        <f>IFERROR(VLOOKUP(C695,TD!$B$32:$F$36,2,0)," ")</f>
        <v xml:space="preserve"> </v>
      </c>
      <c r="Q695" s="131" t="str">
        <f>IFERROR(VLOOKUP(C695,TD!$B$32:$F$36,3,0)," ")</f>
        <v xml:space="preserve"> </v>
      </c>
      <c r="R695" s="131" t="str">
        <f>IFERROR(VLOOKUP(C695,TD!$B$32:$F$36,4,0)," ")</f>
        <v xml:space="preserve"> </v>
      </c>
      <c r="S695" s="54"/>
      <c r="T695" s="131" t="str">
        <f>IFERROR(VLOOKUP(S695,TD!$J$33:$K$43,2,0)," ")</f>
        <v xml:space="preserve"> </v>
      </c>
      <c r="U695" s="54" t="str">
        <f t="shared" si="40"/>
        <v xml:space="preserve">- </v>
      </c>
      <c r="V695" s="54"/>
      <c r="W695" s="131" t="str">
        <f>IFERROR(VLOOKUP(V695,TD!$N$33:$O$45,2,0)," ")</f>
        <v xml:space="preserve"> </v>
      </c>
      <c r="X695" s="54" t="str">
        <f t="shared" si="41"/>
        <v xml:space="preserve">_ </v>
      </c>
      <c r="Y695" s="54" t="str">
        <f t="shared" si="42"/>
        <v xml:space="preserve">-  _ </v>
      </c>
      <c r="Z695" s="131" t="str">
        <f t="shared" si="43"/>
        <v xml:space="preserve">   </v>
      </c>
      <c r="AA695" s="131" t="str">
        <f>IFERROR(VLOOKUP(Y695,TD!$K$46:$L$64,2,0)," ")</f>
        <v xml:space="preserve"> </v>
      </c>
      <c r="AB695" s="57"/>
      <c r="AC695" s="132"/>
    </row>
    <row r="696" spans="2:29" s="28" customFormat="1">
      <c r="B696" s="85"/>
      <c r="C696" s="53"/>
      <c r="D696" s="129"/>
      <c r="E696" s="54"/>
      <c r="F696" s="129"/>
      <c r="G696" s="129"/>
      <c r="H696" s="55"/>
      <c r="I696" s="133"/>
      <c r="J696" s="130"/>
      <c r="K696" s="56"/>
      <c r="L696" s="57"/>
      <c r="M696" s="129"/>
      <c r="N696" s="57"/>
      <c r="O696" s="54"/>
      <c r="P696" s="131" t="str">
        <f>IFERROR(VLOOKUP(C696,TD!$B$32:$F$36,2,0)," ")</f>
        <v xml:space="preserve"> </v>
      </c>
      <c r="Q696" s="131" t="str">
        <f>IFERROR(VLOOKUP(C696,TD!$B$32:$F$36,3,0)," ")</f>
        <v xml:space="preserve"> </v>
      </c>
      <c r="R696" s="131" t="str">
        <f>IFERROR(VLOOKUP(C696,TD!$B$32:$F$36,4,0)," ")</f>
        <v xml:space="preserve"> </v>
      </c>
      <c r="S696" s="54"/>
      <c r="T696" s="131" t="str">
        <f>IFERROR(VLOOKUP(S696,TD!$J$33:$K$43,2,0)," ")</f>
        <v xml:space="preserve"> </v>
      </c>
      <c r="U696" s="54" t="str">
        <f t="shared" si="40"/>
        <v xml:space="preserve">- </v>
      </c>
      <c r="V696" s="54"/>
      <c r="W696" s="131" t="str">
        <f>IFERROR(VLOOKUP(V696,TD!$N$33:$O$45,2,0)," ")</f>
        <v xml:space="preserve"> </v>
      </c>
      <c r="X696" s="54" t="str">
        <f t="shared" si="41"/>
        <v xml:space="preserve">_ </v>
      </c>
      <c r="Y696" s="54" t="str">
        <f t="shared" si="42"/>
        <v xml:space="preserve">-  _ </v>
      </c>
      <c r="Z696" s="131" t="str">
        <f t="shared" si="43"/>
        <v xml:space="preserve">   </v>
      </c>
      <c r="AA696" s="131" t="str">
        <f>IFERROR(VLOOKUP(Y696,TD!$K$46:$L$64,2,0)," ")</f>
        <v xml:space="preserve"> </v>
      </c>
      <c r="AB696" s="57"/>
      <c r="AC696" s="132"/>
    </row>
    <row r="697" spans="2:29" s="28" customFormat="1">
      <c r="B697" s="85"/>
      <c r="C697" s="53"/>
      <c r="D697" s="129"/>
      <c r="E697" s="54"/>
      <c r="F697" s="129"/>
      <c r="G697" s="129"/>
      <c r="H697" s="55"/>
      <c r="I697" s="133"/>
      <c r="J697" s="130"/>
      <c r="K697" s="56"/>
      <c r="L697" s="57"/>
      <c r="M697" s="129"/>
      <c r="N697" s="57"/>
      <c r="O697" s="54"/>
      <c r="P697" s="131" t="str">
        <f>IFERROR(VLOOKUP(C697,TD!$B$32:$F$36,2,0)," ")</f>
        <v xml:space="preserve"> </v>
      </c>
      <c r="Q697" s="131" t="str">
        <f>IFERROR(VLOOKUP(C697,TD!$B$32:$F$36,3,0)," ")</f>
        <v xml:space="preserve"> </v>
      </c>
      <c r="R697" s="131" t="str">
        <f>IFERROR(VLOOKUP(C697,TD!$B$32:$F$36,4,0)," ")</f>
        <v xml:space="preserve"> </v>
      </c>
      <c r="S697" s="54"/>
      <c r="T697" s="131" t="str">
        <f>IFERROR(VLOOKUP(S697,TD!$J$33:$K$43,2,0)," ")</f>
        <v xml:space="preserve"> </v>
      </c>
      <c r="U697" s="54" t="str">
        <f t="shared" si="40"/>
        <v xml:space="preserve">- </v>
      </c>
      <c r="V697" s="54"/>
      <c r="W697" s="131" t="str">
        <f>IFERROR(VLOOKUP(V697,TD!$N$33:$O$45,2,0)," ")</f>
        <v xml:space="preserve"> </v>
      </c>
      <c r="X697" s="54" t="str">
        <f t="shared" si="41"/>
        <v xml:space="preserve">_ </v>
      </c>
      <c r="Y697" s="54" t="str">
        <f t="shared" si="42"/>
        <v xml:space="preserve">-  _ </v>
      </c>
      <c r="Z697" s="131" t="str">
        <f t="shared" si="43"/>
        <v xml:space="preserve">   </v>
      </c>
      <c r="AA697" s="131" t="str">
        <f>IFERROR(VLOOKUP(Y697,TD!$K$46:$L$64,2,0)," ")</f>
        <v xml:space="preserve"> </v>
      </c>
      <c r="AB697" s="57"/>
      <c r="AC697" s="132"/>
    </row>
    <row r="698" spans="2:29" s="28" customFormat="1">
      <c r="B698" s="85"/>
      <c r="C698" s="53"/>
      <c r="D698" s="129"/>
      <c r="E698" s="54"/>
      <c r="F698" s="129"/>
      <c r="G698" s="129"/>
      <c r="H698" s="55"/>
      <c r="I698" s="133"/>
      <c r="J698" s="130"/>
      <c r="K698" s="56"/>
      <c r="L698" s="57"/>
      <c r="M698" s="129"/>
      <c r="N698" s="57"/>
      <c r="O698" s="54"/>
      <c r="P698" s="131" t="str">
        <f>IFERROR(VLOOKUP(C698,TD!$B$32:$F$36,2,0)," ")</f>
        <v xml:space="preserve"> </v>
      </c>
      <c r="Q698" s="131" t="str">
        <f>IFERROR(VLOOKUP(C698,TD!$B$32:$F$36,3,0)," ")</f>
        <v xml:space="preserve"> </v>
      </c>
      <c r="R698" s="131" t="str">
        <f>IFERROR(VLOOKUP(C698,TD!$B$32:$F$36,4,0)," ")</f>
        <v xml:space="preserve"> </v>
      </c>
      <c r="S698" s="54"/>
      <c r="T698" s="131" t="str">
        <f>IFERROR(VLOOKUP(S698,TD!$J$33:$K$43,2,0)," ")</f>
        <v xml:space="preserve"> </v>
      </c>
      <c r="U698" s="54" t="str">
        <f t="shared" si="40"/>
        <v xml:space="preserve">- </v>
      </c>
      <c r="V698" s="54"/>
      <c r="W698" s="131" t="str">
        <f>IFERROR(VLOOKUP(V698,TD!$N$33:$O$45,2,0)," ")</f>
        <v xml:space="preserve"> </v>
      </c>
      <c r="X698" s="54" t="str">
        <f t="shared" si="41"/>
        <v xml:space="preserve">_ </v>
      </c>
      <c r="Y698" s="54" t="str">
        <f t="shared" si="42"/>
        <v xml:space="preserve">-  _ </v>
      </c>
      <c r="Z698" s="131" t="str">
        <f t="shared" si="43"/>
        <v xml:space="preserve">   </v>
      </c>
      <c r="AA698" s="131" t="str">
        <f>IFERROR(VLOOKUP(Y698,TD!$K$46:$L$64,2,0)," ")</f>
        <v xml:space="preserve"> </v>
      </c>
      <c r="AB698" s="57"/>
      <c r="AC698" s="132"/>
    </row>
    <row r="699" spans="2:29" s="28" customFormat="1">
      <c r="B699" s="85"/>
      <c r="C699" s="53"/>
      <c r="D699" s="129"/>
      <c r="E699" s="54"/>
      <c r="F699" s="129"/>
      <c r="G699" s="129"/>
      <c r="H699" s="55"/>
      <c r="I699" s="133"/>
      <c r="J699" s="130"/>
      <c r="K699" s="56"/>
      <c r="L699" s="57"/>
      <c r="M699" s="129"/>
      <c r="N699" s="57"/>
      <c r="O699" s="54"/>
      <c r="P699" s="131" t="str">
        <f>IFERROR(VLOOKUP(C699,TD!$B$32:$F$36,2,0)," ")</f>
        <v xml:space="preserve"> </v>
      </c>
      <c r="Q699" s="131" t="str">
        <f>IFERROR(VLOOKUP(C699,TD!$B$32:$F$36,3,0)," ")</f>
        <v xml:space="preserve"> </v>
      </c>
      <c r="R699" s="131" t="str">
        <f>IFERROR(VLOOKUP(C699,TD!$B$32:$F$36,4,0)," ")</f>
        <v xml:space="preserve"> </v>
      </c>
      <c r="S699" s="54"/>
      <c r="T699" s="131" t="str">
        <f>IFERROR(VLOOKUP(S699,TD!$J$33:$K$43,2,0)," ")</f>
        <v xml:space="preserve"> </v>
      </c>
      <c r="U699" s="54" t="str">
        <f t="shared" si="40"/>
        <v xml:space="preserve">- </v>
      </c>
      <c r="V699" s="54"/>
      <c r="W699" s="131" t="str">
        <f>IFERROR(VLOOKUP(V699,TD!$N$33:$O$45,2,0)," ")</f>
        <v xml:space="preserve"> </v>
      </c>
      <c r="X699" s="54" t="str">
        <f t="shared" si="41"/>
        <v xml:space="preserve">_ </v>
      </c>
      <c r="Y699" s="54" t="str">
        <f t="shared" si="42"/>
        <v xml:space="preserve">-  _ </v>
      </c>
      <c r="Z699" s="131" t="str">
        <f t="shared" si="43"/>
        <v xml:space="preserve">   </v>
      </c>
      <c r="AA699" s="131" t="str">
        <f>IFERROR(VLOOKUP(Y699,TD!$K$46:$L$64,2,0)," ")</f>
        <v xml:space="preserve"> </v>
      </c>
      <c r="AB699" s="57"/>
      <c r="AC699" s="132"/>
    </row>
    <row r="700" spans="2:29" s="28" customFormat="1">
      <c r="B700" s="85"/>
      <c r="C700" s="53"/>
      <c r="D700" s="129"/>
      <c r="E700" s="54"/>
      <c r="F700" s="129"/>
      <c r="G700" s="129"/>
      <c r="H700" s="55"/>
      <c r="I700" s="133"/>
      <c r="J700" s="130"/>
      <c r="K700" s="56"/>
      <c r="L700" s="57"/>
      <c r="M700" s="129"/>
      <c r="N700" s="57"/>
      <c r="O700" s="54"/>
      <c r="P700" s="131" t="str">
        <f>IFERROR(VLOOKUP(C700,TD!$B$32:$F$36,2,0)," ")</f>
        <v xml:space="preserve"> </v>
      </c>
      <c r="Q700" s="131" t="str">
        <f>IFERROR(VLOOKUP(C700,TD!$B$32:$F$36,3,0)," ")</f>
        <v xml:space="preserve"> </v>
      </c>
      <c r="R700" s="131" t="str">
        <f>IFERROR(VLOOKUP(C700,TD!$B$32:$F$36,4,0)," ")</f>
        <v xml:space="preserve"> </v>
      </c>
      <c r="S700" s="54"/>
      <c r="T700" s="131" t="str">
        <f>IFERROR(VLOOKUP(S700,TD!$J$33:$K$43,2,0)," ")</f>
        <v xml:space="preserve"> </v>
      </c>
      <c r="U700" s="54" t="str">
        <f t="shared" si="40"/>
        <v xml:space="preserve">- </v>
      </c>
      <c r="V700" s="54"/>
      <c r="W700" s="131" t="str">
        <f>IFERROR(VLOOKUP(V700,TD!$N$33:$O$45,2,0)," ")</f>
        <v xml:space="preserve"> </v>
      </c>
      <c r="X700" s="54" t="str">
        <f t="shared" si="41"/>
        <v xml:space="preserve">_ </v>
      </c>
      <c r="Y700" s="54" t="str">
        <f t="shared" si="42"/>
        <v xml:space="preserve">-  _ </v>
      </c>
      <c r="Z700" s="131" t="str">
        <f t="shared" si="43"/>
        <v xml:space="preserve">   </v>
      </c>
      <c r="AA700" s="131" t="str">
        <f>IFERROR(VLOOKUP(Y700,TD!$K$46:$L$64,2,0)," ")</f>
        <v xml:space="preserve"> </v>
      </c>
      <c r="AB700" s="57"/>
      <c r="AC700" s="132"/>
    </row>
    <row r="701" spans="2:29" s="28" customFormat="1">
      <c r="B701" s="85"/>
      <c r="C701" s="53"/>
      <c r="D701" s="129"/>
      <c r="E701" s="54"/>
      <c r="F701" s="129"/>
      <c r="G701" s="129"/>
      <c r="H701" s="55"/>
      <c r="I701" s="133"/>
      <c r="J701" s="130"/>
      <c r="K701" s="56"/>
      <c r="L701" s="57"/>
      <c r="M701" s="129"/>
      <c r="N701" s="57"/>
      <c r="O701" s="54"/>
      <c r="P701" s="131" t="str">
        <f>IFERROR(VLOOKUP(C701,TD!$B$32:$F$36,2,0)," ")</f>
        <v xml:space="preserve"> </v>
      </c>
      <c r="Q701" s="131" t="str">
        <f>IFERROR(VLOOKUP(C701,TD!$B$32:$F$36,3,0)," ")</f>
        <v xml:space="preserve"> </v>
      </c>
      <c r="R701" s="131" t="str">
        <f>IFERROR(VLOOKUP(C701,TD!$B$32:$F$36,4,0)," ")</f>
        <v xml:space="preserve"> </v>
      </c>
      <c r="S701" s="54"/>
      <c r="T701" s="131" t="str">
        <f>IFERROR(VLOOKUP(S701,TD!$J$33:$K$43,2,0)," ")</f>
        <v xml:space="preserve"> </v>
      </c>
      <c r="U701" s="54" t="str">
        <f t="shared" si="40"/>
        <v xml:space="preserve">- </v>
      </c>
      <c r="V701" s="54"/>
      <c r="W701" s="131" t="str">
        <f>IFERROR(VLOOKUP(V701,TD!$N$33:$O$45,2,0)," ")</f>
        <v xml:space="preserve"> </v>
      </c>
      <c r="X701" s="54" t="str">
        <f t="shared" si="41"/>
        <v xml:space="preserve">_ </v>
      </c>
      <c r="Y701" s="54" t="str">
        <f t="shared" si="42"/>
        <v xml:space="preserve">-  _ </v>
      </c>
      <c r="Z701" s="131" t="str">
        <f t="shared" si="43"/>
        <v xml:space="preserve">   </v>
      </c>
      <c r="AA701" s="131" t="str">
        <f>IFERROR(VLOOKUP(Y701,TD!$K$46:$L$64,2,0)," ")</f>
        <v xml:space="preserve"> </v>
      </c>
      <c r="AB701" s="57"/>
      <c r="AC701" s="132"/>
    </row>
    <row r="702" spans="2:29" s="28" customFormat="1">
      <c r="B702" s="85"/>
      <c r="C702" s="53"/>
      <c r="D702" s="129"/>
      <c r="E702" s="54"/>
      <c r="F702" s="129"/>
      <c r="G702" s="129"/>
      <c r="H702" s="55"/>
      <c r="I702" s="133"/>
      <c r="J702" s="130"/>
      <c r="K702" s="56"/>
      <c r="L702" s="57"/>
      <c r="M702" s="129"/>
      <c r="N702" s="57"/>
      <c r="O702" s="54"/>
      <c r="P702" s="131" t="str">
        <f>IFERROR(VLOOKUP(C702,TD!$B$32:$F$36,2,0)," ")</f>
        <v xml:space="preserve"> </v>
      </c>
      <c r="Q702" s="131" t="str">
        <f>IFERROR(VLOOKUP(C702,TD!$B$32:$F$36,3,0)," ")</f>
        <v xml:space="preserve"> </v>
      </c>
      <c r="R702" s="131" t="str">
        <f>IFERROR(VLOOKUP(C702,TD!$B$32:$F$36,4,0)," ")</f>
        <v xml:space="preserve"> </v>
      </c>
      <c r="S702" s="54"/>
      <c r="T702" s="131" t="str">
        <f>IFERROR(VLOOKUP(S702,TD!$J$33:$K$43,2,0)," ")</f>
        <v xml:space="preserve"> </v>
      </c>
      <c r="U702" s="54" t="str">
        <f t="shared" si="40"/>
        <v xml:space="preserve">- </v>
      </c>
      <c r="V702" s="54"/>
      <c r="W702" s="131" t="str">
        <f>IFERROR(VLOOKUP(V702,TD!$N$33:$O$45,2,0)," ")</f>
        <v xml:space="preserve"> </v>
      </c>
      <c r="X702" s="54" t="str">
        <f t="shared" si="41"/>
        <v xml:space="preserve">_ </v>
      </c>
      <c r="Y702" s="54" t="str">
        <f t="shared" si="42"/>
        <v xml:space="preserve">-  _ </v>
      </c>
      <c r="Z702" s="131" t="str">
        <f t="shared" si="43"/>
        <v xml:space="preserve">   </v>
      </c>
      <c r="AA702" s="131" t="str">
        <f>IFERROR(VLOOKUP(Y702,TD!$K$46:$L$64,2,0)," ")</f>
        <v xml:space="preserve"> </v>
      </c>
      <c r="AB702" s="57"/>
      <c r="AC702" s="132"/>
    </row>
    <row r="703" spans="2:29" s="28" customFormat="1">
      <c r="B703" s="85"/>
      <c r="C703" s="53"/>
      <c r="D703" s="129"/>
      <c r="E703" s="54"/>
      <c r="F703" s="129"/>
      <c r="G703" s="129"/>
      <c r="H703" s="55"/>
      <c r="I703" s="133"/>
      <c r="J703" s="130"/>
      <c r="K703" s="56"/>
      <c r="L703" s="57"/>
      <c r="M703" s="129"/>
      <c r="N703" s="57"/>
      <c r="O703" s="54"/>
      <c r="P703" s="131" t="str">
        <f>IFERROR(VLOOKUP(C703,TD!$B$32:$F$36,2,0)," ")</f>
        <v xml:space="preserve"> </v>
      </c>
      <c r="Q703" s="131" t="str">
        <f>IFERROR(VLOOKUP(C703,TD!$B$32:$F$36,3,0)," ")</f>
        <v xml:space="preserve"> </v>
      </c>
      <c r="R703" s="131" t="str">
        <f>IFERROR(VLOOKUP(C703,TD!$B$32:$F$36,4,0)," ")</f>
        <v xml:space="preserve"> </v>
      </c>
      <c r="S703" s="54"/>
      <c r="T703" s="131" t="str">
        <f>IFERROR(VLOOKUP(S703,TD!$J$33:$K$43,2,0)," ")</f>
        <v xml:space="preserve"> </v>
      </c>
      <c r="U703" s="54" t="str">
        <f t="shared" si="40"/>
        <v xml:space="preserve">- </v>
      </c>
      <c r="V703" s="54"/>
      <c r="W703" s="131" t="str">
        <f>IFERROR(VLOOKUP(V703,TD!$N$33:$O$45,2,0)," ")</f>
        <v xml:space="preserve"> </v>
      </c>
      <c r="X703" s="54" t="str">
        <f t="shared" si="41"/>
        <v xml:space="preserve">_ </v>
      </c>
      <c r="Y703" s="54" t="str">
        <f t="shared" si="42"/>
        <v xml:space="preserve">-  _ </v>
      </c>
      <c r="Z703" s="131" t="str">
        <f t="shared" si="43"/>
        <v xml:space="preserve">   </v>
      </c>
      <c r="AA703" s="131" t="str">
        <f>IFERROR(VLOOKUP(Y703,TD!$K$46:$L$64,2,0)," ")</f>
        <v xml:space="preserve"> </v>
      </c>
      <c r="AB703" s="57"/>
      <c r="AC703" s="132"/>
    </row>
    <row r="704" spans="2:29" s="28" customFormat="1">
      <c r="B704" s="85"/>
      <c r="C704" s="53"/>
      <c r="D704" s="129"/>
      <c r="E704" s="54"/>
      <c r="F704" s="129"/>
      <c r="G704" s="129"/>
      <c r="H704" s="55"/>
      <c r="I704" s="133"/>
      <c r="J704" s="130"/>
      <c r="K704" s="56"/>
      <c r="L704" s="57"/>
      <c r="M704" s="129"/>
      <c r="N704" s="57"/>
      <c r="O704" s="54"/>
      <c r="P704" s="131" t="str">
        <f>IFERROR(VLOOKUP(C704,TD!$B$32:$F$36,2,0)," ")</f>
        <v xml:space="preserve"> </v>
      </c>
      <c r="Q704" s="131" t="str">
        <f>IFERROR(VLOOKUP(C704,TD!$B$32:$F$36,3,0)," ")</f>
        <v xml:space="preserve"> </v>
      </c>
      <c r="R704" s="131" t="str">
        <f>IFERROR(VLOOKUP(C704,TD!$B$32:$F$36,4,0)," ")</f>
        <v xml:space="preserve"> </v>
      </c>
      <c r="S704" s="54"/>
      <c r="T704" s="131" t="str">
        <f>IFERROR(VLOOKUP(S704,TD!$J$33:$K$43,2,0)," ")</f>
        <v xml:space="preserve"> </v>
      </c>
      <c r="U704" s="54" t="str">
        <f t="shared" si="40"/>
        <v xml:space="preserve">- </v>
      </c>
      <c r="V704" s="54"/>
      <c r="W704" s="131" t="str">
        <f>IFERROR(VLOOKUP(V704,TD!$N$33:$O$45,2,0)," ")</f>
        <v xml:space="preserve"> </v>
      </c>
      <c r="X704" s="54" t="str">
        <f t="shared" si="41"/>
        <v xml:space="preserve">_ </v>
      </c>
      <c r="Y704" s="54" t="str">
        <f t="shared" si="42"/>
        <v xml:space="preserve">-  _ </v>
      </c>
      <c r="Z704" s="131" t="str">
        <f t="shared" si="43"/>
        <v xml:space="preserve">   </v>
      </c>
      <c r="AA704" s="131" t="str">
        <f>IFERROR(VLOOKUP(Y704,TD!$K$46:$L$64,2,0)," ")</f>
        <v xml:space="preserve"> </v>
      </c>
      <c r="AB704" s="57"/>
      <c r="AC704" s="132"/>
    </row>
    <row r="705" spans="2:29" s="28" customFormat="1">
      <c r="B705" s="85"/>
      <c r="C705" s="53"/>
      <c r="D705" s="129"/>
      <c r="E705" s="54"/>
      <c r="F705" s="129"/>
      <c r="G705" s="129"/>
      <c r="H705" s="55"/>
      <c r="I705" s="133"/>
      <c r="J705" s="130"/>
      <c r="K705" s="56"/>
      <c r="L705" s="57"/>
      <c r="M705" s="129"/>
      <c r="N705" s="57"/>
      <c r="O705" s="54"/>
      <c r="P705" s="131" t="str">
        <f>IFERROR(VLOOKUP(C705,TD!$B$32:$F$36,2,0)," ")</f>
        <v xml:space="preserve"> </v>
      </c>
      <c r="Q705" s="131" t="str">
        <f>IFERROR(VLOOKUP(C705,TD!$B$32:$F$36,3,0)," ")</f>
        <v xml:space="preserve"> </v>
      </c>
      <c r="R705" s="131" t="str">
        <f>IFERROR(VLOOKUP(C705,TD!$B$32:$F$36,4,0)," ")</f>
        <v xml:space="preserve"> </v>
      </c>
      <c r="S705" s="54"/>
      <c r="T705" s="131" t="str">
        <f>IFERROR(VLOOKUP(S705,TD!$J$33:$K$43,2,0)," ")</f>
        <v xml:space="preserve"> </v>
      </c>
      <c r="U705" s="54" t="str">
        <f t="shared" si="40"/>
        <v xml:space="preserve">- </v>
      </c>
      <c r="V705" s="54"/>
      <c r="W705" s="131" t="str">
        <f>IFERROR(VLOOKUP(V705,TD!$N$33:$O$45,2,0)," ")</f>
        <v xml:space="preserve"> </v>
      </c>
      <c r="X705" s="54" t="str">
        <f t="shared" si="41"/>
        <v xml:space="preserve">_ </v>
      </c>
      <c r="Y705" s="54" t="str">
        <f t="shared" si="42"/>
        <v xml:space="preserve">-  _ </v>
      </c>
      <c r="Z705" s="131" t="str">
        <f t="shared" si="43"/>
        <v xml:space="preserve">   </v>
      </c>
      <c r="AA705" s="131" t="str">
        <f>IFERROR(VLOOKUP(Y705,TD!$K$46:$L$64,2,0)," ")</f>
        <v xml:space="preserve"> </v>
      </c>
      <c r="AB705" s="57"/>
      <c r="AC705" s="132"/>
    </row>
    <row r="706" spans="2:29" s="28" customFormat="1">
      <c r="B706" s="85"/>
      <c r="C706" s="53"/>
      <c r="D706" s="129"/>
      <c r="E706" s="54"/>
      <c r="F706" s="129"/>
      <c r="G706" s="129"/>
      <c r="H706" s="55"/>
      <c r="I706" s="133"/>
      <c r="J706" s="130"/>
      <c r="K706" s="56"/>
      <c r="L706" s="57"/>
      <c r="M706" s="129"/>
      <c r="N706" s="57"/>
      <c r="O706" s="54"/>
      <c r="P706" s="131" t="str">
        <f>IFERROR(VLOOKUP(C706,TD!$B$32:$F$36,2,0)," ")</f>
        <v xml:space="preserve"> </v>
      </c>
      <c r="Q706" s="131" t="str">
        <f>IFERROR(VLOOKUP(C706,TD!$B$32:$F$36,3,0)," ")</f>
        <v xml:space="preserve"> </v>
      </c>
      <c r="R706" s="131" t="str">
        <f>IFERROR(VLOOKUP(C706,TD!$B$32:$F$36,4,0)," ")</f>
        <v xml:space="preserve"> </v>
      </c>
      <c r="S706" s="54"/>
      <c r="T706" s="131" t="str">
        <f>IFERROR(VLOOKUP(S706,TD!$J$33:$K$43,2,0)," ")</f>
        <v xml:space="preserve"> </v>
      </c>
      <c r="U706" s="54" t="str">
        <f t="shared" si="40"/>
        <v xml:space="preserve">- </v>
      </c>
      <c r="V706" s="54"/>
      <c r="W706" s="131" t="str">
        <f>IFERROR(VLOOKUP(V706,TD!$N$33:$O$45,2,0)," ")</f>
        <v xml:space="preserve"> </v>
      </c>
      <c r="X706" s="54" t="str">
        <f t="shared" si="41"/>
        <v xml:space="preserve">_ </v>
      </c>
      <c r="Y706" s="54" t="str">
        <f t="shared" si="42"/>
        <v xml:space="preserve">-  _ </v>
      </c>
      <c r="Z706" s="131" t="str">
        <f t="shared" si="43"/>
        <v xml:space="preserve">   </v>
      </c>
      <c r="AA706" s="131" t="str">
        <f>IFERROR(VLOOKUP(Y706,TD!$K$46:$L$64,2,0)," ")</f>
        <v xml:space="preserve"> </v>
      </c>
      <c r="AB706" s="57"/>
      <c r="AC706" s="132"/>
    </row>
    <row r="707" spans="2:29" s="28" customFormat="1">
      <c r="B707" s="85"/>
      <c r="C707" s="53"/>
      <c r="D707" s="129"/>
      <c r="E707" s="54"/>
      <c r="F707" s="129"/>
      <c r="G707" s="129"/>
      <c r="H707" s="55"/>
      <c r="I707" s="133"/>
      <c r="J707" s="130"/>
      <c r="K707" s="56"/>
      <c r="L707" s="57"/>
      <c r="M707" s="129"/>
      <c r="N707" s="57"/>
      <c r="O707" s="54"/>
      <c r="P707" s="131" t="str">
        <f>IFERROR(VLOOKUP(C707,TD!$B$32:$F$36,2,0)," ")</f>
        <v xml:space="preserve"> </v>
      </c>
      <c r="Q707" s="131" t="str">
        <f>IFERROR(VLOOKUP(C707,TD!$B$32:$F$36,3,0)," ")</f>
        <v xml:space="preserve"> </v>
      </c>
      <c r="R707" s="131" t="str">
        <f>IFERROR(VLOOKUP(C707,TD!$B$32:$F$36,4,0)," ")</f>
        <v xml:space="preserve"> </v>
      </c>
      <c r="S707" s="54"/>
      <c r="T707" s="131" t="str">
        <f>IFERROR(VLOOKUP(S707,TD!$J$33:$K$43,2,0)," ")</f>
        <v xml:space="preserve"> </v>
      </c>
      <c r="U707" s="54" t="str">
        <f t="shared" si="40"/>
        <v xml:space="preserve">- </v>
      </c>
      <c r="V707" s="54"/>
      <c r="W707" s="131" t="str">
        <f>IFERROR(VLOOKUP(V707,TD!$N$33:$O$45,2,0)," ")</f>
        <v xml:space="preserve"> </v>
      </c>
      <c r="X707" s="54" t="str">
        <f t="shared" si="41"/>
        <v xml:space="preserve">_ </v>
      </c>
      <c r="Y707" s="54" t="str">
        <f t="shared" si="42"/>
        <v xml:space="preserve">-  _ </v>
      </c>
      <c r="Z707" s="131" t="str">
        <f t="shared" si="43"/>
        <v xml:space="preserve">   </v>
      </c>
      <c r="AA707" s="131" t="str">
        <f>IFERROR(VLOOKUP(Y707,TD!$K$46:$L$64,2,0)," ")</f>
        <v xml:space="preserve"> </v>
      </c>
      <c r="AB707" s="57"/>
      <c r="AC707" s="132"/>
    </row>
    <row r="708" spans="2:29" s="28" customFormat="1">
      <c r="B708" s="85"/>
      <c r="C708" s="53"/>
      <c r="D708" s="129"/>
      <c r="E708" s="54"/>
      <c r="F708" s="129"/>
      <c r="G708" s="129"/>
      <c r="H708" s="55"/>
      <c r="I708" s="133"/>
      <c r="J708" s="130"/>
      <c r="K708" s="56"/>
      <c r="L708" s="57"/>
      <c r="M708" s="129"/>
      <c r="N708" s="57"/>
      <c r="O708" s="54"/>
      <c r="P708" s="131" t="str">
        <f>IFERROR(VLOOKUP(C708,TD!$B$32:$F$36,2,0)," ")</f>
        <v xml:space="preserve"> </v>
      </c>
      <c r="Q708" s="131" t="str">
        <f>IFERROR(VLOOKUP(C708,TD!$B$32:$F$36,3,0)," ")</f>
        <v xml:space="preserve"> </v>
      </c>
      <c r="R708" s="131" t="str">
        <f>IFERROR(VLOOKUP(C708,TD!$B$32:$F$36,4,0)," ")</f>
        <v xml:space="preserve"> </v>
      </c>
      <c r="S708" s="54"/>
      <c r="T708" s="131" t="str">
        <f>IFERROR(VLOOKUP(S708,TD!$J$33:$K$43,2,0)," ")</f>
        <v xml:space="preserve"> </v>
      </c>
      <c r="U708" s="54" t="str">
        <f t="shared" si="40"/>
        <v xml:space="preserve">- </v>
      </c>
      <c r="V708" s="54"/>
      <c r="W708" s="131" t="str">
        <f>IFERROR(VLOOKUP(V708,TD!$N$33:$O$45,2,0)," ")</f>
        <v xml:space="preserve"> </v>
      </c>
      <c r="X708" s="54" t="str">
        <f t="shared" si="41"/>
        <v xml:space="preserve">_ </v>
      </c>
      <c r="Y708" s="54" t="str">
        <f t="shared" si="42"/>
        <v xml:space="preserve">-  _ </v>
      </c>
      <c r="Z708" s="131" t="str">
        <f t="shared" si="43"/>
        <v xml:space="preserve">   </v>
      </c>
      <c r="AA708" s="131" t="str">
        <f>IFERROR(VLOOKUP(Y708,TD!$K$46:$L$64,2,0)," ")</f>
        <v xml:space="preserve"> </v>
      </c>
      <c r="AB708" s="57"/>
      <c r="AC708" s="132"/>
    </row>
    <row r="709" spans="2:29" s="28" customFormat="1">
      <c r="B709" s="85"/>
      <c r="C709" s="53"/>
      <c r="D709" s="129"/>
      <c r="E709" s="54"/>
      <c r="F709" s="129"/>
      <c r="G709" s="129"/>
      <c r="H709" s="55"/>
      <c r="I709" s="133"/>
      <c r="J709" s="130"/>
      <c r="K709" s="56"/>
      <c r="L709" s="57"/>
      <c r="M709" s="129"/>
      <c r="N709" s="57"/>
      <c r="O709" s="54"/>
      <c r="P709" s="131" t="str">
        <f>IFERROR(VLOOKUP(C709,TD!$B$32:$F$36,2,0)," ")</f>
        <v xml:space="preserve"> </v>
      </c>
      <c r="Q709" s="131" t="str">
        <f>IFERROR(VLOOKUP(C709,TD!$B$32:$F$36,3,0)," ")</f>
        <v xml:space="preserve"> </v>
      </c>
      <c r="R709" s="131" t="str">
        <f>IFERROR(VLOOKUP(C709,TD!$B$32:$F$36,4,0)," ")</f>
        <v xml:space="preserve"> </v>
      </c>
      <c r="S709" s="54"/>
      <c r="T709" s="131" t="str">
        <f>IFERROR(VLOOKUP(S709,TD!$J$33:$K$43,2,0)," ")</f>
        <v xml:space="preserve"> </v>
      </c>
      <c r="U709" s="54" t="str">
        <f t="shared" si="40"/>
        <v xml:space="preserve">- </v>
      </c>
      <c r="V709" s="54"/>
      <c r="W709" s="131" t="str">
        <f>IFERROR(VLOOKUP(V709,TD!$N$33:$O$45,2,0)," ")</f>
        <v xml:space="preserve"> </v>
      </c>
      <c r="X709" s="54" t="str">
        <f t="shared" si="41"/>
        <v xml:space="preserve">_ </v>
      </c>
      <c r="Y709" s="54" t="str">
        <f t="shared" si="42"/>
        <v xml:space="preserve">-  _ </v>
      </c>
      <c r="Z709" s="131" t="str">
        <f t="shared" si="43"/>
        <v xml:space="preserve">   </v>
      </c>
      <c r="AA709" s="131" t="str">
        <f>IFERROR(VLOOKUP(Y709,TD!$K$46:$L$64,2,0)," ")</f>
        <v xml:space="preserve"> </v>
      </c>
      <c r="AB709" s="57"/>
      <c r="AC709" s="132"/>
    </row>
    <row r="710" spans="2:29" s="28" customFormat="1">
      <c r="B710" s="85"/>
      <c r="C710" s="53"/>
      <c r="D710" s="129"/>
      <c r="E710" s="54"/>
      <c r="F710" s="129"/>
      <c r="G710" s="129"/>
      <c r="H710" s="55"/>
      <c r="I710" s="133"/>
      <c r="J710" s="130"/>
      <c r="K710" s="56"/>
      <c r="L710" s="57"/>
      <c r="M710" s="129"/>
      <c r="N710" s="57"/>
      <c r="O710" s="54"/>
      <c r="P710" s="131" t="str">
        <f>IFERROR(VLOOKUP(C710,TD!$B$32:$F$36,2,0)," ")</f>
        <v xml:space="preserve"> </v>
      </c>
      <c r="Q710" s="131" t="str">
        <f>IFERROR(VLOOKUP(C710,TD!$B$32:$F$36,3,0)," ")</f>
        <v xml:space="preserve"> </v>
      </c>
      <c r="R710" s="131" t="str">
        <f>IFERROR(VLOOKUP(C710,TD!$B$32:$F$36,4,0)," ")</f>
        <v xml:space="preserve"> </v>
      </c>
      <c r="S710" s="54"/>
      <c r="T710" s="131" t="str">
        <f>IFERROR(VLOOKUP(S710,TD!$J$33:$K$43,2,0)," ")</f>
        <v xml:space="preserve"> </v>
      </c>
      <c r="U710" s="54" t="str">
        <f t="shared" si="40"/>
        <v xml:space="preserve">- </v>
      </c>
      <c r="V710" s="54"/>
      <c r="W710" s="131" t="str">
        <f>IFERROR(VLOOKUP(V710,TD!$N$33:$O$45,2,0)," ")</f>
        <v xml:space="preserve"> </v>
      </c>
      <c r="X710" s="54" t="str">
        <f t="shared" si="41"/>
        <v xml:space="preserve">_ </v>
      </c>
      <c r="Y710" s="54" t="str">
        <f t="shared" si="42"/>
        <v xml:space="preserve">-  _ </v>
      </c>
      <c r="Z710" s="131" t="str">
        <f t="shared" si="43"/>
        <v xml:space="preserve">   </v>
      </c>
      <c r="AA710" s="131" t="str">
        <f>IFERROR(VLOOKUP(Y710,TD!$K$46:$L$64,2,0)," ")</f>
        <v xml:space="preserve"> </v>
      </c>
      <c r="AB710" s="57"/>
      <c r="AC710" s="132"/>
    </row>
    <row r="711" spans="2:29" s="28" customFormat="1">
      <c r="B711" s="85"/>
      <c r="C711" s="53"/>
      <c r="D711" s="129"/>
      <c r="E711" s="54"/>
      <c r="F711" s="129"/>
      <c r="G711" s="129"/>
      <c r="H711" s="55"/>
      <c r="I711" s="133"/>
      <c r="J711" s="130"/>
      <c r="K711" s="56"/>
      <c r="L711" s="57"/>
      <c r="M711" s="129"/>
      <c r="N711" s="57"/>
      <c r="O711" s="54"/>
      <c r="P711" s="131" t="str">
        <f>IFERROR(VLOOKUP(C711,TD!$B$32:$F$36,2,0)," ")</f>
        <v xml:space="preserve"> </v>
      </c>
      <c r="Q711" s="131" t="str">
        <f>IFERROR(VLOOKUP(C711,TD!$B$32:$F$36,3,0)," ")</f>
        <v xml:space="preserve"> </v>
      </c>
      <c r="R711" s="131" t="str">
        <f>IFERROR(VLOOKUP(C711,TD!$B$32:$F$36,4,0)," ")</f>
        <v xml:space="preserve"> </v>
      </c>
      <c r="S711" s="54"/>
      <c r="T711" s="131" t="str">
        <f>IFERROR(VLOOKUP(S711,TD!$J$33:$K$43,2,0)," ")</f>
        <v xml:space="preserve"> </v>
      </c>
      <c r="U711" s="54" t="str">
        <f t="shared" si="40"/>
        <v xml:space="preserve">- </v>
      </c>
      <c r="V711" s="54"/>
      <c r="W711" s="131" t="str">
        <f>IFERROR(VLOOKUP(V711,TD!$N$33:$O$45,2,0)," ")</f>
        <v xml:space="preserve"> </v>
      </c>
      <c r="X711" s="54" t="str">
        <f t="shared" si="41"/>
        <v xml:space="preserve">_ </v>
      </c>
      <c r="Y711" s="54" t="str">
        <f t="shared" si="42"/>
        <v xml:space="preserve">-  _ </v>
      </c>
      <c r="Z711" s="131" t="str">
        <f t="shared" si="43"/>
        <v xml:space="preserve">   </v>
      </c>
      <c r="AA711" s="131" t="str">
        <f>IFERROR(VLOOKUP(Y711,TD!$K$46:$L$64,2,0)," ")</f>
        <v xml:space="preserve"> </v>
      </c>
      <c r="AB711" s="57"/>
      <c r="AC711" s="132"/>
    </row>
    <row r="712" spans="2:29" s="28" customFormat="1">
      <c r="B712" s="85"/>
      <c r="C712" s="53"/>
      <c r="D712" s="129"/>
      <c r="E712" s="54"/>
      <c r="F712" s="129"/>
      <c r="G712" s="129"/>
      <c r="H712" s="55"/>
      <c r="I712" s="133"/>
      <c r="J712" s="130"/>
      <c r="K712" s="56"/>
      <c r="L712" s="57"/>
      <c r="M712" s="129"/>
      <c r="N712" s="57"/>
      <c r="O712" s="54"/>
      <c r="P712" s="131" t="str">
        <f>IFERROR(VLOOKUP(C712,TD!$B$32:$F$36,2,0)," ")</f>
        <v xml:space="preserve"> </v>
      </c>
      <c r="Q712" s="131" t="str">
        <f>IFERROR(VLOOKUP(C712,TD!$B$32:$F$36,3,0)," ")</f>
        <v xml:space="preserve"> </v>
      </c>
      <c r="R712" s="131" t="str">
        <f>IFERROR(VLOOKUP(C712,TD!$B$32:$F$36,4,0)," ")</f>
        <v xml:space="preserve"> </v>
      </c>
      <c r="S712" s="54"/>
      <c r="T712" s="131" t="str">
        <f>IFERROR(VLOOKUP(S712,TD!$J$33:$K$43,2,0)," ")</f>
        <v xml:space="preserve"> </v>
      </c>
      <c r="U712" s="54" t="str">
        <f t="shared" si="40"/>
        <v xml:space="preserve">- </v>
      </c>
      <c r="V712" s="54"/>
      <c r="W712" s="131" t="str">
        <f>IFERROR(VLOOKUP(V712,TD!$N$33:$O$45,2,0)," ")</f>
        <v xml:space="preserve"> </v>
      </c>
      <c r="X712" s="54" t="str">
        <f t="shared" si="41"/>
        <v xml:space="preserve">_ </v>
      </c>
      <c r="Y712" s="54" t="str">
        <f t="shared" si="42"/>
        <v xml:space="preserve">-  _ </v>
      </c>
      <c r="Z712" s="131" t="str">
        <f t="shared" si="43"/>
        <v xml:space="preserve">   </v>
      </c>
      <c r="AA712" s="131" t="str">
        <f>IFERROR(VLOOKUP(Y712,TD!$K$46:$L$64,2,0)," ")</f>
        <v xml:space="preserve"> </v>
      </c>
      <c r="AB712" s="57"/>
      <c r="AC712" s="132"/>
    </row>
    <row r="713" spans="2:29" s="28" customFormat="1">
      <c r="B713" s="85"/>
      <c r="C713" s="53"/>
      <c r="D713" s="129"/>
      <c r="E713" s="54"/>
      <c r="F713" s="129"/>
      <c r="G713" s="129"/>
      <c r="H713" s="55"/>
      <c r="I713" s="133"/>
      <c r="J713" s="130"/>
      <c r="K713" s="56"/>
      <c r="L713" s="57"/>
      <c r="M713" s="129"/>
      <c r="N713" s="57"/>
      <c r="O713" s="54"/>
      <c r="P713" s="131" t="str">
        <f>IFERROR(VLOOKUP(C713,TD!$B$32:$F$36,2,0)," ")</f>
        <v xml:space="preserve"> </v>
      </c>
      <c r="Q713" s="131" t="str">
        <f>IFERROR(VLOOKUP(C713,TD!$B$32:$F$36,3,0)," ")</f>
        <v xml:space="preserve"> </v>
      </c>
      <c r="R713" s="131" t="str">
        <f>IFERROR(VLOOKUP(C713,TD!$B$32:$F$36,4,0)," ")</f>
        <v xml:space="preserve"> </v>
      </c>
      <c r="S713" s="54"/>
      <c r="T713" s="131" t="str">
        <f>IFERROR(VLOOKUP(S713,TD!$J$33:$K$43,2,0)," ")</f>
        <v xml:space="preserve"> </v>
      </c>
      <c r="U713" s="54" t="str">
        <f t="shared" si="40"/>
        <v xml:space="preserve">- </v>
      </c>
      <c r="V713" s="54"/>
      <c r="W713" s="131" t="str">
        <f>IFERROR(VLOOKUP(V713,TD!$N$33:$O$45,2,0)," ")</f>
        <v xml:space="preserve"> </v>
      </c>
      <c r="X713" s="54" t="str">
        <f t="shared" si="41"/>
        <v xml:space="preserve">_ </v>
      </c>
      <c r="Y713" s="54" t="str">
        <f t="shared" si="42"/>
        <v xml:space="preserve">-  _ </v>
      </c>
      <c r="Z713" s="131" t="str">
        <f t="shared" si="43"/>
        <v xml:space="preserve">   </v>
      </c>
      <c r="AA713" s="131" t="str">
        <f>IFERROR(VLOOKUP(Y713,TD!$K$46:$L$64,2,0)," ")</f>
        <v xml:space="preserve"> </v>
      </c>
      <c r="AB713" s="57"/>
      <c r="AC713" s="132"/>
    </row>
    <row r="714" spans="2:29" s="28" customFormat="1">
      <c r="B714" s="85"/>
      <c r="C714" s="53"/>
      <c r="D714" s="129"/>
      <c r="E714" s="54"/>
      <c r="F714" s="129"/>
      <c r="G714" s="129"/>
      <c r="H714" s="55"/>
      <c r="I714" s="133"/>
      <c r="J714" s="130"/>
      <c r="K714" s="56"/>
      <c r="L714" s="57"/>
      <c r="M714" s="129"/>
      <c r="N714" s="57"/>
      <c r="O714" s="54"/>
      <c r="P714" s="131" t="str">
        <f>IFERROR(VLOOKUP(C714,TD!$B$32:$F$36,2,0)," ")</f>
        <v xml:space="preserve"> </v>
      </c>
      <c r="Q714" s="131" t="str">
        <f>IFERROR(VLOOKUP(C714,TD!$B$32:$F$36,3,0)," ")</f>
        <v xml:space="preserve"> </v>
      </c>
      <c r="R714" s="131" t="str">
        <f>IFERROR(VLOOKUP(C714,TD!$B$32:$F$36,4,0)," ")</f>
        <v xml:space="preserve"> </v>
      </c>
      <c r="S714" s="54"/>
      <c r="T714" s="131" t="str">
        <f>IFERROR(VLOOKUP(S714,TD!$J$33:$K$43,2,0)," ")</f>
        <v xml:space="preserve"> </v>
      </c>
      <c r="U714" s="54" t="str">
        <f t="shared" si="40"/>
        <v xml:space="preserve">- </v>
      </c>
      <c r="V714" s="54"/>
      <c r="W714" s="131" t="str">
        <f>IFERROR(VLOOKUP(V714,TD!$N$33:$O$45,2,0)," ")</f>
        <v xml:space="preserve"> </v>
      </c>
      <c r="X714" s="54" t="str">
        <f t="shared" si="41"/>
        <v xml:space="preserve">_ </v>
      </c>
      <c r="Y714" s="54" t="str">
        <f t="shared" si="42"/>
        <v xml:space="preserve">-  _ </v>
      </c>
      <c r="Z714" s="131" t="str">
        <f t="shared" si="43"/>
        <v xml:space="preserve">   </v>
      </c>
      <c r="AA714" s="131" t="str">
        <f>IFERROR(VLOOKUP(Y714,TD!$K$46:$L$64,2,0)," ")</f>
        <v xml:space="preserve"> </v>
      </c>
      <c r="AB714" s="57"/>
      <c r="AC714" s="132"/>
    </row>
    <row r="715" spans="2:29" s="28" customFormat="1">
      <c r="B715" s="85"/>
      <c r="C715" s="53"/>
      <c r="D715" s="129"/>
      <c r="E715" s="54"/>
      <c r="F715" s="129"/>
      <c r="G715" s="129"/>
      <c r="H715" s="55"/>
      <c r="I715" s="133"/>
      <c r="J715" s="130"/>
      <c r="K715" s="56"/>
      <c r="L715" s="57"/>
      <c r="M715" s="129"/>
      <c r="N715" s="57"/>
      <c r="O715" s="54"/>
      <c r="P715" s="131" t="str">
        <f>IFERROR(VLOOKUP(C715,TD!$B$32:$F$36,2,0)," ")</f>
        <v xml:space="preserve"> </v>
      </c>
      <c r="Q715" s="131" t="str">
        <f>IFERROR(VLOOKUP(C715,TD!$B$32:$F$36,3,0)," ")</f>
        <v xml:space="preserve"> </v>
      </c>
      <c r="R715" s="131" t="str">
        <f>IFERROR(VLOOKUP(C715,TD!$B$32:$F$36,4,0)," ")</f>
        <v xml:space="preserve"> </v>
      </c>
      <c r="S715" s="54"/>
      <c r="T715" s="131" t="str">
        <f>IFERROR(VLOOKUP(S715,TD!$J$33:$K$43,2,0)," ")</f>
        <v xml:space="preserve"> </v>
      </c>
      <c r="U715" s="54" t="str">
        <f t="shared" ref="U715:U778" si="44">CONCATENATE(S715,"-",T715)</f>
        <v xml:space="preserve">- </v>
      </c>
      <c r="V715" s="54"/>
      <c r="W715" s="131" t="str">
        <f>IFERROR(VLOOKUP(V715,TD!$N$33:$O$45,2,0)," ")</f>
        <v xml:space="preserve"> </v>
      </c>
      <c r="X715" s="54" t="str">
        <f t="shared" ref="X715:X778" si="45">CONCATENATE(V715,"_",W715)</f>
        <v xml:space="preserve">_ </v>
      </c>
      <c r="Y715" s="54" t="str">
        <f t="shared" ref="Y715:Y778" si="46">CONCATENATE(U715," ",X715)</f>
        <v xml:space="preserve">-  _ </v>
      </c>
      <c r="Z715" s="131" t="str">
        <f t="shared" ref="Z715:Z778" si="47">CONCATENATE(P715,Q715,R715,S715,V715)</f>
        <v xml:space="preserve">   </v>
      </c>
      <c r="AA715" s="131" t="str">
        <f>IFERROR(VLOOKUP(Y715,TD!$K$46:$L$64,2,0)," ")</f>
        <v xml:space="preserve"> </v>
      </c>
      <c r="AB715" s="57"/>
      <c r="AC715" s="132"/>
    </row>
    <row r="716" spans="2:29" s="28" customFormat="1">
      <c r="B716" s="85"/>
      <c r="C716" s="53"/>
      <c r="D716" s="129"/>
      <c r="E716" s="54"/>
      <c r="F716" s="129"/>
      <c r="G716" s="129"/>
      <c r="H716" s="55"/>
      <c r="I716" s="133"/>
      <c r="J716" s="130"/>
      <c r="K716" s="56"/>
      <c r="L716" s="57"/>
      <c r="M716" s="129"/>
      <c r="N716" s="57"/>
      <c r="O716" s="54"/>
      <c r="P716" s="131" t="str">
        <f>IFERROR(VLOOKUP(C716,TD!$B$32:$F$36,2,0)," ")</f>
        <v xml:space="preserve"> </v>
      </c>
      <c r="Q716" s="131" t="str">
        <f>IFERROR(VLOOKUP(C716,TD!$B$32:$F$36,3,0)," ")</f>
        <v xml:space="preserve"> </v>
      </c>
      <c r="R716" s="131" t="str">
        <f>IFERROR(VLOOKUP(C716,TD!$B$32:$F$36,4,0)," ")</f>
        <v xml:space="preserve"> </v>
      </c>
      <c r="S716" s="54"/>
      <c r="T716" s="131" t="str">
        <f>IFERROR(VLOOKUP(S716,TD!$J$33:$K$43,2,0)," ")</f>
        <v xml:space="preserve"> </v>
      </c>
      <c r="U716" s="54" t="str">
        <f t="shared" si="44"/>
        <v xml:space="preserve">- </v>
      </c>
      <c r="V716" s="54"/>
      <c r="W716" s="131" t="str">
        <f>IFERROR(VLOOKUP(V716,TD!$N$33:$O$45,2,0)," ")</f>
        <v xml:space="preserve"> </v>
      </c>
      <c r="X716" s="54" t="str">
        <f t="shared" si="45"/>
        <v xml:space="preserve">_ </v>
      </c>
      <c r="Y716" s="54" t="str">
        <f t="shared" si="46"/>
        <v xml:space="preserve">-  _ </v>
      </c>
      <c r="Z716" s="131" t="str">
        <f t="shared" si="47"/>
        <v xml:space="preserve">   </v>
      </c>
      <c r="AA716" s="131" t="str">
        <f>IFERROR(VLOOKUP(Y716,TD!$K$46:$L$64,2,0)," ")</f>
        <v xml:space="preserve"> </v>
      </c>
      <c r="AB716" s="57"/>
      <c r="AC716" s="132"/>
    </row>
    <row r="717" spans="2:29" s="28" customFormat="1">
      <c r="B717" s="85"/>
      <c r="C717" s="53"/>
      <c r="D717" s="129"/>
      <c r="E717" s="54"/>
      <c r="F717" s="129"/>
      <c r="G717" s="129"/>
      <c r="H717" s="55"/>
      <c r="I717" s="133"/>
      <c r="J717" s="130"/>
      <c r="K717" s="56"/>
      <c r="L717" s="57"/>
      <c r="M717" s="129"/>
      <c r="N717" s="57"/>
      <c r="O717" s="54"/>
      <c r="P717" s="131" t="str">
        <f>IFERROR(VLOOKUP(C717,TD!$B$32:$F$36,2,0)," ")</f>
        <v xml:space="preserve"> </v>
      </c>
      <c r="Q717" s="131" t="str">
        <f>IFERROR(VLOOKUP(C717,TD!$B$32:$F$36,3,0)," ")</f>
        <v xml:space="preserve"> </v>
      </c>
      <c r="R717" s="131" t="str">
        <f>IFERROR(VLOOKUP(C717,TD!$B$32:$F$36,4,0)," ")</f>
        <v xml:space="preserve"> </v>
      </c>
      <c r="S717" s="54"/>
      <c r="T717" s="131" t="str">
        <f>IFERROR(VLOOKUP(S717,TD!$J$33:$K$43,2,0)," ")</f>
        <v xml:space="preserve"> </v>
      </c>
      <c r="U717" s="54" t="str">
        <f t="shared" si="44"/>
        <v xml:space="preserve">- </v>
      </c>
      <c r="V717" s="54"/>
      <c r="W717" s="131" t="str">
        <f>IFERROR(VLOOKUP(V717,TD!$N$33:$O$45,2,0)," ")</f>
        <v xml:space="preserve"> </v>
      </c>
      <c r="X717" s="54" t="str">
        <f t="shared" si="45"/>
        <v xml:space="preserve">_ </v>
      </c>
      <c r="Y717" s="54" t="str">
        <f t="shared" si="46"/>
        <v xml:space="preserve">-  _ </v>
      </c>
      <c r="Z717" s="131" t="str">
        <f t="shared" si="47"/>
        <v xml:space="preserve">   </v>
      </c>
      <c r="AA717" s="131" t="str">
        <f>IFERROR(VLOOKUP(Y717,TD!$K$46:$L$64,2,0)," ")</f>
        <v xml:space="preserve"> </v>
      </c>
      <c r="AB717" s="57"/>
      <c r="AC717" s="132"/>
    </row>
    <row r="718" spans="2:29" s="28" customFormat="1">
      <c r="B718" s="85"/>
      <c r="C718" s="53"/>
      <c r="D718" s="129"/>
      <c r="E718" s="54"/>
      <c r="F718" s="129"/>
      <c r="G718" s="129"/>
      <c r="H718" s="55"/>
      <c r="I718" s="133"/>
      <c r="J718" s="130"/>
      <c r="K718" s="56"/>
      <c r="L718" s="57"/>
      <c r="M718" s="129"/>
      <c r="N718" s="57"/>
      <c r="O718" s="54"/>
      <c r="P718" s="131" t="str">
        <f>IFERROR(VLOOKUP(C718,TD!$B$32:$F$36,2,0)," ")</f>
        <v xml:space="preserve"> </v>
      </c>
      <c r="Q718" s="131" t="str">
        <f>IFERROR(VLOOKUP(C718,TD!$B$32:$F$36,3,0)," ")</f>
        <v xml:space="preserve"> </v>
      </c>
      <c r="R718" s="131" t="str">
        <f>IFERROR(VLOOKUP(C718,TD!$B$32:$F$36,4,0)," ")</f>
        <v xml:space="preserve"> </v>
      </c>
      <c r="S718" s="54"/>
      <c r="T718" s="131" t="str">
        <f>IFERROR(VLOOKUP(S718,TD!$J$33:$K$43,2,0)," ")</f>
        <v xml:space="preserve"> </v>
      </c>
      <c r="U718" s="54" t="str">
        <f t="shared" si="44"/>
        <v xml:space="preserve">- </v>
      </c>
      <c r="V718" s="54"/>
      <c r="W718" s="131" t="str">
        <f>IFERROR(VLOOKUP(V718,TD!$N$33:$O$45,2,0)," ")</f>
        <v xml:space="preserve"> </v>
      </c>
      <c r="X718" s="54" t="str">
        <f t="shared" si="45"/>
        <v xml:space="preserve">_ </v>
      </c>
      <c r="Y718" s="54" t="str">
        <f t="shared" si="46"/>
        <v xml:space="preserve">-  _ </v>
      </c>
      <c r="Z718" s="131" t="str">
        <f t="shared" si="47"/>
        <v xml:space="preserve">   </v>
      </c>
      <c r="AA718" s="131" t="str">
        <f>IFERROR(VLOOKUP(Y718,TD!$K$46:$L$64,2,0)," ")</f>
        <v xml:space="preserve"> </v>
      </c>
      <c r="AB718" s="57"/>
      <c r="AC718" s="132"/>
    </row>
    <row r="719" spans="2:29" s="28" customFormat="1">
      <c r="B719" s="85"/>
      <c r="C719" s="53"/>
      <c r="D719" s="129"/>
      <c r="E719" s="54"/>
      <c r="F719" s="129"/>
      <c r="G719" s="129"/>
      <c r="H719" s="55"/>
      <c r="I719" s="133"/>
      <c r="J719" s="130"/>
      <c r="K719" s="56"/>
      <c r="L719" s="57"/>
      <c r="M719" s="129"/>
      <c r="N719" s="57"/>
      <c r="O719" s="54"/>
      <c r="P719" s="131" t="str">
        <f>IFERROR(VLOOKUP(C719,TD!$B$32:$F$36,2,0)," ")</f>
        <v xml:space="preserve"> </v>
      </c>
      <c r="Q719" s="131" t="str">
        <f>IFERROR(VLOOKUP(C719,TD!$B$32:$F$36,3,0)," ")</f>
        <v xml:space="preserve"> </v>
      </c>
      <c r="R719" s="131" t="str">
        <f>IFERROR(VLOOKUP(C719,TD!$B$32:$F$36,4,0)," ")</f>
        <v xml:space="preserve"> </v>
      </c>
      <c r="S719" s="54"/>
      <c r="T719" s="131" t="str">
        <f>IFERROR(VLOOKUP(S719,TD!$J$33:$K$43,2,0)," ")</f>
        <v xml:space="preserve"> </v>
      </c>
      <c r="U719" s="54" t="str">
        <f t="shared" si="44"/>
        <v xml:space="preserve">- </v>
      </c>
      <c r="V719" s="54"/>
      <c r="W719" s="131" t="str">
        <f>IFERROR(VLOOKUP(V719,TD!$N$33:$O$45,2,0)," ")</f>
        <v xml:space="preserve"> </v>
      </c>
      <c r="X719" s="54" t="str">
        <f t="shared" si="45"/>
        <v xml:space="preserve">_ </v>
      </c>
      <c r="Y719" s="54" t="str">
        <f t="shared" si="46"/>
        <v xml:space="preserve">-  _ </v>
      </c>
      <c r="Z719" s="131" t="str">
        <f t="shared" si="47"/>
        <v xml:space="preserve">   </v>
      </c>
      <c r="AA719" s="131" t="str">
        <f>IFERROR(VLOOKUP(Y719,TD!$K$46:$L$64,2,0)," ")</f>
        <v xml:space="preserve"> </v>
      </c>
      <c r="AB719" s="57"/>
      <c r="AC719" s="132"/>
    </row>
    <row r="720" spans="2:29" s="28" customFormat="1">
      <c r="B720" s="85"/>
      <c r="C720" s="53"/>
      <c r="D720" s="129"/>
      <c r="E720" s="54"/>
      <c r="F720" s="129"/>
      <c r="G720" s="129"/>
      <c r="H720" s="55"/>
      <c r="I720" s="133"/>
      <c r="J720" s="130"/>
      <c r="K720" s="56"/>
      <c r="L720" s="57"/>
      <c r="M720" s="129"/>
      <c r="N720" s="57"/>
      <c r="O720" s="54"/>
      <c r="P720" s="131" t="str">
        <f>IFERROR(VLOOKUP(C720,TD!$B$32:$F$36,2,0)," ")</f>
        <v xml:space="preserve"> </v>
      </c>
      <c r="Q720" s="131" t="str">
        <f>IFERROR(VLOOKUP(C720,TD!$B$32:$F$36,3,0)," ")</f>
        <v xml:space="preserve"> </v>
      </c>
      <c r="R720" s="131" t="str">
        <f>IFERROR(VLOOKUP(C720,TD!$B$32:$F$36,4,0)," ")</f>
        <v xml:space="preserve"> </v>
      </c>
      <c r="S720" s="54"/>
      <c r="T720" s="131" t="str">
        <f>IFERROR(VLOOKUP(S720,TD!$J$33:$K$43,2,0)," ")</f>
        <v xml:space="preserve"> </v>
      </c>
      <c r="U720" s="54" t="str">
        <f t="shared" si="44"/>
        <v xml:space="preserve">- </v>
      </c>
      <c r="V720" s="54"/>
      <c r="W720" s="131" t="str">
        <f>IFERROR(VLOOKUP(V720,TD!$N$33:$O$45,2,0)," ")</f>
        <v xml:space="preserve"> </v>
      </c>
      <c r="X720" s="54" t="str">
        <f t="shared" si="45"/>
        <v xml:space="preserve">_ </v>
      </c>
      <c r="Y720" s="54" t="str">
        <f t="shared" si="46"/>
        <v xml:space="preserve">-  _ </v>
      </c>
      <c r="Z720" s="131" t="str">
        <f t="shared" si="47"/>
        <v xml:space="preserve">   </v>
      </c>
      <c r="AA720" s="131" t="str">
        <f>IFERROR(VLOOKUP(Y720,TD!$K$46:$L$64,2,0)," ")</f>
        <v xml:space="preserve"> </v>
      </c>
      <c r="AB720" s="57"/>
      <c r="AC720" s="132"/>
    </row>
    <row r="721" spans="2:29" s="28" customFormat="1">
      <c r="B721" s="85"/>
      <c r="C721" s="53"/>
      <c r="D721" s="129"/>
      <c r="E721" s="54"/>
      <c r="F721" s="129"/>
      <c r="G721" s="129"/>
      <c r="H721" s="55"/>
      <c r="I721" s="133"/>
      <c r="J721" s="130"/>
      <c r="K721" s="56"/>
      <c r="L721" s="57"/>
      <c r="M721" s="129"/>
      <c r="N721" s="57"/>
      <c r="O721" s="54"/>
      <c r="P721" s="131" t="str">
        <f>IFERROR(VLOOKUP(C721,TD!$B$32:$F$36,2,0)," ")</f>
        <v xml:space="preserve"> </v>
      </c>
      <c r="Q721" s="131" t="str">
        <f>IFERROR(VLOOKUP(C721,TD!$B$32:$F$36,3,0)," ")</f>
        <v xml:space="preserve"> </v>
      </c>
      <c r="R721" s="131" t="str">
        <f>IFERROR(VLOOKUP(C721,TD!$B$32:$F$36,4,0)," ")</f>
        <v xml:space="preserve"> </v>
      </c>
      <c r="S721" s="54"/>
      <c r="T721" s="131" t="str">
        <f>IFERROR(VLOOKUP(S721,TD!$J$33:$K$43,2,0)," ")</f>
        <v xml:space="preserve"> </v>
      </c>
      <c r="U721" s="54" t="str">
        <f t="shared" si="44"/>
        <v xml:space="preserve">- </v>
      </c>
      <c r="V721" s="54"/>
      <c r="W721" s="131" t="str">
        <f>IFERROR(VLOOKUP(V721,TD!$N$33:$O$45,2,0)," ")</f>
        <v xml:space="preserve"> </v>
      </c>
      <c r="X721" s="54" t="str">
        <f t="shared" si="45"/>
        <v xml:space="preserve">_ </v>
      </c>
      <c r="Y721" s="54" t="str">
        <f t="shared" si="46"/>
        <v xml:space="preserve">-  _ </v>
      </c>
      <c r="Z721" s="131" t="str">
        <f t="shared" si="47"/>
        <v xml:space="preserve">   </v>
      </c>
      <c r="AA721" s="131" t="str">
        <f>IFERROR(VLOOKUP(Y721,TD!$K$46:$L$64,2,0)," ")</f>
        <v xml:space="preserve"> </v>
      </c>
      <c r="AB721" s="57"/>
      <c r="AC721" s="132"/>
    </row>
    <row r="722" spans="2:29" s="28" customFormat="1">
      <c r="B722" s="85"/>
      <c r="C722" s="53"/>
      <c r="D722" s="129"/>
      <c r="E722" s="54"/>
      <c r="F722" s="129"/>
      <c r="G722" s="129"/>
      <c r="H722" s="55"/>
      <c r="I722" s="133"/>
      <c r="J722" s="130"/>
      <c r="K722" s="56"/>
      <c r="L722" s="57"/>
      <c r="M722" s="129"/>
      <c r="N722" s="57"/>
      <c r="O722" s="54"/>
      <c r="P722" s="131" t="str">
        <f>IFERROR(VLOOKUP(C722,TD!$B$32:$F$36,2,0)," ")</f>
        <v xml:space="preserve"> </v>
      </c>
      <c r="Q722" s="131" t="str">
        <f>IFERROR(VLOOKUP(C722,TD!$B$32:$F$36,3,0)," ")</f>
        <v xml:space="preserve"> </v>
      </c>
      <c r="R722" s="131" t="str">
        <f>IFERROR(VLOOKUP(C722,TD!$B$32:$F$36,4,0)," ")</f>
        <v xml:space="preserve"> </v>
      </c>
      <c r="S722" s="54"/>
      <c r="T722" s="131" t="str">
        <f>IFERROR(VLOOKUP(S722,TD!$J$33:$K$43,2,0)," ")</f>
        <v xml:space="preserve"> </v>
      </c>
      <c r="U722" s="54" t="str">
        <f t="shared" si="44"/>
        <v xml:space="preserve">- </v>
      </c>
      <c r="V722" s="54"/>
      <c r="W722" s="131" t="str">
        <f>IFERROR(VLOOKUP(V722,TD!$N$33:$O$45,2,0)," ")</f>
        <v xml:space="preserve"> </v>
      </c>
      <c r="X722" s="54" t="str">
        <f t="shared" si="45"/>
        <v xml:space="preserve">_ </v>
      </c>
      <c r="Y722" s="54" t="str">
        <f t="shared" si="46"/>
        <v xml:space="preserve">-  _ </v>
      </c>
      <c r="Z722" s="131" t="str">
        <f t="shared" si="47"/>
        <v xml:space="preserve">   </v>
      </c>
      <c r="AA722" s="131" t="str">
        <f>IFERROR(VLOOKUP(Y722,TD!$K$46:$L$64,2,0)," ")</f>
        <v xml:space="preserve"> </v>
      </c>
      <c r="AB722" s="57"/>
      <c r="AC722" s="132"/>
    </row>
    <row r="723" spans="2:29" s="28" customFormat="1">
      <c r="B723" s="85"/>
      <c r="C723" s="53"/>
      <c r="D723" s="129"/>
      <c r="E723" s="54"/>
      <c r="F723" s="129"/>
      <c r="G723" s="129"/>
      <c r="H723" s="55"/>
      <c r="I723" s="133"/>
      <c r="J723" s="130"/>
      <c r="K723" s="56"/>
      <c r="L723" s="57"/>
      <c r="M723" s="129"/>
      <c r="N723" s="57"/>
      <c r="O723" s="54"/>
      <c r="P723" s="131" t="str">
        <f>IFERROR(VLOOKUP(C723,TD!$B$32:$F$36,2,0)," ")</f>
        <v xml:space="preserve"> </v>
      </c>
      <c r="Q723" s="131" t="str">
        <f>IFERROR(VLOOKUP(C723,TD!$B$32:$F$36,3,0)," ")</f>
        <v xml:space="preserve"> </v>
      </c>
      <c r="R723" s="131" t="str">
        <f>IFERROR(VLOOKUP(C723,TD!$B$32:$F$36,4,0)," ")</f>
        <v xml:space="preserve"> </v>
      </c>
      <c r="S723" s="54"/>
      <c r="T723" s="131" t="str">
        <f>IFERROR(VLOOKUP(S723,TD!$J$33:$K$43,2,0)," ")</f>
        <v xml:space="preserve"> </v>
      </c>
      <c r="U723" s="54" t="str">
        <f t="shared" si="44"/>
        <v xml:space="preserve">- </v>
      </c>
      <c r="V723" s="54"/>
      <c r="W723" s="131" t="str">
        <f>IFERROR(VLOOKUP(V723,TD!$N$33:$O$45,2,0)," ")</f>
        <v xml:space="preserve"> </v>
      </c>
      <c r="X723" s="54" t="str">
        <f t="shared" si="45"/>
        <v xml:space="preserve">_ </v>
      </c>
      <c r="Y723" s="54" t="str">
        <f t="shared" si="46"/>
        <v xml:space="preserve">-  _ </v>
      </c>
      <c r="Z723" s="131" t="str">
        <f t="shared" si="47"/>
        <v xml:space="preserve">   </v>
      </c>
      <c r="AA723" s="131" t="str">
        <f>IFERROR(VLOOKUP(Y723,TD!$K$46:$L$64,2,0)," ")</f>
        <v xml:space="preserve"> </v>
      </c>
      <c r="AB723" s="57"/>
      <c r="AC723" s="132"/>
    </row>
    <row r="724" spans="2:29" s="28" customFormat="1">
      <c r="B724" s="85"/>
      <c r="C724" s="53"/>
      <c r="D724" s="129"/>
      <c r="E724" s="54"/>
      <c r="F724" s="129"/>
      <c r="G724" s="129"/>
      <c r="H724" s="55"/>
      <c r="I724" s="133"/>
      <c r="J724" s="130"/>
      <c r="K724" s="56"/>
      <c r="L724" s="57"/>
      <c r="M724" s="129"/>
      <c r="N724" s="57"/>
      <c r="O724" s="54"/>
      <c r="P724" s="131" t="str">
        <f>IFERROR(VLOOKUP(C724,TD!$B$32:$F$36,2,0)," ")</f>
        <v xml:space="preserve"> </v>
      </c>
      <c r="Q724" s="131" t="str">
        <f>IFERROR(VLOOKUP(C724,TD!$B$32:$F$36,3,0)," ")</f>
        <v xml:space="preserve"> </v>
      </c>
      <c r="R724" s="131" t="str">
        <f>IFERROR(VLOOKUP(C724,TD!$B$32:$F$36,4,0)," ")</f>
        <v xml:space="preserve"> </v>
      </c>
      <c r="S724" s="54"/>
      <c r="T724" s="131" t="str">
        <f>IFERROR(VLOOKUP(S724,TD!$J$33:$K$43,2,0)," ")</f>
        <v xml:space="preserve"> </v>
      </c>
      <c r="U724" s="54" t="str">
        <f t="shared" si="44"/>
        <v xml:space="preserve">- </v>
      </c>
      <c r="V724" s="54"/>
      <c r="W724" s="131" t="str">
        <f>IFERROR(VLOOKUP(V724,TD!$N$33:$O$45,2,0)," ")</f>
        <v xml:space="preserve"> </v>
      </c>
      <c r="X724" s="54" t="str">
        <f t="shared" si="45"/>
        <v xml:space="preserve">_ </v>
      </c>
      <c r="Y724" s="54" t="str">
        <f t="shared" si="46"/>
        <v xml:space="preserve">-  _ </v>
      </c>
      <c r="Z724" s="131" t="str">
        <f t="shared" si="47"/>
        <v xml:space="preserve">   </v>
      </c>
      <c r="AA724" s="131" t="str">
        <f>IFERROR(VLOOKUP(Y724,TD!$K$46:$L$64,2,0)," ")</f>
        <v xml:space="preserve"> </v>
      </c>
      <c r="AB724" s="57"/>
      <c r="AC724" s="132"/>
    </row>
    <row r="725" spans="2:29" s="28" customFormat="1">
      <c r="B725" s="85"/>
      <c r="C725" s="53"/>
      <c r="D725" s="129"/>
      <c r="E725" s="54"/>
      <c r="F725" s="129"/>
      <c r="G725" s="129"/>
      <c r="H725" s="55"/>
      <c r="I725" s="133"/>
      <c r="J725" s="130"/>
      <c r="K725" s="56"/>
      <c r="L725" s="57"/>
      <c r="M725" s="129"/>
      <c r="N725" s="57"/>
      <c r="O725" s="54"/>
      <c r="P725" s="131" t="str">
        <f>IFERROR(VLOOKUP(C725,TD!$B$32:$F$36,2,0)," ")</f>
        <v xml:space="preserve"> </v>
      </c>
      <c r="Q725" s="131" t="str">
        <f>IFERROR(VLOOKUP(C725,TD!$B$32:$F$36,3,0)," ")</f>
        <v xml:space="preserve"> </v>
      </c>
      <c r="R725" s="131" t="str">
        <f>IFERROR(VLOOKUP(C725,TD!$B$32:$F$36,4,0)," ")</f>
        <v xml:space="preserve"> </v>
      </c>
      <c r="S725" s="54"/>
      <c r="T725" s="131" t="str">
        <f>IFERROR(VLOOKUP(S725,TD!$J$33:$K$43,2,0)," ")</f>
        <v xml:space="preserve"> </v>
      </c>
      <c r="U725" s="54" t="str">
        <f t="shared" si="44"/>
        <v xml:space="preserve">- </v>
      </c>
      <c r="V725" s="54"/>
      <c r="W725" s="131" t="str">
        <f>IFERROR(VLOOKUP(V725,TD!$N$33:$O$45,2,0)," ")</f>
        <v xml:space="preserve"> </v>
      </c>
      <c r="X725" s="54" t="str">
        <f t="shared" si="45"/>
        <v xml:space="preserve">_ </v>
      </c>
      <c r="Y725" s="54" t="str">
        <f t="shared" si="46"/>
        <v xml:space="preserve">-  _ </v>
      </c>
      <c r="Z725" s="131" t="str">
        <f t="shared" si="47"/>
        <v xml:space="preserve">   </v>
      </c>
      <c r="AA725" s="131" t="str">
        <f>IFERROR(VLOOKUP(Y725,TD!$K$46:$L$64,2,0)," ")</f>
        <v xml:space="preserve"> </v>
      </c>
      <c r="AB725" s="57"/>
      <c r="AC725" s="132"/>
    </row>
    <row r="726" spans="2:29" s="28" customFormat="1">
      <c r="B726" s="85"/>
      <c r="C726" s="53"/>
      <c r="D726" s="129"/>
      <c r="E726" s="54"/>
      <c r="F726" s="129"/>
      <c r="G726" s="129"/>
      <c r="H726" s="55"/>
      <c r="I726" s="133"/>
      <c r="J726" s="130"/>
      <c r="K726" s="56"/>
      <c r="L726" s="57"/>
      <c r="M726" s="129"/>
      <c r="N726" s="57"/>
      <c r="O726" s="54"/>
      <c r="P726" s="131" t="str">
        <f>IFERROR(VLOOKUP(C726,TD!$B$32:$F$36,2,0)," ")</f>
        <v xml:space="preserve"> </v>
      </c>
      <c r="Q726" s="131" t="str">
        <f>IFERROR(VLOOKUP(C726,TD!$B$32:$F$36,3,0)," ")</f>
        <v xml:space="preserve"> </v>
      </c>
      <c r="R726" s="131" t="str">
        <f>IFERROR(VLOOKUP(C726,TD!$B$32:$F$36,4,0)," ")</f>
        <v xml:space="preserve"> </v>
      </c>
      <c r="S726" s="54"/>
      <c r="T726" s="131" t="str">
        <f>IFERROR(VLOOKUP(S726,TD!$J$33:$K$43,2,0)," ")</f>
        <v xml:space="preserve"> </v>
      </c>
      <c r="U726" s="54" t="str">
        <f t="shared" si="44"/>
        <v xml:space="preserve">- </v>
      </c>
      <c r="V726" s="54"/>
      <c r="W726" s="131" t="str">
        <f>IFERROR(VLOOKUP(V726,TD!$N$33:$O$45,2,0)," ")</f>
        <v xml:space="preserve"> </v>
      </c>
      <c r="X726" s="54" t="str">
        <f t="shared" si="45"/>
        <v xml:space="preserve">_ </v>
      </c>
      <c r="Y726" s="54" t="str">
        <f t="shared" si="46"/>
        <v xml:space="preserve">-  _ </v>
      </c>
      <c r="Z726" s="131" t="str">
        <f t="shared" si="47"/>
        <v xml:space="preserve">   </v>
      </c>
      <c r="AA726" s="131" t="str">
        <f>IFERROR(VLOOKUP(Y726,TD!$K$46:$L$64,2,0)," ")</f>
        <v xml:space="preserve"> </v>
      </c>
      <c r="AB726" s="57"/>
      <c r="AC726" s="132"/>
    </row>
    <row r="727" spans="2:29" s="28" customFormat="1">
      <c r="B727" s="85"/>
      <c r="C727" s="53"/>
      <c r="D727" s="129"/>
      <c r="E727" s="54"/>
      <c r="F727" s="129"/>
      <c r="G727" s="129"/>
      <c r="H727" s="55"/>
      <c r="I727" s="133"/>
      <c r="J727" s="130"/>
      <c r="K727" s="56"/>
      <c r="L727" s="57"/>
      <c r="M727" s="129"/>
      <c r="N727" s="57"/>
      <c r="O727" s="54"/>
      <c r="P727" s="131" t="str">
        <f>IFERROR(VLOOKUP(C727,TD!$B$32:$F$36,2,0)," ")</f>
        <v xml:space="preserve"> </v>
      </c>
      <c r="Q727" s="131" t="str">
        <f>IFERROR(VLOOKUP(C727,TD!$B$32:$F$36,3,0)," ")</f>
        <v xml:space="preserve"> </v>
      </c>
      <c r="R727" s="131" t="str">
        <f>IFERROR(VLOOKUP(C727,TD!$B$32:$F$36,4,0)," ")</f>
        <v xml:space="preserve"> </v>
      </c>
      <c r="S727" s="54"/>
      <c r="T727" s="131" t="str">
        <f>IFERROR(VLOOKUP(S727,TD!$J$33:$K$43,2,0)," ")</f>
        <v xml:space="preserve"> </v>
      </c>
      <c r="U727" s="54" t="str">
        <f t="shared" si="44"/>
        <v xml:space="preserve">- </v>
      </c>
      <c r="V727" s="54"/>
      <c r="W727" s="131" t="str">
        <f>IFERROR(VLOOKUP(V727,TD!$N$33:$O$45,2,0)," ")</f>
        <v xml:space="preserve"> </v>
      </c>
      <c r="X727" s="54" t="str">
        <f t="shared" si="45"/>
        <v xml:space="preserve">_ </v>
      </c>
      <c r="Y727" s="54" t="str">
        <f t="shared" si="46"/>
        <v xml:space="preserve">-  _ </v>
      </c>
      <c r="Z727" s="131" t="str">
        <f t="shared" si="47"/>
        <v xml:space="preserve">   </v>
      </c>
      <c r="AA727" s="131" t="str">
        <f>IFERROR(VLOOKUP(Y727,TD!$K$46:$L$64,2,0)," ")</f>
        <v xml:space="preserve"> </v>
      </c>
      <c r="AB727" s="57"/>
      <c r="AC727" s="132"/>
    </row>
    <row r="728" spans="2:29" s="28" customFormat="1">
      <c r="B728" s="85"/>
      <c r="C728" s="53"/>
      <c r="D728" s="129"/>
      <c r="E728" s="54"/>
      <c r="F728" s="129"/>
      <c r="G728" s="129"/>
      <c r="H728" s="55"/>
      <c r="I728" s="133"/>
      <c r="J728" s="130"/>
      <c r="K728" s="56"/>
      <c r="L728" s="57"/>
      <c r="M728" s="129"/>
      <c r="N728" s="57"/>
      <c r="O728" s="54"/>
      <c r="P728" s="131" t="str">
        <f>IFERROR(VLOOKUP(C728,TD!$B$32:$F$36,2,0)," ")</f>
        <v xml:space="preserve"> </v>
      </c>
      <c r="Q728" s="131" t="str">
        <f>IFERROR(VLOOKUP(C728,TD!$B$32:$F$36,3,0)," ")</f>
        <v xml:space="preserve"> </v>
      </c>
      <c r="R728" s="131" t="str">
        <f>IFERROR(VLOOKUP(C728,TD!$B$32:$F$36,4,0)," ")</f>
        <v xml:space="preserve"> </v>
      </c>
      <c r="S728" s="54"/>
      <c r="T728" s="131" t="str">
        <f>IFERROR(VLOOKUP(S728,TD!$J$33:$K$43,2,0)," ")</f>
        <v xml:space="preserve"> </v>
      </c>
      <c r="U728" s="54" t="str">
        <f t="shared" si="44"/>
        <v xml:space="preserve">- </v>
      </c>
      <c r="V728" s="54"/>
      <c r="W728" s="131" t="str">
        <f>IFERROR(VLOOKUP(V728,TD!$N$33:$O$45,2,0)," ")</f>
        <v xml:space="preserve"> </v>
      </c>
      <c r="X728" s="54" t="str">
        <f t="shared" si="45"/>
        <v xml:space="preserve">_ </v>
      </c>
      <c r="Y728" s="54" t="str">
        <f t="shared" si="46"/>
        <v xml:space="preserve">-  _ </v>
      </c>
      <c r="Z728" s="131" t="str">
        <f t="shared" si="47"/>
        <v xml:space="preserve">   </v>
      </c>
      <c r="AA728" s="131" t="str">
        <f>IFERROR(VLOOKUP(Y728,TD!$K$46:$L$64,2,0)," ")</f>
        <v xml:space="preserve"> </v>
      </c>
      <c r="AB728" s="57"/>
      <c r="AC728" s="132"/>
    </row>
    <row r="729" spans="2:29" s="28" customFormat="1">
      <c r="B729" s="85"/>
      <c r="C729" s="53"/>
      <c r="D729" s="129"/>
      <c r="E729" s="54"/>
      <c r="F729" s="129"/>
      <c r="G729" s="129"/>
      <c r="H729" s="55"/>
      <c r="I729" s="133"/>
      <c r="J729" s="130"/>
      <c r="K729" s="56"/>
      <c r="L729" s="57"/>
      <c r="M729" s="129"/>
      <c r="N729" s="57"/>
      <c r="O729" s="54"/>
      <c r="P729" s="131" t="str">
        <f>IFERROR(VLOOKUP(C729,TD!$B$32:$F$36,2,0)," ")</f>
        <v xml:space="preserve"> </v>
      </c>
      <c r="Q729" s="131" t="str">
        <f>IFERROR(VLOOKUP(C729,TD!$B$32:$F$36,3,0)," ")</f>
        <v xml:space="preserve"> </v>
      </c>
      <c r="R729" s="131" t="str">
        <f>IFERROR(VLOOKUP(C729,TD!$B$32:$F$36,4,0)," ")</f>
        <v xml:space="preserve"> </v>
      </c>
      <c r="S729" s="54"/>
      <c r="T729" s="131" t="str">
        <f>IFERROR(VLOOKUP(S729,TD!$J$33:$K$43,2,0)," ")</f>
        <v xml:space="preserve"> </v>
      </c>
      <c r="U729" s="54" t="str">
        <f t="shared" si="44"/>
        <v xml:space="preserve">- </v>
      </c>
      <c r="V729" s="54"/>
      <c r="W729" s="131" t="str">
        <f>IFERROR(VLOOKUP(V729,TD!$N$33:$O$45,2,0)," ")</f>
        <v xml:space="preserve"> </v>
      </c>
      <c r="X729" s="54" t="str">
        <f t="shared" si="45"/>
        <v xml:space="preserve">_ </v>
      </c>
      <c r="Y729" s="54" t="str">
        <f t="shared" si="46"/>
        <v xml:space="preserve">-  _ </v>
      </c>
      <c r="Z729" s="131" t="str">
        <f t="shared" si="47"/>
        <v xml:space="preserve">   </v>
      </c>
      <c r="AA729" s="131" t="str">
        <f>IFERROR(VLOOKUP(Y729,TD!$K$46:$L$64,2,0)," ")</f>
        <v xml:space="preserve"> </v>
      </c>
      <c r="AB729" s="57"/>
      <c r="AC729" s="132"/>
    </row>
    <row r="730" spans="2:29" s="28" customFormat="1">
      <c r="B730" s="85"/>
      <c r="C730" s="53"/>
      <c r="D730" s="129"/>
      <c r="E730" s="54"/>
      <c r="F730" s="129"/>
      <c r="G730" s="129"/>
      <c r="H730" s="55"/>
      <c r="I730" s="133"/>
      <c r="J730" s="130"/>
      <c r="K730" s="56"/>
      <c r="L730" s="57"/>
      <c r="M730" s="129"/>
      <c r="N730" s="57"/>
      <c r="O730" s="54"/>
      <c r="P730" s="131" t="str">
        <f>IFERROR(VLOOKUP(C730,TD!$B$32:$F$36,2,0)," ")</f>
        <v xml:space="preserve"> </v>
      </c>
      <c r="Q730" s="131" t="str">
        <f>IFERROR(VLOOKUP(C730,TD!$B$32:$F$36,3,0)," ")</f>
        <v xml:space="preserve"> </v>
      </c>
      <c r="R730" s="131" t="str">
        <f>IFERROR(VLOOKUP(C730,TD!$B$32:$F$36,4,0)," ")</f>
        <v xml:space="preserve"> </v>
      </c>
      <c r="S730" s="54"/>
      <c r="T730" s="131" t="str">
        <f>IFERROR(VLOOKUP(S730,TD!$J$33:$K$43,2,0)," ")</f>
        <v xml:space="preserve"> </v>
      </c>
      <c r="U730" s="54" t="str">
        <f t="shared" si="44"/>
        <v xml:space="preserve">- </v>
      </c>
      <c r="V730" s="54"/>
      <c r="W730" s="131" t="str">
        <f>IFERROR(VLOOKUP(V730,TD!$N$33:$O$45,2,0)," ")</f>
        <v xml:space="preserve"> </v>
      </c>
      <c r="X730" s="54" t="str">
        <f t="shared" si="45"/>
        <v xml:space="preserve">_ </v>
      </c>
      <c r="Y730" s="54" t="str">
        <f t="shared" si="46"/>
        <v xml:space="preserve">-  _ </v>
      </c>
      <c r="Z730" s="131" t="str">
        <f t="shared" si="47"/>
        <v xml:space="preserve">   </v>
      </c>
      <c r="AA730" s="131" t="str">
        <f>IFERROR(VLOOKUP(Y730,TD!$K$46:$L$64,2,0)," ")</f>
        <v xml:space="preserve"> </v>
      </c>
      <c r="AB730" s="57"/>
      <c r="AC730" s="132"/>
    </row>
    <row r="731" spans="2:29" s="28" customFormat="1">
      <c r="B731" s="85"/>
      <c r="C731" s="53"/>
      <c r="D731" s="129"/>
      <c r="E731" s="54"/>
      <c r="F731" s="129"/>
      <c r="G731" s="129"/>
      <c r="H731" s="55"/>
      <c r="I731" s="133"/>
      <c r="J731" s="130"/>
      <c r="K731" s="56"/>
      <c r="L731" s="57"/>
      <c r="M731" s="129"/>
      <c r="N731" s="57"/>
      <c r="O731" s="54"/>
      <c r="P731" s="131" t="str">
        <f>IFERROR(VLOOKUP(C731,TD!$B$32:$F$36,2,0)," ")</f>
        <v xml:space="preserve"> </v>
      </c>
      <c r="Q731" s="131" t="str">
        <f>IFERROR(VLOOKUP(C731,TD!$B$32:$F$36,3,0)," ")</f>
        <v xml:space="preserve"> </v>
      </c>
      <c r="R731" s="131" t="str">
        <f>IFERROR(VLOOKUP(C731,TD!$B$32:$F$36,4,0)," ")</f>
        <v xml:space="preserve"> </v>
      </c>
      <c r="S731" s="54"/>
      <c r="T731" s="131" t="str">
        <f>IFERROR(VLOOKUP(S731,TD!$J$33:$K$43,2,0)," ")</f>
        <v xml:space="preserve"> </v>
      </c>
      <c r="U731" s="54" t="str">
        <f t="shared" si="44"/>
        <v xml:space="preserve">- </v>
      </c>
      <c r="V731" s="54"/>
      <c r="W731" s="131" t="str">
        <f>IFERROR(VLOOKUP(V731,TD!$N$33:$O$45,2,0)," ")</f>
        <v xml:space="preserve"> </v>
      </c>
      <c r="X731" s="54" t="str">
        <f t="shared" si="45"/>
        <v xml:space="preserve">_ </v>
      </c>
      <c r="Y731" s="54" t="str">
        <f t="shared" si="46"/>
        <v xml:space="preserve">-  _ </v>
      </c>
      <c r="Z731" s="131" t="str">
        <f t="shared" si="47"/>
        <v xml:space="preserve">   </v>
      </c>
      <c r="AA731" s="131" t="str">
        <f>IFERROR(VLOOKUP(Y731,TD!$K$46:$L$64,2,0)," ")</f>
        <v xml:space="preserve"> </v>
      </c>
      <c r="AB731" s="57"/>
      <c r="AC731" s="132"/>
    </row>
    <row r="732" spans="2:29" s="28" customFormat="1">
      <c r="B732" s="85"/>
      <c r="C732" s="53"/>
      <c r="D732" s="129"/>
      <c r="E732" s="54"/>
      <c r="F732" s="129"/>
      <c r="G732" s="129"/>
      <c r="H732" s="55"/>
      <c r="I732" s="133"/>
      <c r="J732" s="130"/>
      <c r="K732" s="56"/>
      <c r="L732" s="57"/>
      <c r="M732" s="129"/>
      <c r="N732" s="57"/>
      <c r="O732" s="54"/>
      <c r="P732" s="131" t="str">
        <f>IFERROR(VLOOKUP(C732,TD!$B$32:$F$36,2,0)," ")</f>
        <v xml:space="preserve"> </v>
      </c>
      <c r="Q732" s="131" t="str">
        <f>IFERROR(VLOOKUP(C732,TD!$B$32:$F$36,3,0)," ")</f>
        <v xml:space="preserve"> </v>
      </c>
      <c r="R732" s="131" t="str">
        <f>IFERROR(VLOOKUP(C732,TD!$B$32:$F$36,4,0)," ")</f>
        <v xml:space="preserve"> </v>
      </c>
      <c r="S732" s="54"/>
      <c r="T732" s="131" t="str">
        <f>IFERROR(VLOOKUP(S732,TD!$J$33:$K$43,2,0)," ")</f>
        <v xml:space="preserve"> </v>
      </c>
      <c r="U732" s="54" t="str">
        <f t="shared" si="44"/>
        <v xml:space="preserve">- </v>
      </c>
      <c r="V732" s="54"/>
      <c r="W732" s="131" t="str">
        <f>IFERROR(VLOOKUP(V732,TD!$N$33:$O$45,2,0)," ")</f>
        <v xml:space="preserve"> </v>
      </c>
      <c r="X732" s="54" t="str">
        <f t="shared" si="45"/>
        <v xml:space="preserve">_ </v>
      </c>
      <c r="Y732" s="54" t="str">
        <f t="shared" si="46"/>
        <v xml:space="preserve">-  _ </v>
      </c>
      <c r="Z732" s="131" t="str">
        <f t="shared" si="47"/>
        <v xml:space="preserve">   </v>
      </c>
      <c r="AA732" s="131" t="str">
        <f>IFERROR(VLOOKUP(Y732,TD!$K$46:$L$64,2,0)," ")</f>
        <v xml:space="preserve"> </v>
      </c>
      <c r="AB732" s="57"/>
      <c r="AC732" s="132"/>
    </row>
    <row r="733" spans="2:29" s="28" customFormat="1">
      <c r="B733" s="85"/>
      <c r="C733" s="53"/>
      <c r="D733" s="129"/>
      <c r="E733" s="54"/>
      <c r="F733" s="129"/>
      <c r="G733" s="129"/>
      <c r="H733" s="55"/>
      <c r="I733" s="133"/>
      <c r="J733" s="130"/>
      <c r="K733" s="56"/>
      <c r="L733" s="57"/>
      <c r="M733" s="129"/>
      <c r="N733" s="57"/>
      <c r="O733" s="54"/>
      <c r="P733" s="131" t="str">
        <f>IFERROR(VLOOKUP(C733,TD!$B$32:$F$36,2,0)," ")</f>
        <v xml:space="preserve"> </v>
      </c>
      <c r="Q733" s="131" t="str">
        <f>IFERROR(VLOOKUP(C733,TD!$B$32:$F$36,3,0)," ")</f>
        <v xml:space="preserve"> </v>
      </c>
      <c r="R733" s="131" t="str">
        <f>IFERROR(VLOOKUP(C733,TD!$B$32:$F$36,4,0)," ")</f>
        <v xml:space="preserve"> </v>
      </c>
      <c r="S733" s="54"/>
      <c r="T733" s="131" t="str">
        <f>IFERROR(VLOOKUP(S733,TD!$J$33:$K$43,2,0)," ")</f>
        <v xml:space="preserve"> </v>
      </c>
      <c r="U733" s="54" t="str">
        <f t="shared" si="44"/>
        <v xml:space="preserve">- </v>
      </c>
      <c r="V733" s="54"/>
      <c r="W733" s="131" t="str">
        <f>IFERROR(VLOOKUP(V733,TD!$N$33:$O$45,2,0)," ")</f>
        <v xml:space="preserve"> </v>
      </c>
      <c r="X733" s="54" t="str">
        <f t="shared" si="45"/>
        <v xml:space="preserve">_ </v>
      </c>
      <c r="Y733" s="54" t="str">
        <f t="shared" si="46"/>
        <v xml:space="preserve">-  _ </v>
      </c>
      <c r="Z733" s="131" t="str">
        <f t="shared" si="47"/>
        <v xml:space="preserve">   </v>
      </c>
      <c r="AA733" s="131" t="str">
        <f>IFERROR(VLOOKUP(Y733,TD!$K$46:$L$64,2,0)," ")</f>
        <v xml:space="preserve"> </v>
      </c>
      <c r="AB733" s="57"/>
      <c r="AC733" s="132"/>
    </row>
    <row r="734" spans="2:29" s="28" customFormat="1">
      <c r="B734" s="85"/>
      <c r="C734" s="53"/>
      <c r="D734" s="129"/>
      <c r="E734" s="54"/>
      <c r="F734" s="129"/>
      <c r="G734" s="129"/>
      <c r="H734" s="55"/>
      <c r="I734" s="133"/>
      <c r="J734" s="130"/>
      <c r="K734" s="56"/>
      <c r="L734" s="57"/>
      <c r="M734" s="129"/>
      <c r="N734" s="57"/>
      <c r="O734" s="54"/>
      <c r="P734" s="131" t="str">
        <f>IFERROR(VLOOKUP(C734,TD!$B$32:$F$36,2,0)," ")</f>
        <v xml:space="preserve"> </v>
      </c>
      <c r="Q734" s="131" t="str">
        <f>IFERROR(VLOOKUP(C734,TD!$B$32:$F$36,3,0)," ")</f>
        <v xml:space="preserve"> </v>
      </c>
      <c r="R734" s="131" t="str">
        <f>IFERROR(VLOOKUP(C734,TD!$B$32:$F$36,4,0)," ")</f>
        <v xml:space="preserve"> </v>
      </c>
      <c r="S734" s="54"/>
      <c r="T734" s="131" t="str">
        <f>IFERROR(VLOOKUP(S734,TD!$J$33:$K$43,2,0)," ")</f>
        <v xml:space="preserve"> </v>
      </c>
      <c r="U734" s="54" t="str">
        <f t="shared" si="44"/>
        <v xml:space="preserve">- </v>
      </c>
      <c r="V734" s="54"/>
      <c r="W734" s="131" t="str">
        <f>IFERROR(VLOOKUP(V734,TD!$N$33:$O$45,2,0)," ")</f>
        <v xml:space="preserve"> </v>
      </c>
      <c r="X734" s="54" t="str">
        <f t="shared" si="45"/>
        <v xml:space="preserve">_ </v>
      </c>
      <c r="Y734" s="54" t="str">
        <f t="shared" si="46"/>
        <v xml:space="preserve">-  _ </v>
      </c>
      <c r="Z734" s="131" t="str">
        <f t="shared" si="47"/>
        <v xml:space="preserve">   </v>
      </c>
      <c r="AA734" s="131" t="str">
        <f>IFERROR(VLOOKUP(Y734,TD!$K$46:$L$64,2,0)," ")</f>
        <v xml:space="preserve"> </v>
      </c>
      <c r="AB734" s="57"/>
      <c r="AC734" s="132"/>
    </row>
    <row r="735" spans="2:29" s="28" customFormat="1">
      <c r="B735" s="85"/>
      <c r="C735" s="53"/>
      <c r="D735" s="129"/>
      <c r="E735" s="54"/>
      <c r="F735" s="129"/>
      <c r="G735" s="129"/>
      <c r="H735" s="55"/>
      <c r="I735" s="133"/>
      <c r="J735" s="130"/>
      <c r="K735" s="56"/>
      <c r="L735" s="57"/>
      <c r="M735" s="129"/>
      <c r="N735" s="57"/>
      <c r="O735" s="54"/>
      <c r="P735" s="131" t="str">
        <f>IFERROR(VLOOKUP(C735,TD!$B$32:$F$36,2,0)," ")</f>
        <v xml:space="preserve"> </v>
      </c>
      <c r="Q735" s="131" t="str">
        <f>IFERROR(VLOOKUP(C735,TD!$B$32:$F$36,3,0)," ")</f>
        <v xml:space="preserve"> </v>
      </c>
      <c r="R735" s="131" t="str">
        <f>IFERROR(VLOOKUP(C735,TD!$B$32:$F$36,4,0)," ")</f>
        <v xml:space="preserve"> </v>
      </c>
      <c r="S735" s="54"/>
      <c r="T735" s="131" t="str">
        <f>IFERROR(VLOOKUP(S735,TD!$J$33:$K$43,2,0)," ")</f>
        <v xml:space="preserve"> </v>
      </c>
      <c r="U735" s="54" t="str">
        <f t="shared" si="44"/>
        <v xml:space="preserve">- </v>
      </c>
      <c r="V735" s="54"/>
      <c r="W735" s="131" t="str">
        <f>IFERROR(VLOOKUP(V735,TD!$N$33:$O$45,2,0)," ")</f>
        <v xml:space="preserve"> </v>
      </c>
      <c r="X735" s="54" t="str">
        <f t="shared" si="45"/>
        <v xml:space="preserve">_ </v>
      </c>
      <c r="Y735" s="54" t="str">
        <f t="shared" si="46"/>
        <v xml:space="preserve">-  _ </v>
      </c>
      <c r="Z735" s="131" t="str">
        <f t="shared" si="47"/>
        <v xml:space="preserve">   </v>
      </c>
      <c r="AA735" s="131" t="str">
        <f>IFERROR(VLOOKUP(Y735,TD!$K$46:$L$64,2,0)," ")</f>
        <v xml:space="preserve"> </v>
      </c>
      <c r="AB735" s="57"/>
      <c r="AC735" s="132"/>
    </row>
    <row r="736" spans="2:29" s="28" customFormat="1">
      <c r="B736" s="85"/>
      <c r="C736" s="53"/>
      <c r="D736" s="129"/>
      <c r="E736" s="54"/>
      <c r="F736" s="129"/>
      <c r="G736" s="129"/>
      <c r="H736" s="55"/>
      <c r="I736" s="133"/>
      <c r="J736" s="130"/>
      <c r="K736" s="56"/>
      <c r="L736" s="57"/>
      <c r="M736" s="129"/>
      <c r="N736" s="57"/>
      <c r="O736" s="54"/>
      <c r="P736" s="131" t="str">
        <f>IFERROR(VLOOKUP(C736,TD!$B$32:$F$36,2,0)," ")</f>
        <v xml:space="preserve"> </v>
      </c>
      <c r="Q736" s="131" t="str">
        <f>IFERROR(VLOOKUP(C736,TD!$B$32:$F$36,3,0)," ")</f>
        <v xml:space="preserve"> </v>
      </c>
      <c r="R736" s="131" t="str">
        <f>IFERROR(VLOOKUP(C736,TD!$B$32:$F$36,4,0)," ")</f>
        <v xml:space="preserve"> </v>
      </c>
      <c r="S736" s="54"/>
      <c r="T736" s="131" t="str">
        <f>IFERROR(VLOOKUP(S736,TD!$J$33:$K$43,2,0)," ")</f>
        <v xml:space="preserve"> </v>
      </c>
      <c r="U736" s="54" t="str">
        <f t="shared" si="44"/>
        <v xml:space="preserve">- </v>
      </c>
      <c r="V736" s="54"/>
      <c r="W736" s="131" t="str">
        <f>IFERROR(VLOOKUP(V736,TD!$N$33:$O$45,2,0)," ")</f>
        <v xml:space="preserve"> </v>
      </c>
      <c r="X736" s="54" t="str">
        <f t="shared" si="45"/>
        <v xml:space="preserve">_ </v>
      </c>
      <c r="Y736" s="54" t="str">
        <f t="shared" si="46"/>
        <v xml:space="preserve">-  _ </v>
      </c>
      <c r="Z736" s="131" t="str">
        <f t="shared" si="47"/>
        <v xml:space="preserve">   </v>
      </c>
      <c r="AA736" s="131" t="str">
        <f>IFERROR(VLOOKUP(Y736,TD!$K$46:$L$64,2,0)," ")</f>
        <v xml:space="preserve"> </v>
      </c>
      <c r="AB736" s="57"/>
      <c r="AC736" s="132"/>
    </row>
    <row r="737" spans="2:29" s="28" customFormat="1">
      <c r="B737" s="85"/>
      <c r="C737" s="53"/>
      <c r="D737" s="129"/>
      <c r="E737" s="54"/>
      <c r="F737" s="129"/>
      <c r="G737" s="129"/>
      <c r="H737" s="55"/>
      <c r="I737" s="133"/>
      <c r="J737" s="130"/>
      <c r="K737" s="56"/>
      <c r="L737" s="57"/>
      <c r="M737" s="129"/>
      <c r="N737" s="57"/>
      <c r="O737" s="54"/>
      <c r="P737" s="131" t="str">
        <f>IFERROR(VLOOKUP(C737,TD!$B$32:$F$36,2,0)," ")</f>
        <v xml:space="preserve"> </v>
      </c>
      <c r="Q737" s="131" t="str">
        <f>IFERROR(VLOOKUP(C737,TD!$B$32:$F$36,3,0)," ")</f>
        <v xml:space="preserve"> </v>
      </c>
      <c r="R737" s="131" t="str">
        <f>IFERROR(VLOOKUP(C737,TD!$B$32:$F$36,4,0)," ")</f>
        <v xml:space="preserve"> </v>
      </c>
      <c r="S737" s="54"/>
      <c r="T737" s="131" t="str">
        <f>IFERROR(VLOOKUP(S737,TD!$J$33:$K$43,2,0)," ")</f>
        <v xml:space="preserve"> </v>
      </c>
      <c r="U737" s="54" t="str">
        <f t="shared" si="44"/>
        <v xml:space="preserve">- </v>
      </c>
      <c r="V737" s="54"/>
      <c r="W737" s="131" t="str">
        <f>IFERROR(VLOOKUP(V737,TD!$N$33:$O$45,2,0)," ")</f>
        <v xml:space="preserve"> </v>
      </c>
      <c r="X737" s="54" t="str">
        <f t="shared" si="45"/>
        <v xml:space="preserve">_ </v>
      </c>
      <c r="Y737" s="54" t="str">
        <f t="shared" si="46"/>
        <v xml:space="preserve">-  _ </v>
      </c>
      <c r="Z737" s="131" t="str">
        <f t="shared" si="47"/>
        <v xml:space="preserve">   </v>
      </c>
      <c r="AA737" s="131" t="str">
        <f>IFERROR(VLOOKUP(Y737,TD!$K$46:$L$64,2,0)," ")</f>
        <v xml:space="preserve"> </v>
      </c>
      <c r="AB737" s="57"/>
      <c r="AC737" s="132"/>
    </row>
    <row r="738" spans="2:29" s="28" customFormat="1">
      <c r="B738" s="85"/>
      <c r="C738" s="53"/>
      <c r="D738" s="129"/>
      <c r="E738" s="54"/>
      <c r="F738" s="129"/>
      <c r="G738" s="129"/>
      <c r="H738" s="55"/>
      <c r="I738" s="133"/>
      <c r="J738" s="130"/>
      <c r="K738" s="56"/>
      <c r="L738" s="57"/>
      <c r="M738" s="129"/>
      <c r="N738" s="57"/>
      <c r="O738" s="54"/>
      <c r="P738" s="131" t="str">
        <f>IFERROR(VLOOKUP(C738,TD!$B$32:$F$36,2,0)," ")</f>
        <v xml:space="preserve"> </v>
      </c>
      <c r="Q738" s="131" t="str">
        <f>IFERROR(VLOOKUP(C738,TD!$B$32:$F$36,3,0)," ")</f>
        <v xml:space="preserve"> </v>
      </c>
      <c r="R738" s="131" t="str">
        <f>IFERROR(VLOOKUP(C738,TD!$B$32:$F$36,4,0)," ")</f>
        <v xml:space="preserve"> </v>
      </c>
      <c r="S738" s="54"/>
      <c r="T738" s="131" t="str">
        <f>IFERROR(VLOOKUP(S738,TD!$J$33:$K$43,2,0)," ")</f>
        <v xml:space="preserve"> </v>
      </c>
      <c r="U738" s="54" t="str">
        <f t="shared" si="44"/>
        <v xml:space="preserve">- </v>
      </c>
      <c r="V738" s="54"/>
      <c r="W738" s="131" t="str">
        <f>IFERROR(VLOOKUP(V738,TD!$N$33:$O$45,2,0)," ")</f>
        <v xml:space="preserve"> </v>
      </c>
      <c r="X738" s="54" t="str">
        <f t="shared" si="45"/>
        <v xml:space="preserve">_ </v>
      </c>
      <c r="Y738" s="54" t="str">
        <f t="shared" si="46"/>
        <v xml:space="preserve">-  _ </v>
      </c>
      <c r="Z738" s="131" t="str">
        <f t="shared" si="47"/>
        <v xml:space="preserve">   </v>
      </c>
      <c r="AA738" s="131" t="str">
        <f>IFERROR(VLOOKUP(Y738,TD!$K$46:$L$64,2,0)," ")</f>
        <v xml:space="preserve"> </v>
      </c>
      <c r="AB738" s="57"/>
      <c r="AC738" s="132"/>
    </row>
    <row r="739" spans="2:29" s="28" customFormat="1">
      <c r="B739" s="85"/>
      <c r="C739" s="53"/>
      <c r="D739" s="129"/>
      <c r="E739" s="54"/>
      <c r="F739" s="129"/>
      <c r="G739" s="129"/>
      <c r="H739" s="55"/>
      <c r="I739" s="133"/>
      <c r="J739" s="130"/>
      <c r="K739" s="56"/>
      <c r="L739" s="57"/>
      <c r="M739" s="129"/>
      <c r="N739" s="57"/>
      <c r="O739" s="54"/>
      <c r="P739" s="131" t="str">
        <f>IFERROR(VLOOKUP(C739,TD!$B$32:$F$36,2,0)," ")</f>
        <v xml:space="preserve"> </v>
      </c>
      <c r="Q739" s="131" t="str">
        <f>IFERROR(VLOOKUP(C739,TD!$B$32:$F$36,3,0)," ")</f>
        <v xml:space="preserve"> </v>
      </c>
      <c r="R739" s="131" t="str">
        <f>IFERROR(VLOOKUP(C739,TD!$B$32:$F$36,4,0)," ")</f>
        <v xml:space="preserve"> </v>
      </c>
      <c r="S739" s="54"/>
      <c r="T739" s="131" t="str">
        <f>IFERROR(VLOOKUP(S739,TD!$J$33:$K$43,2,0)," ")</f>
        <v xml:space="preserve"> </v>
      </c>
      <c r="U739" s="54" t="str">
        <f t="shared" si="44"/>
        <v xml:space="preserve">- </v>
      </c>
      <c r="V739" s="54"/>
      <c r="W739" s="131" t="str">
        <f>IFERROR(VLOOKUP(V739,TD!$N$33:$O$45,2,0)," ")</f>
        <v xml:space="preserve"> </v>
      </c>
      <c r="X739" s="54" t="str">
        <f t="shared" si="45"/>
        <v xml:space="preserve">_ </v>
      </c>
      <c r="Y739" s="54" t="str">
        <f t="shared" si="46"/>
        <v xml:space="preserve">-  _ </v>
      </c>
      <c r="Z739" s="131" t="str">
        <f t="shared" si="47"/>
        <v xml:space="preserve">   </v>
      </c>
      <c r="AA739" s="131" t="str">
        <f>IFERROR(VLOOKUP(Y739,TD!$K$46:$L$64,2,0)," ")</f>
        <v xml:space="preserve"> </v>
      </c>
      <c r="AB739" s="57"/>
      <c r="AC739" s="132"/>
    </row>
    <row r="740" spans="2:29" s="28" customFormat="1">
      <c r="B740" s="85"/>
      <c r="C740" s="53"/>
      <c r="D740" s="129"/>
      <c r="E740" s="54"/>
      <c r="F740" s="129"/>
      <c r="G740" s="129"/>
      <c r="H740" s="55"/>
      <c r="I740" s="133"/>
      <c r="J740" s="130"/>
      <c r="K740" s="56"/>
      <c r="L740" s="57"/>
      <c r="M740" s="129"/>
      <c r="N740" s="57"/>
      <c r="O740" s="54"/>
      <c r="P740" s="131" t="str">
        <f>IFERROR(VLOOKUP(C740,TD!$B$32:$F$36,2,0)," ")</f>
        <v xml:space="preserve"> </v>
      </c>
      <c r="Q740" s="131" t="str">
        <f>IFERROR(VLOOKUP(C740,TD!$B$32:$F$36,3,0)," ")</f>
        <v xml:space="preserve"> </v>
      </c>
      <c r="R740" s="131" t="str">
        <f>IFERROR(VLOOKUP(C740,TD!$B$32:$F$36,4,0)," ")</f>
        <v xml:space="preserve"> </v>
      </c>
      <c r="S740" s="54"/>
      <c r="T740" s="131" t="str">
        <f>IFERROR(VLOOKUP(S740,TD!$J$33:$K$43,2,0)," ")</f>
        <v xml:space="preserve"> </v>
      </c>
      <c r="U740" s="54" t="str">
        <f t="shared" si="44"/>
        <v xml:space="preserve">- </v>
      </c>
      <c r="V740" s="54"/>
      <c r="W740" s="131" t="str">
        <f>IFERROR(VLOOKUP(V740,TD!$N$33:$O$45,2,0)," ")</f>
        <v xml:space="preserve"> </v>
      </c>
      <c r="X740" s="54" t="str">
        <f t="shared" si="45"/>
        <v xml:space="preserve">_ </v>
      </c>
      <c r="Y740" s="54" t="str">
        <f t="shared" si="46"/>
        <v xml:space="preserve">-  _ </v>
      </c>
      <c r="Z740" s="131" t="str">
        <f t="shared" si="47"/>
        <v xml:space="preserve">   </v>
      </c>
      <c r="AA740" s="131" t="str">
        <f>IFERROR(VLOOKUP(Y740,TD!$K$46:$L$64,2,0)," ")</f>
        <v xml:space="preserve"> </v>
      </c>
      <c r="AB740" s="57"/>
      <c r="AC740" s="132"/>
    </row>
    <row r="741" spans="2:29" s="28" customFormat="1">
      <c r="B741" s="85"/>
      <c r="C741" s="53"/>
      <c r="D741" s="129"/>
      <c r="E741" s="54"/>
      <c r="F741" s="129"/>
      <c r="G741" s="129"/>
      <c r="H741" s="55"/>
      <c r="I741" s="133"/>
      <c r="J741" s="130"/>
      <c r="K741" s="56"/>
      <c r="L741" s="57"/>
      <c r="M741" s="129"/>
      <c r="N741" s="57"/>
      <c r="O741" s="54"/>
      <c r="P741" s="131" t="str">
        <f>IFERROR(VLOOKUP(C741,TD!$B$32:$F$36,2,0)," ")</f>
        <v xml:space="preserve"> </v>
      </c>
      <c r="Q741" s="131" t="str">
        <f>IFERROR(VLOOKUP(C741,TD!$B$32:$F$36,3,0)," ")</f>
        <v xml:space="preserve"> </v>
      </c>
      <c r="R741" s="131" t="str">
        <f>IFERROR(VLOOKUP(C741,TD!$B$32:$F$36,4,0)," ")</f>
        <v xml:space="preserve"> </v>
      </c>
      <c r="S741" s="54"/>
      <c r="T741" s="131" t="str">
        <f>IFERROR(VLOOKUP(S741,TD!$J$33:$K$43,2,0)," ")</f>
        <v xml:space="preserve"> </v>
      </c>
      <c r="U741" s="54" t="str">
        <f t="shared" si="44"/>
        <v xml:space="preserve">- </v>
      </c>
      <c r="V741" s="54"/>
      <c r="W741" s="131" t="str">
        <f>IFERROR(VLOOKUP(V741,TD!$N$33:$O$45,2,0)," ")</f>
        <v xml:space="preserve"> </v>
      </c>
      <c r="X741" s="54" t="str">
        <f t="shared" si="45"/>
        <v xml:space="preserve">_ </v>
      </c>
      <c r="Y741" s="54" t="str">
        <f t="shared" si="46"/>
        <v xml:space="preserve">-  _ </v>
      </c>
      <c r="Z741" s="131" t="str">
        <f t="shared" si="47"/>
        <v xml:space="preserve">   </v>
      </c>
      <c r="AA741" s="131" t="str">
        <f>IFERROR(VLOOKUP(Y741,TD!$K$46:$L$64,2,0)," ")</f>
        <v xml:space="preserve"> </v>
      </c>
      <c r="AB741" s="57"/>
      <c r="AC741" s="132"/>
    </row>
    <row r="742" spans="2:29" s="28" customFormat="1">
      <c r="B742" s="85"/>
      <c r="C742" s="53"/>
      <c r="D742" s="129"/>
      <c r="E742" s="54"/>
      <c r="F742" s="129"/>
      <c r="G742" s="129"/>
      <c r="H742" s="55"/>
      <c r="I742" s="133"/>
      <c r="J742" s="130"/>
      <c r="K742" s="56"/>
      <c r="L742" s="57"/>
      <c r="M742" s="129"/>
      <c r="N742" s="57"/>
      <c r="O742" s="54"/>
      <c r="P742" s="131" t="str">
        <f>IFERROR(VLOOKUP(C742,TD!$B$32:$F$36,2,0)," ")</f>
        <v xml:space="preserve"> </v>
      </c>
      <c r="Q742" s="131" t="str">
        <f>IFERROR(VLOOKUP(C742,TD!$B$32:$F$36,3,0)," ")</f>
        <v xml:space="preserve"> </v>
      </c>
      <c r="R742" s="131" t="str">
        <f>IFERROR(VLOOKUP(C742,TD!$B$32:$F$36,4,0)," ")</f>
        <v xml:space="preserve"> </v>
      </c>
      <c r="S742" s="54"/>
      <c r="T742" s="131" t="str">
        <f>IFERROR(VLOOKUP(S742,TD!$J$33:$K$43,2,0)," ")</f>
        <v xml:space="preserve"> </v>
      </c>
      <c r="U742" s="54" t="str">
        <f t="shared" si="44"/>
        <v xml:space="preserve">- </v>
      </c>
      <c r="V742" s="54"/>
      <c r="W742" s="131" t="str">
        <f>IFERROR(VLOOKUP(V742,TD!$N$33:$O$45,2,0)," ")</f>
        <v xml:space="preserve"> </v>
      </c>
      <c r="X742" s="54" t="str">
        <f t="shared" si="45"/>
        <v xml:space="preserve">_ </v>
      </c>
      <c r="Y742" s="54" t="str">
        <f t="shared" si="46"/>
        <v xml:space="preserve">-  _ </v>
      </c>
      <c r="Z742" s="131" t="str">
        <f t="shared" si="47"/>
        <v xml:space="preserve">   </v>
      </c>
      <c r="AA742" s="131" t="str">
        <f>IFERROR(VLOOKUP(Y742,TD!$K$46:$L$64,2,0)," ")</f>
        <v xml:space="preserve"> </v>
      </c>
      <c r="AB742" s="57"/>
      <c r="AC742" s="132"/>
    </row>
    <row r="743" spans="2:29" s="28" customFormat="1">
      <c r="B743" s="85"/>
      <c r="C743" s="53"/>
      <c r="D743" s="129"/>
      <c r="E743" s="54"/>
      <c r="F743" s="129"/>
      <c r="G743" s="129"/>
      <c r="H743" s="55"/>
      <c r="I743" s="133"/>
      <c r="J743" s="130"/>
      <c r="K743" s="56"/>
      <c r="L743" s="57"/>
      <c r="M743" s="129"/>
      <c r="N743" s="57"/>
      <c r="O743" s="54"/>
      <c r="P743" s="131" t="str">
        <f>IFERROR(VLOOKUP(C743,TD!$B$32:$F$36,2,0)," ")</f>
        <v xml:space="preserve"> </v>
      </c>
      <c r="Q743" s="131" t="str">
        <f>IFERROR(VLOOKUP(C743,TD!$B$32:$F$36,3,0)," ")</f>
        <v xml:space="preserve"> </v>
      </c>
      <c r="R743" s="131" t="str">
        <f>IFERROR(VLOOKUP(C743,TD!$B$32:$F$36,4,0)," ")</f>
        <v xml:space="preserve"> </v>
      </c>
      <c r="S743" s="54"/>
      <c r="T743" s="131" t="str">
        <f>IFERROR(VLOOKUP(S743,TD!$J$33:$K$43,2,0)," ")</f>
        <v xml:space="preserve"> </v>
      </c>
      <c r="U743" s="54" t="str">
        <f t="shared" si="44"/>
        <v xml:space="preserve">- </v>
      </c>
      <c r="V743" s="54"/>
      <c r="W743" s="131" t="str">
        <f>IFERROR(VLOOKUP(V743,TD!$N$33:$O$45,2,0)," ")</f>
        <v xml:space="preserve"> </v>
      </c>
      <c r="X743" s="54" t="str">
        <f t="shared" si="45"/>
        <v xml:space="preserve">_ </v>
      </c>
      <c r="Y743" s="54" t="str">
        <f t="shared" si="46"/>
        <v xml:space="preserve">-  _ </v>
      </c>
      <c r="Z743" s="131" t="str">
        <f t="shared" si="47"/>
        <v xml:space="preserve">   </v>
      </c>
      <c r="AA743" s="131" t="str">
        <f>IFERROR(VLOOKUP(Y743,TD!$K$46:$L$64,2,0)," ")</f>
        <v xml:space="preserve"> </v>
      </c>
      <c r="AB743" s="57"/>
      <c r="AC743" s="132"/>
    </row>
    <row r="744" spans="2:29" s="28" customFormat="1">
      <c r="B744" s="85"/>
      <c r="C744" s="53"/>
      <c r="D744" s="129"/>
      <c r="E744" s="54"/>
      <c r="F744" s="129"/>
      <c r="G744" s="129"/>
      <c r="H744" s="55"/>
      <c r="I744" s="133"/>
      <c r="J744" s="130"/>
      <c r="K744" s="56"/>
      <c r="L744" s="57"/>
      <c r="M744" s="129"/>
      <c r="N744" s="57"/>
      <c r="O744" s="54"/>
      <c r="P744" s="131" t="str">
        <f>IFERROR(VLOOKUP(C744,TD!$B$32:$F$36,2,0)," ")</f>
        <v xml:space="preserve"> </v>
      </c>
      <c r="Q744" s="131" t="str">
        <f>IFERROR(VLOOKUP(C744,TD!$B$32:$F$36,3,0)," ")</f>
        <v xml:space="preserve"> </v>
      </c>
      <c r="R744" s="131" t="str">
        <f>IFERROR(VLOOKUP(C744,TD!$B$32:$F$36,4,0)," ")</f>
        <v xml:space="preserve"> </v>
      </c>
      <c r="S744" s="54"/>
      <c r="T744" s="131" t="str">
        <f>IFERROR(VLOOKUP(S744,TD!$J$33:$K$43,2,0)," ")</f>
        <v xml:space="preserve"> </v>
      </c>
      <c r="U744" s="54" t="str">
        <f t="shared" si="44"/>
        <v xml:space="preserve">- </v>
      </c>
      <c r="V744" s="54"/>
      <c r="W744" s="131" t="str">
        <f>IFERROR(VLOOKUP(V744,TD!$N$33:$O$45,2,0)," ")</f>
        <v xml:space="preserve"> </v>
      </c>
      <c r="X744" s="54" t="str">
        <f t="shared" si="45"/>
        <v xml:space="preserve">_ </v>
      </c>
      <c r="Y744" s="54" t="str">
        <f t="shared" si="46"/>
        <v xml:space="preserve">-  _ </v>
      </c>
      <c r="Z744" s="131" t="str">
        <f t="shared" si="47"/>
        <v xml:space="preserve">   </v>
      </c>
      <c r="AA744" s="131" t="str">
        <f>IFERROR(VLOOKUP(Y744,TD!$K$46:$L$64,2,0)," ")</f>
        <v xml:space="preserve"> </v>
      </c>
      <c r="AB744" s="57"/>
      <c r="AC744" s="132"/>
    </row>
    <row r="745" spans="2:29" s="28" customFormat="1">
      <c r="B745" s="85"/>
      <c r="C745" s="53"/>
      <c r="D745" s="129"/>
      <c r="E745" s="54"/>
      <c r="F745" s="129"/>
      <c r="G745" s="129"/>
      <c r="H745" s="55"/>
      <c r="I745" s="133"/>
      <c r="J745" s="130"/>
      <c r="K745" s="56"/>
      <c r="L745" s="57"/>
      <c r="M745" s="129"/>
      <c r="N745" s="57"/>
      <c r="O745" s="54"/>
      <c r="P745" s="131" t="str">
        <f>IFERROR(VLOOKUP(C745,TD!$B$32:$F$36,2,0)," ")</f>
        <v xml:space="preserve"> </v>
      </c>
      <c r="Q745" s="131" t="str">
        <f>IFERROR(VLOOKUP(C745,TD!$B$32:$F$36,3,0)," ")</f>
        <v xml:space="preserve"> </v>
      </c>
      <c r="R745" s="131" t="str">
        <f>IFERROR(VLOOKUP(C745,TD!$B$32:$F$36,4,0)," ")</f>
        <v xml:space="preserve"> </v>
      </c>
      <c r="S745" s="54"/>
      <c r="T745" s="131" t="str">
        <f>IFERROR(VLOOKUP(S745,TD!$J$33:$K$43,2,0)," ")</f>
        <v xml:space="preserve"> </v>
      </c>
      <c r="U745" s="54" t="str">
        <f t="shared" si="44"/>
        <v xml:space="preserve">- </v>
      </c>
      <c r="V745" s="54"/>
      <c r="W745" s="131" t="str">
        <f>IFERROR(VLOOKUP(V745,TD!$N$33:$O$45,2,0)," ")</f>
        <v xml:space="preserve"> </v>
      </c>
      <c r="X745" s="54" t="str">
        <f t="shared" si="45"/>
        <v xml:space="preserve">_ </v>
      </c>
      <c r="Y745" s="54" t="str">
        <f t="shared" si="46"/>
        <v xml:space="preserve">-  _ </v>
      </c>
      <c r="Z745" s="131" t="str">
        <f t="shared" si="47"/>
        <v xml:space="preserve">   </v>
      </c>
      <c r="AA745" s="131" t="str">
        <f>IFERROR(VLOOKUP(Y745,TD!$K$46:$L$64,2,0)," ")</f>
        <v xml:space="preserve"> </v>
      </c>
      <c r="AB745" s="57"/>
      <c r="AC745" s="132"/>
    </row>
    <row r="746" spans="2:29" s="28" customFormat="1">
      <c r="B746" s="85"/>
      <c r="C746" s="53"/>
      <c r="D746" s="129"/>
      <c r="E746" s="54"/>
      <c r="F746" s="129"/>
      <c r="G746" s="129"/>
      <c r="H746" s="55"/>
      <c r="I746" s="133"/>
      <c r="J746" s="130"/>
      <c r="K746" s="56"/>
      <c r="L746" s="57"/>
      <c r="M746" s="129"/>
      <c r="N746" s="57"/>
      <c r="O746" s="54"/>
      <c r="P746" s="131" t="str">
        <f>IFERROR(VLOOKUP(C746,TD!$B$32:$F$36,2,0)," ")</f>
        <v xml:space="preserve"> </v>
      </c>
      <c r="Q746" s="131" t="str">
        <f>IFERROR(VLOOKUP(C746,TD!$B$32:$F$36,3,0)," ")</f>
        <v xml:space="preserve"> </v>
      </c>
      <c r="R746" s="131" t="str">
        <f>IFERROR(VLOOKUP(C746,TD!$B$32:$F$36,4,0)," ")</f>
        <v xml:space="preserve"> </v>
      </c>
      <c r="S746" s="54"/>
      <c r="T746" s="131" t="str">
        <f>IFERROR(VLOOKUP(S746,TD!$J$33:$K$43,2,0)," ")</f>
        <v xml:space="preserve"> </v>
      </c>
      <c r="U746" s="54" t="str">
        <f t="shared" si="44"/>
        <v xml:space="preserve">- </v>
      </c>
      <c r="V746" s="54"/>
      <c r="W746" s="131" t="str">
        <f>IFERROR(VLOOKUP(V746,TD!$N$33:$O$45,2,0)," ")</f>
        <v xml:space="preserve"> </v>
      </c>
      <c r="X746" s="54" t="str">
        <f t="shared" si="45"/>
        <v xml:space="preserve">_ </v>
      </c>
      <c r="Y746" s="54" t="str">
        <f t="shared" si="46"/>
        <v xml:space="preserve">-  _ </v>
      </c>
      <c r="Z746" s="131" t="str">
        <f t="shared" si="47"/>
        <v xml:space="preserve">   </v>
      </c>
      <c r="AA746" s="131" t="str">
        <f>IFERROR(VLOOKUP(Y746,TD!$K$46:$L$64,2,0)," ")</f>
        <v xml:space="preserve"> </v>
      </c>
      <c r="AB746" s="57"/>
      <c r="AC746" s="132"/>
    </row>
    <row r="747" spans="2:29" s="28" customFormat="1">
      <c r="B747" s="85"/>
      <c r="C747" s="53"/>
      <c r="D747" s="129"/>
      <c r="E747" s="54"/>
      <c r="F747" s="129"/>
      <c r="G747" s="129"/>
      <c r="H747" s="55"/>
      <c r="I747" s="133"/>
      <c r="J747" s="130"/>
      <c r="K747" s="56"/>
      <c r="L747" s="57"/>
      <c r="M747" s="129"/>
      <c r="N747" s="57"/>
      <c r="O747" s="54"/>
      <c r="P747" s="131" t="str">
        <f>IFERROR(VLOOKUP(C747,TD!$B$32:$F$36,2,0)," ")</f>
        <v xml:space="preserve"> </v>
      </c>
      <c r="Q747" s="131" t="str">
        <f>IFERROR(VLOOKUP(C747,TD!$B$32:$F$36,3,0)," ")</f>
        <v xml:space="preserve"> </v>
      </c>
      <c r="R747" s="131" t="str">
        <f>IFERROR(VLOOKUP(C747,TD!$B$32:$F$36,4,0)," ")</f>
        <v xml:space="preserve"> </v>
      </c>
      <c r="S747" s="54"/>
      <c r="T747" s="131" t="str">
        <f>IFERROR(VLOOKUP(S747,TD!$J$33:$K$43,2,0)," ")</f>
        <v xml:space="preserve"> </v>
      </c>
      <c r="U747" s="54" t="str">
        <f t="shared" si="44"/>
        <v xml:space="preserve">- </v>
      </c>
      <c r="V747" s="54"/>
      <c r="W747" s="131" t="str">
        <f>IFERROR(VLOOKUP(V747,TD!$N$33:$O$45,2,0)," ")</f>
        <v xml:space="preserve"> </v>
      </c>
      <c r="X747" s="54" t="str">
        <f t="shared" si="45"/>
        <v xml:space="preserve">_ </v>
      </c>
      <c r="Y747" s="54" t="str">
        <f t="shared" si="46"/>
        <v xml:space="preserve">-  _ </v>
      </c>
      <c r="Z747" s="131" t="str">
        <f t="shared" si="47"/>
        <v xml:space="preserve">   </v>
      </c>
      <c r="AA747" s="131" t="str">
        <f>IFERROR(VLOOKUP(Y747,TD!$K$46:$L$64,2,0)," ")</f>
        <v xml:space="preserve"> </v>
      </c>
      <c r="AB747" s="57"/>
      <c r="AC747" s="132"/>
    </row>
    <row r="748" spans="2:29" s="28" customFormat="1">
      <c r="B748" s="85"/>
      <c r="C748" s="53"/>
      <c r="D748" s="129"/>
      <c r="E748" s="54"/>
      <c r="F748" s="129"/>
      <c r="G748" s="129"/>
      <c r="H748" s="55"/>
      <c r="I748" s="133"/>
      <c r="J748" s="130"/>
      <c r="K748" s="56"/>
      <c r="L748" s="57"/>
      <c r="M748" s="129"/>
      <c r="N748" s="57"/>
      <c r="O748" s="54"/>
      <c r="P748" s="131" t="str">
        <f>IFERROR(VLOOKUP(C748,TD!$B$32:$F$36,2,0)," ")</f>
        <v xml:space="preserve"> </v>
      </c>
      <c r="Q748" s="131" t="str">
        <f>IFERROR(VLOOKUP(C748,TD!$B$32:$F$36,3,0)," ")</f>
        <v xml:space="preserve"> </v>
      </c>
      <c r="R748" s="131" t="str">
        <f>IFERROR(VLOOKUP(C748,TD!$B$32:$F$36,4,0)," ")</f>
        <v xml:space="preserve"> </v>
      </c>
      <c r="S748" s="54"/>
      <c r="T748" s="131" t="str">
        <f>IFERROR(VLOOKUP(S748,TD!$J$33:$K$43,2,0)," ")</f>
        <v xml:space="preserve"> </v>
      </c>
      <c r="U748" s="54" t="str">
        <f t="shared" si="44"/>
        <v xml:space="preserve">- </v>
      </c>
      <c r="V748" s="54"/>
      <c r="W748" s="131" t="str">
        <f>IFERROR(VLOOKUP(V748,TD!$N$33:$O$45,2,0)," ")</f>
        <v xml:space="preserve"> </v>
      </c>
      <c r="X748" s="54" t="str">
        <f t="shared" si="45"/>
        <v xml:space="preserve">_ </v>
      </c>
      <c r="Y748" s="54" t="str">
        <f t="shared" si="46"/>
        <v xml:space="preserve">-  _ </v>
      </c>
      <c r="Z748" s="131" t="str">
        <f t="shared" si="47"/>
        <v xml:space="preserve">   </v>
      </c>
      <c r="AA748" s="131" t="str">
        <f>IFERROR(VLOOKUP(Y748,TD!$K$46:$L$64,2,0)," ")</f>
        <v xml:space="preserve"> </v>
      </c>
      <c r="AB748" s="57"/>
      <c r="AC748" s="132"/>
    </row>
    <row r="749" spans="2:29" s="28" customFormat="1">
      <c r="B749" s="85"/>
      <c r="C749" s="53"/>
      <c r="D749" s="129"/>
      <c r="E749" s="54"/>
      <c r="F749" s="129"/>
      <c r="G749" s="129"/>
      <c r="H749" s="55"/>
      <c r="I749" s="133"/>
      <c r="J749" s="130"/>
      <c r="K749" s="56"/>
      <c r="L749" s="57"/>
      <c r="M749" s="129"/>
      <c r="N749" s="57"/>
      <c r="O749" s="54"/>
      <c r="P749" s="131" t="str">
        <f>IFERROR(VLOOKUP(C749,TD!$B$32:$F$36,2,0)," ")</f>
        <v xml:space="preserve"> </v>
      </c>
      <c r="Q749" s="131" t="str">
        <f>IFERROR(VLOOKUP(C749,TD!$B$32:$F$36,3,0)," ")</f>
        <v xml:space="preserve"> </v>
      </c>
      <c r="R749" s="131" t="str">
        <f>IFERROR(VLOOKUP(C749,TD!$B$32:$F$36,4,0)," ")</f>
        <v xml:space="preserve"> </v>
      </c>
      <c r="S749" s="54"/>
      <c r="T749" s="131" t="str">
        <f>IFERROR(VLOOKUP(S749,TD!$J$33:$K$43,2,0)," ")</f>
        <v xml:space="preserve"> </v>
      </c>
      <c r="U749" s="54" t="str">
        <f t="shared" si="44"/>
        <v xml:space="preserve">- </v>
      </c>
      <c r="V749" s="54"/>
      <c r="W749" s="131" t="str">
        <f>IFERROR(VLOOKUP(V749,TD!$N$33:$O$45,2,0)," ")</f>
        <v xml:space="preserve"> </v>
      </c>
      <c r="X749" s="54" t="str">
        <f t="shared" si="45"/>
        <v xml:space="preserve">_ </v>
      </c>
      <c r="Y749" s="54" t="str">
        <f t="shared" si="46"/>
        <v xml:space="preserve">-  _ </v>
      </c>
      <c r="Z749" s="131" t="str">
        <f t="shared" si="47"/>
        <v xml:space="preserve">   </v>
      </c>
      <c r="AA749" s="131" t="str">
        <f>IFERROR(VLOOKUP(Y749,TD!$K$46:$L$64,2,0)," ")</f>
        <v xml:space="preserve"> </v>
      </c>
      <c r="AB749" s="57"/>
      <c r="AC749" s="132"/>
    </row>
    <row r="750" spans="2:29" s="28" customFormat="1">
      <c r="B750" s="85"/>
      <c r="C750" s="53"/>
      <c r="D750" s="129"/>
      <c r="E750" s="54"/>
      <c r="F750" s="129"/>
      <c r="G750" s="129"/>
      <c r="H750" s="55"/>
      <c r="I750" s="133"/>
      <c r="J750" s="130"/>
      <c r="K750" s="56"/>
      <c r="L750" s="57"/>
      <c r="M750" s="129"/>
      <c r="N750" s="57"/>
      <c r="O750" s="54"/>
      <c r="P750" s="131" t="str">
        <f>IFERROR(VLOOKUP(C750,TD!$B$32:$F$36,2,0)," ")</f>
        <v xml:space="preserve"> </v>
      </c>
      <c r="Q750" s="131" t="str">
        <f>IFERROR(VLOOKUP(C750,TD!$B$32:$F$36,3,0)," ")</f>
        <v xml:space="preserve"> </v>
      </c>
      <c r="R750" s="131" t="str">
        <f>IFERROR(VLOOKUP(C750,TD!$B$32:$F$36,4,0)," ")</f>
        <v xml:space="preserve"> </v>
      </c>
      <c r="S750" s="54"/>
      <c r="T750" s="131" t="str">
        <f>IFERROR(VLOOKUP(S750,TD!$J$33:$K$43,2,0)," ")</f>
        <v xml:space="preserve"> </v>
      </c>
      <c r="U750" s="54" t="str">
        <f t="shared" si="44"/>
        <v xml:space="preserve">- </v>
      </c>
      <c r="V750" s="54"/>
      <c r="W750" s="131" t="str">
        <f>IFERROR(VLOOKUP(V750,TD!$N$33:$O$45,2,0)," ")</f>
        <v xml:space="preserve"> </v>
      </c>
      <c r="X750" s="54" t="str">
        <f t="shared" si="45"/>
        <v xml:space="preserve">_ </v>
      </c>
      <c r="Y750" s="54" t="str">
        <f t="shared" si="46"/>
        <v xml:space="preserve">-  _ </v>
      </c>
      <c r="Z750" s="131" t="str">
        <f t="shared" si="47"/>
        <v xml:space="preserve">   </v>
      </c>
      <c r="AA750" s="131" t="str">
        <f>IFERROR(VLOOKUP(Y750,TD!$K$46:$L$64,2,0)," ")</f>
        <v xml:space="preserve"> </v>
      </c>
      <c r="AB750" s="57"/>
      <c r="AC750" s="132"/>
    </row>
    <row r="751" spans="2:29" s="28" customFormat="1">
      <c r="B751" s="85"/>
      <c r="C751" s="53"/>
      <c r="D751" s="129"/>
      <c r="E751" s="54"/>
      <c r="F751" s="129"/>
      <c r="G751" s="129"/>
      <c r="H751" s="55"/>
      <c r="I751" s="133"/>
      <c r="J751" s="130"/>
      <c r="K751" s="56"/>
      <c r="L751" s="57"/>
      <c r="M751" s="129"/>
      <c r="N751" s="57"/>
      <c r="O751" s="54"/>
      <c r="P751" s="131" t="str">
        <f>IFERROR(VLOOKUP(C751,TD!$B$32:$F$36,2,0)," ")</f>
        <v xml:space="preserve"> </v>
      </c>
      <c r="Q751" s="131" t="str">
        <f>IFERROR(VLOOKUP(C751,TD!$B$32:$F$36,3,0)," ")</f>
        <v xml:space="preserve"> </v>
      </c>
      <c r="R751" s="131" t="str">
        <f>IFERROR(VLOOKUP(C751,TD!$B$32:$F$36,4,0)," ")</f>
        <v xml:space="preserve"> </v>
      </c>
      <c r="S751" s="54"/>
      <c r="T751" s="131" t="str">
        <f>IFERROR(VLOOKUP(S751,TD!$J$33:$K$43,2,0)," ")</f>
        <v xml:space="preserve"> </v>
      </c>
      <c r="U751" s="54" t="str">
        <f t="shared" si="44"/>
        <v xml:space="preserve">- </v>
      </c>
      <c r="V751" s="54"/>
      <c r="W751" s="131" t="str">
        <f>IFERROR(VLOOKUP(V751,TD!$N$33:$O$45,2,0)," ")</f>
        <v xml:space="preserve"> </v>
      </c>
      <c r="X751" s="54" t="str">
        <f t="shared" si="45"/>
        <v xml:space="preserve">_ </v>
      </c>
      <c r="Y751" s="54" t="str">
        <f t="shared" si="46"/>
        <v xml:space="preserve">-  _ </v>
      </c>
      <c r="Z751" s="131" t="str">
        <f t="shared" si="47"/>
        <v xml:space="preserve">   </v>
      </c>
      <c r="AA751" s="131" t="str">
        <f>IFERROR(VLOOKUP(Y751,TD!$K$46:$L$64,2,0)," ")</f>
        <v xml:space="preserve"> </v>
      </c>
      <c r="AB751" s="57"/>
      <c r="AC751" s="132"/>
    </row>
    <row r="752" spans="2:29" s="28" customFormat="1">
      <c r="B752" s="85"/>
      <c r="C752" s="53"/>
      <c r="D752" s="129"/>
      <c r="E752" s="54"/>
      <c r="F752" s="129"/>
      <c r="G752" s="129"/>
      <c r="H752" s="55"/>
      <c r="I752" s="133"/>
      <c r="J752" s="130"/>
      <c r="K752" s="56"/>
      <c r="L752" s="57"/>
      <c r="M752" s="129"/>
      <c r="N752" s="57"/>
      <c r="O752" s="54"/>
      <c r="P752" s="131" t="str">
        <f>IFERROR(VLOOKUP(C752,TD!$B$32:$F$36,2,0)," ")</f>
        <v xml:space="preserve"> </v>
      </c>
      <c r="Q752" s="131" t="str">
        <f>IFERROR(VLOOKUP(C752,TD!$B$32:$F$36,3,0)," ")</f>
        <v xml:space="preserve"> </v>
      </c>
      <c r="R752" s="131" t="str">
        <f>IFERROR(VLOOKUP(C752,TD!$B$32:$F$36,4,0)," ")</f>
        <v xml:space="preserve"> </v>
      </c>
      <c r="S752" s="54"/>
      <c r="T752" s="131" t="str">
        <f>IFERROR(VLOOKUP(S752,TD!$J$33:$K$43,2,0)," ")</f>
        <v xml:space="preserve"> </v>
      </c>
      <c r="U752" s="54" t="str">
        <f t="shared" si="44"/>
        <v xml:space="preserve">- </v>
      </c>
      <c r="V752" s="54"/>
      <c r="W752" s="131" t="str">
        <f>IFERROR(VLOOKUP(V752,TD!$N$33:$O$45,2,0)," ")</f>
        <v xml:space="preserve"> </v>
      </c>
      <c r="X752" s="54" t="str">
        <f t="shared" si="45"/>
        <v xml:space="preserve">_ </v>
      </c>
      <c r="Y752" s="54" t="str">
        <f t="shared" si="46"/>
        <v xml:space="preserve">-  _ </v>
      </c>
      <c r="Z752" s="131" t="str">
        <f t="shared" si="47"/>
        <v xml:space="preserve">   </v>
      </c>
      <c r="AA752" s="131" t="str">
        <f>IFERROR(VLOOKUP(Y752,TD!$K$46:$L$64,2,0)," ")</f>
        <v xml:space="preserve"> </v>
      </c>
      <c r="AB752" s="57"/>
      <c r="AC752" s="132"/>
    </row>
    <row r="753" spans="2:29" s="28" customFormat="1">
      <c r="B753" s="85"/>
      <c r="C753" s="53"/>
      <c r="D753" s="129"/>
      <c r="E753" s="54"/>
      <c r="F753" s="129"/>
      <c r="G753" s="129"/>
      <c r="H753" s="55"/>
      <c r="I753" s="133"/>
      <c r="J753" s="130"/>
      <c r="K753" s="56"/>
      <c r="L753" s="57"/>
      <c r="M753" s="129"/>
      <c r="N753" s="57"/>
      <c r="O753" s="54"/>
      <c r="P753" s="131" t="str">
        <f>IFERROR(VLOOKUP(C753,TD!$B$32:$F$36,2,0)," ")</f>
        <v xml:space="preserve"> </v>
      </c>
      <c r="Q753" s="131" t="str">
        <f>IFERROR(VLOOKUP(C753,TD!$B$32:$F$36,3,0)," ")</f>
        <v xml:space="preserve"> </v>
      </c>
      <c r="R753" s="131" t="str">
        <f>IFERROR(VLOOKUP(C753,TD!$B$32:$F$36,4,0)," ")</f>
        <v xml:space="preserve"> </v>
      </c>
      <c r="S753" s="54"/>
      <c r="T753" s="131" t="str">
        <f>IFERROR(VLOOKUP(S753,TD!$J$33:$K$43,2,0)," ")</f>
        <v xml:space="preserve"> </v>
      </c>
      <c r="U753" s="54" t="str">
        <f t="shared" si="44"/>
        <v xml:space="preserve">- </v>
      </c>
      <c r="V753" s="54"/>
      <c r="W753" s="131" t="str">
        <f>IFERROR(VLOOKUP(V753,TD!$N$33:$O$45,2,0)," ")</f>
        <v xml:space="preserve"> </v>
      </c>
      <c r="X753" s="54" t="str">
        <f t="shared" si="45"/>
        <v xml:space="preserve">_ </v>
      </c>
      <c r="Y753" s="54" t="str">
        <f t="shared" si="46"/>
        <v xml:space="preserve">-  _ </v>
      </c>
      <c r="Z753" s="131" t="str">
        <f t="shared" si="47"/>
        <v xml:space="preserve">   </v>
      </c>
      <c r="AA753" s="131" t="str">
        <f>IFERROR(VLOOKUP(Y753,TD!$K$46:$L$64,2,0)," ")</f>
        <v xml:space="preserve"> </v>
      </c>
      <c r="AB753" s="57"/>
      <c r="AC753" s="132"/>
    </row>
    <row r="754" spans="2:29" s="28" customFormat="1">
      <c r="B754" s="85"/>
      <c r="C754" s="53"/>
      <c r="D754" s="129"/>
      <c r="E754" s="54"/>
      <c r="F754" s="129"/>
      <c r="G754" s="129"/>
      <c r="H754" s="55"/>
      <c r="I754" s="133"/>
      <c r="J754" s="130"/>
      <c r="K754" s="56"/>
      <c r="L754" s="57"/>
      <c r="M754" s="129"/>
      <c r="N754" s="57"/>
      <c r="O754" s="54"/>
      <c r="P754" s="131" t="str">
        <f>IFERROR(VLOOKUP(C754,TD!$B$32:$F$36,2,0)," ")</f>
        <v xml:space="preserve"> </v>
      </c>
      <c r="Q754" s="131" t="str">
        <f>IFERROR(VLOOKUP(C754,TD!$B$32:$F$36,3,0)," ")</f>
        <v xml:space="preserve"> </v>
      </c>
      <c r="R754" s="131" t="str">
        <f>IFERROR(VLOOKUP(C754,TD!$B$32:$F$36,4,0)," ")</f>
        <v xml:space="preserve"> </v>
      </c>
      <c r="S754" s="54"/>
      <c r="T754" s="131" t="str">
        <f>IFERROR(VLOOKUP(S754,TD!$J$33:$K$43,2,0)," ")</f>
        <v xml:space="preserve"> </v>
      </c>
      <c r="U754" s="54" t="str">
        <f t="shared" si="44"/>
        <v xml:space="preserve">- </v>
      </c>
      <c r="V754" s="54"/>
      <c r="W754" s="131" t="str">
        <f>IFERROR(VLOOKUP(V754,TD!$N$33:$O$45,2,0)," ")</f>
        <v xml:space="preserve"> </v>
      </c>
      <c r="X754" s="54" t="str">
        <f t="shared" si="45"/>
        <v xml:space="preserve">_ </v>
      </c>
      <c r="Y754" s="54" t="str">
        <f t="shared" si="46"/>
        <v xml:space="preserve">-  _ </v>
      </c>
      <c r="Z754" s="131" t="str">
        <f t="shared" si="47"/>
        <v xml:space="preserve">   </v>
      </c>
      <c r="AA754" s="131" t="str">
        <f>IFERROR(VLOOKUP(Y754,TD!$K$46:$L$64,2,0)," ")</f>
        <v xml:space="preserve"> </v>
      </c>
      <c r="AB754" s="57"/>
      <c r="AC754" s="132"/>
    </row>
    <row r="755" spans="2:29" s="28" customFormat="1">
      <c r="B755" s="85"/>
      <c r="C755" s="53"/>
      <c r="D755" s="129"/>
      <c r="E755" s="54"/>
      <c r="F755" s="129"/>
      <c r="G755" s="129"/>
      <c r="H755" s="55"/>
      <c r="I755" s="133"/>
      <c r="J755" s="130"/>
      <c r="K755" s="56"/>
      <c r="L755" s="57"/>
      <c r="M755" s="129"/>
      <c r="N755" s="57"/>
      <c r="O755" s="54"/>
      <c r="P755" s="131" t="str">
        <f>IFERROR(VLOOKUP(C755,TD!$B$32:$F$36,2,0)," ")</f>
        <v xml:space="preserve"> </v>
      </c>
      <c r="Q755" s="131" t="str">
        <f>IFERROR(VLOOKUP(C755,TD!$B$32:$F$36,3,0)," ")</f>
        <v xml:space="preserve"> </v>
      </c>
      <c r="R755" s="131" t="str">
        <f>IFERROR(VLOOKUP(C755,TD!$B$32:$F$36,4,0)," ")</f>
        <v xml:space="preserve"> </v>
      </c>
      <c r="S755" s="54"/>
      <c r="T755" s="131" t="str">
        <f>IFERROR(VLOOKUP(S755,TD!$J$33:$K$43,2,0)," ")</f>
        <v xml:space="preserve"> </v>
      </c>
      <c r="U755" s="54" t="str">
        <f t="shared" si="44"/>
        <v xml:space="preserve">- </v>
      </c>
      <c r="V755" s="54"/>
      <c r="W755" s="131" t="str">
        <f>IFERROR(VLOOKUP(V755,TD!$N$33:$O$45,2,0)," ")</f>
        <v xml:space="preserve"> </v>
      </c>
      <c r="X755" s="54" t="str">
        <f t="shared" si="45"/>
        <v xml:space="preserve">_ </v>
      </c>
      <c r="Y755" s="54" t="str">
        <f t="shared" si="46"/>
        <v xml:space="preserve">-  _ </v>
      </c>
      <c r="Z755" s="131" t="str">
        <f t="shared" si="47"/>
        <v xml:space="preserve">   </v>
      </c>
      <c r="AA755" s="131" t="str">
        <f>IFERROR(VLOOKUP(Y755,TD!$K$46:$L$64,2,0)," ")</f>
        <v xml:space="preserve"> </v>
      </c>
      <c r="AB755" s="57"/>
      <c r="AC755" s="132"/>
    </row>
    <row r="756" spans="2:29" s="28" customFormat="1">
      <c r="B756" s="85"/>
      <c r="C756" s="53"/>
      <c r="D756" s="129"/>
      <c r="E756" s="54"/>
      <c r="F756" s="129"/>
      <c r="G756" s="129"/>
      <c r="H756" s="55"/>
      <c r="I756" s="133"/>
      <c r="J756" s="130"/>
      <c r="K756" s="56"/>
      <c r="L756" s="57"/>
      <c r="M756" s="129"/>
      <c r="N756" s="57"/>
      <c r="O756" s="54"/>
      <c r="P756" s="131" t="str">
        <f>IFERROR(VLOOKUP(C756,TD!$B$32:$F$36,2,0)," ")</f>
        <v xml:space="preserve"> </v>
      </c>
      <c r="Q756" s="131" t="str">
        <f>IFERROR(VLOOKUP(C756,TD!$B$32:$F$36,3,0)," ")</f>
        <v xml:space="preserve"> </v>
      </c>
      <c r="R756" s="131" t="str">
        <f>IFERROR(VLOOKUP(C756,TD!$B$32:$F$36,4,0)," ")</f>
        <v xml:space="preserve"> </v>
      </c>
      <c r="S756" s="54"/>
      <c r="T756" s="131" t="str">
        <f>IFERROR(VLOOKUP(S756,TD!$J$33:$K$43,2,0)," ")</f>
        <v xml:space="preserve"> </v>
      </c>
      <c r="U756" s="54" t="str">
        <f t="shared" si="44"/>
        <v xml:space="preserve">- </v>
      </c>
      <c r="V756" s="54"/>
      <c r="W756" s="131" t="str">
        <f>IFERROR(VLOOKUP(V756,TD!$N$33:$O$45,2,0)," ")</f>
        <v xml:space="preserve"> </v>
      </c>
      <c r="X756" s="54" t="str">
        <f t="shared" si="45"/>
        <v xml:space="preserve">_ </v>
      </c>
      <c r="Y756" s="54" t="str">
        <f t="shared" si="46"/>
        <v xml:space="preserve">-  _ </v>
      </c>
      <c r="Z756" s="131" t="str">
        <f t="shared" si="47"/>
        <v xml:space="preserve">   </v>
      </c>
      <c r="AA756" s="131" t="str">
        <f>IFERROR(VLOOKUP(Y756,TD!$K$46:$L$64,2,0)," ")</f>
        <v xml:space="preserve"> </v>
      </c>
      <c r="AB756" s="57"/>
      <c r="AC756" s="132"/>
    </row>
    <row r="757" spans="2:29" s="28" customFormat="1">
      <c r="B757" s="85"/>
      <c r="C757" s="53"/>
      <c r="D757" s="129"/>
      <c r="E757" s="54"/>
      <c r="F757" s="129"/>
      <c r="G757" s="129"/>
      <c r="H757" s="55"/>
      <c r="I757" s="133"/>
      <c r="J757" s="130"/>
      <c r="K757" s="56"/>
      <c r="L757" s="57"/>
      <c r="M757" s="129"/>
      <c r="N757" s="57"/>
      <c r="O757" s="54"/>
      <c r="P757" s="131" t="str">
        <f>IFERROR(VLOOKUP(C757,TD!$B$32:$F$36,2,0)," ")</f>
        <v xml:space="preserve"> </v>
      </c>
      <c r="Q757" s="131" t="str">
        <f>IFERROR(VLOOKUP(C757,TD!$B$32:$F$36,3,0)," ")</f>
        <v xml:space="preserve"> </v>
      </c>
      <c r="R757" s="131" t="str">
        <f>IFERROR(VLOOKUP(C757,TD!$B$32:$F$36,4,0)," ")</f>
        <v xml:space="preserve"> </v>
      </c>
      <c r="S757" s="54"/>
      <c r="T757" s="131" t="str">
        <f>IFERROR(VLOOKUP(S757,TD!$J$33:$K$43,2,0)," ")</f>
        <v xml:space="preserve"> </v>
      </c>
      <c r="U757" s="54" t="str">
        <f t="shared" si="44"/>
        <v xml:space="preserve">- </v>
      </c>
      <c r="V757" s="54"/>
      <c r="W757" s="131" t="str">
        <f>IFERROR(VLOOKUP(V757,TD!$N$33:$O$45,2,0)," ")</f>
        <v xml:space="preserve"> </v>
      </c>
      <c r="X757" s="54" t="str">
        <f t="shared" si="45"/>
        <v xml:space="preserve">_ </v>
      </c>
      <c r="Y757" s="54" t="str">
        <f t="shared" si="46"/>
        <v xml:space="preserve">-  _ </v>
      </c>
      <c r="Z757" s="131" t="str">
        <f t="shared" si="47"/>
        <v xml:space="preserve">   </v>
      </c>
      <c r="AA757" s="131" t="str">
        <f>IFERROR(VLOOKUP(Y757,TD!$K$46:$L$64,2,0)," ")</f>
        <v xml:space="preserve"> </v>
      </c>
      <c r="AB757" s="57"/>
      <c r="AC757" s="132"/>
    </row>
    <row r="758" spans="2:29" s="28" customFormat="1">
      <c r="B758" s="85"/>
      <c r="C758" s="53"/>
      <c r="D758" s="129"/>
      <c r="E758" s="54"/>
      <c r="F758" s="129"/>
      <c r="G758" s="129"/>
      <c r="H758" s="55"/>
      <c r="I758" s="133"/>
      <c r="J758" s="130"/>
      <c r="K758" s="56"/>
      <c r="L758" s="57"/>
      <c r="M758" s="129"/>
      <c r="N758" s="57"/>
      <c r="O758" s="54"/>
      <c r="P758" s="131" t="str">
        <f>IFERROR(VLOOKUP(C758,TD!$B$32:$F$36,2,0)," ")</f>
        <v xml:space="preserve"> </v>
      </c>
      <c r="Q758" s="131" t="str">
        <f>IFERROR(VLOOKUP(C758,TD!$B$32:$F$36,3,0)," ")</f>
        <v xml:space="preserve"> </v>
      </c>
      <c r="R758" s="131" t="str">
        <f>IFERROR(VLOOKUP(C758,TD!$B$32:$F$36,4,0)," ")</f>
        <v xml:space="preserve"> </v>
      </c>
      <c r="S758" s="54"/>
      <c r="T758" s="131" t="str">
        <f>IFERROR(VLOOKUP(S758,TD!$J$33:$K$43,2,0)," ")</f>
        <v xml:space="preserve"> </v>
      </c>
      <c r="U758" s="54" t="str">
        <f t="shared" si="44"/>
        <v xml:space="preserve">- </v>
      </c>
      <c r="V758" s="54"/>
      <c r="W758" s="131" t="str">
        <f>IFERROR(VLOOKUP(V758,TD!$N$33:$O$45,2,0)," ")</f>
        <v xml:space="preserve"> </v>
      </c>
      <c r="X758" s="54" t="str">
        <f t="shared" si="45"/>
        <v xml:space="preserve">_ </v>
      </c>
      <c r="Y758" s="54" t="str">
        <f t="shared" si="46"/>
        <v xml:space="preserve">-  _ </v>
      </c>
      <c r="Z758" s="131" t="str">
        <f t="shared" si="47"/>
        <v xml:space="preserve">   </v>
      </c>
      <c r="AA758" s="131" t="str">
        <f>IFERROR(VLOOKUP(Y758,TD!$K$46:$L$64,2,0)," ")</f>
        <v xml:space="preserve"> </v>
      </c>
      <c r="AB758" s="57"/>
      <c r="AC758" s="132"/>
    </row>
    <row r="759" spans="2:29" s="28" customFormat="1">
      <c r="B759" s="85"/>
      <c r="C759" s="53"/>
      <c r="D759" s="129"/>
      <c r="E759" s="54"/>
      <c r="F759" s="129"/>
      <c r="G759" s="129"/>
      <c r="H759" s="55"/>
      <c r="I759" s="133"/>
      <c r="J759" s="130"/>
      <c r="K759" s="56"/>
      <c r="L759" s="57"/>
      <c r="M759" s="129"/>
      <c r="N759" s="57"/>
      <c r="O759" s="54"/>
      <c r="P759" s="131" t="str">
        <f>IFERROR(VLOOKUP(C759,TD!$B$32:$F$36,2,0)," ")</f>
        <v xml:space="preserve"> </v>
      </c>
      <c r="Q759" s="131" t="str">
        <f>IFERROR(VLOOKUP(C759,TD!$B$32:$F$36,3,0)," ")</f>
        <v xml:space="preserve"> </v>
      </c>
      <c r="R759" s="131" t="str">
        <f>IFERROR(VLOOKUP(C759,TD!$B$32:$F$36,4,0)," ")</f>
        <v xml:space="preserve"> </v>
      </c>
      <c r="S759" s="54"/>
      <c r="T759" s="131" t="str">
        <f>IFERROR(VLOOKUP(S759,TD!$J$33:$K$43,2,0)," ")</f>
        <v xml:space="preserve"> </v>
      </c>
      <c r="U759" s="54" t="str">
        <f t="shared" si="44"/>
        <v xml:space="preserve">- </v>
      </c>
      <c r="V759" s="54"/>
      <c r="W759" s="131" t="str">
        <f>IFERROR(VLOOKUP(V759,TD!$N$33:$O$45,2,0)," ")</f>
        <v xml:space="preserve"> </v>
      </c>
      <c r="X759" s="54" t="str">
        <f t="shared" si="45"/>
        <v xml:space="preserve">_ </v>
      </c>
      <c r="Y759" s="54" t="str">
        <f t="shared" si="46"/>
        <v xml:space="preserve">-  _ </v>
      </c>
      <c r="Z759" s="131" t="str">
        <f t="shared" si="47"/>
        <v xml:space="preserve">   </v>
      </c>
      <c r="AA759" s="131" t="str">
        <f>IFERROR(VLOOKUP(Y759,TD!$K$46:$L$64,2,0)," ")</f>
        <v xml:space="preserve"> </v>
      </c>
      <c r="AB759" s="57"/>
      <c r="AC759" s="132"/>
    </row>
    <row r="760" spans="2:29" s="28" customFormat="1">
      <c r="B760" s="85"/>
      <c r="C760" s="53"/>
      <c r="D760" s="129"/>
      <c r="E760" s="54"/>
      <c r="F760" s="129"/>
      <c r="G760" s="129"/>
      <c r="H760" s="55"/>
      <c r="I760" s="133"/>
      <c r="J760" s="130"/>
      <c r="K760" s="56"/>
      <c r="L760" s="57"/>
      <c r="M760" s="129"/>
      <c r="N760" s="57"/>
      <c r="O760" s="54"/>
      <c r="P760" s="131" t="str">
        <f>IFERROR(VLOOKUP(C760,TD!$B$32:$F$36,2,0)," ")</f>
        <v xml:space="preserve"> </v>
      </c>
      <c r="Q760" s="131" t="str">
        <f>IFERROR(VLOOKUP(C760,TD!$B$32:$F$36,3,0)," ")</f>
        <v xml:space="preserve"> </v>
      </c>
      <c r="R760" s="131" t="str">
        <f>IFERROR(VLOOKUP(C760,TD!$B$32:$F$36,4,0)," ")</f>
        <v xml:space="preserve"> </v>
      </c>
      <c r="S760" s="54"/>
      <c r="T760" s="131" t="str">
        <f>IFERROR(VLOOKUP(S760,TD!$J$33:$K$43,2,0)," ")</f>
        <v xml:space="preserve"> </v>
      </c>
      <c r="U760" s="54" t="str">
        <f t="shared" si="44"/>
        <v xml:space="preserve">- </v>
      </c>
      <c r="V760" s="54"/>
      <c r="W760" s="131" t="str">
        <f>IFERROR(VLOOKUP(V760,TD!$N$33:$O$45,2,0)," ")</f>
        <v xml:space="preserve"> </v>
      </c>
      <c r="X760" s="54" t="str">
        <f t="shared" si="45"/>
        <v xml:space="preserve">_ </v>
      </c>
      <c r="Y760" s="54" t="str">
        <f t="shared" si="46"/>
        <v xml:space="preserve">-  _ </v>
      </c>
      <c r="Z760" s="131" t="str">
        <f t="shared" si="47"/>
        <v xml:space="preserve">   </v>
      </c>
      <c r="AA760" s="131" t="str">
        <f>IFERROR(VLOOKUP(Y760,TD!$K$46:$L$64,2,0)," ")</f>
        <v xml:space="preserve"> </v>
      </c>
      <c r="AB760" s="57"/>
      <c r="AC760" s="132"/>
    </row>
    <row r="761" spans="2:29" s="28" customFormat="1">
      <c r="B761" s="85"/>
      <c r="C761" s="53"/>
      <c r="D761" s="129"/>
      <c r="E761" s="54"/>
      <c r="F761" s="129"/>
      <c r="G761" s="129"/>
      <c r="H761" s="55"/>
      <c r="I761" s="133"/>
      <c r="J761" s="130"/>
      <c r="K761" s="56"/>
      <c r="L761" s="57"/>
      <c r="M761" s="129"/>
      <c r="N761" s="57"/>
      <c r="O761" s="54"/>
      <c r="P761" s="131" t="str">
        <f>IFERROR(VLOOKUP(C761,TD!$B$32:$F$36,2,0)," ")</f>
        <v xml:space="preserve"> </v>
      </c>
      <c r="Q761" s="131" t="str">
        <f>IFERROR(VLOOKUP(C761,TD!$B$32:$F$36,3,0)," ")</f>
        <v xml:space="preserve"> </v>
      </c>
      <c r="R761" s="131" t="str">
        <f>IFERROR(VLOOKUP(C761,TD!$B$32:$F$36,4,0)," ")</f>
        <v xml:space="preserve"> </v>
      </c>
      <c r="S761" s="54"/>
      <c r="T761" s="131" t="str">
        <f>IFERROR(VLOOKUP(S761,TD!$J$33:$K$43,2,0)," ")</f>
        <v xml:space="preserve"> </v>
      </c>
      <c r="U761" s="54" t="str">
        <f t="shared" si="44"/>
        <v xml:space="preserve">- </v>
      </c>
      <c r="V761" s="54"/>
      <c r="W761" s="131" t="str">
        <f>IFERROR(VLOOKUP(V761,TD!$N$33:$O$45,2,0)," ")</f>
        <v xml:space="preserve"> </v>
      </c>
      <c r="X761" s="54" t="str">
        <f t="shared" si="45"/>
        <v xml:space="preserve">_ </v>
      </c>
      <c r="Y761" s="54" t="str">
        <f t="shared" si="46"/>
        <v xml:space="preserve">-  _ </v>
      </c>
      <c r="Z761" s="131" t="str">
        <f t="shared" si="47"/>
        <v xml:space="preserve">   </v>
      </c>
      <c r="AA761" s="131" t="str">
        <f>IFERROR(VLOOKUP(Y761,TD!$K$46:$L$64,2,0)," ")</f>
        <v xml:space="preserve"> </v>
      </c>
      <c r="AB761" s="57"/>
      <c r="AC761" s="132"/>
    </row>
    <row r="762" spans="2:29" s="28" customFormat="1">
      <c r="B762" s="85"/>
      <c r="C762" s="53"/>
      <c r="D762" s="129"/>
      <c r="E762" s="54"/>
      <c r="F762" s="129"/>
      <c r="G762" s="129"/>
      <c r="H762" s="55"/>
      <c r="I762" s="133"/>
      <c r="J762" s="130"/>
      <c r="K762" s="56"/>
      <c r="L762" s="57"/>
      <c r="M762" s="129"/>
      <c r="N762" s="57"/>
      <c r="O762" s="54"/>
      <c r="P762" s="131" t="str">
        <f>IFERROR(VLOOKUP(C762,TD!$B$32:$F$36,2,0)," ")</f>
        <v xml:space="preserve"> </v>
      </c>
      <c r="Q762" s="131" t="str">
        <f>IFERROR(VLOOKUP(C762,TD!$B$32:$F$36,3,0)," ")</f>
        <v xml:space="preserve"> </v>
      </c>
      <c r="R762" s="131" t="str">
        <f>IFERROR(VLOOKUP(C762,TD!$B$32:$F$36,4,0)," ")</f>
        <v xml:space="preserve"> </v>
      </c>
      <c r="S762" s="54"/>
      <c r="T762" s="131" t="str">
        <f>IFERROR(VLOOKUP(S762,TD!$J$33:$K$43,2,0)," ")</f>
        <v xml:space="preserve"> </v>
      </c>
      <c r="U762" s="54" t="str">
        <f t="shared" si="44"/>
        <v xml:space="preserve">- </v>
      </c>
      <c r="V762" s="54"/>
      <c r="W762" s="131" t="str">
        <f>IFERROR(VLOOKUP(V762,TD!$N$33:$O$45,2,0)," ")</f>
        <v xml:space="preserve"> </v>
      </c>
      <c r="X762" s="54" t="str">
        <f t="shared" si="45"/>
        <v xml:space="preserve">_ </v>
      </c>
      <c r="Y762" s="54" t="str">
        <f t="shared" si="46"/>
        <v xml:space="preserve">-  _ </v>
      </c>
      <c r="Z762" s="131" t="str">
        <f t="shared" si="47"/>
        <v xml:space="preserve">   </v>
      </c>
      <c r="AA762" s="131" t="str">
        <f>IFERROR(VLOOKUP(Y762,TD!$K$46:$L$64,2,0)," ")</f>
        <v xml:space="preserve"> </v>
      </c>
      <c r="AB762" s="57"/>
      <c r="AC762" s="132"/>
    </row>
    <row r="763" spans="2:29" s="28" customFormat="1">
      <c r="B763" s="85"/>
      <c r="C763" s="53"/>
      <c r="D763" s="129"/>
      <c r="E763" s="54"/>
      <c r="F763" s="129"/>
      <c r="G763" s="129"/>
      <c r="H763" s="55"/>
      <c r="I763" s="133"/>
      <c r="J763" s="130"/>
      <c r="K763" s="56"/>
      <c r="L763" s="57"/>
      <c r="M763" s="129"/>
      <c r="N763" s="57"/>
      <c r="O763" s="54"/>
      <c r="P763" s="131" t="str">
        <f>IFERROR(VLOOKUP(C763,TD!$B$32:$F$36,2,0)," ")</f>
        <v xml:space="preserve"> </v>
      </c>
      <c r="Q763" s="131" t="str">
        <f>IFERROR(VLOOKUP(C763,TD!$B$32:$F$36,3,0)," ")</f>
        <v xml:space="preserve"> </v>
      </c>
      <c r="R763" s="131" t="str">
        <f>IFERROR(VLOOKUP(C763,TD!$B$32:$F$36,4,0)," ")</f>
        <v xml:space="preserve"> </v>
      </c>
      <c r="S763" s="54"/>
      <c r="T763" s="131" t="str">
        <f>IFERROR(VLOOKUP(S763,TD!$J$33:$K$43,2,0)," ")</f>
        <v xml:space="preserve"> </v>
      </c>
      <c r="U763" s="54" t="str">
        <f t="shared" si="44"/>
        <v xml:space="preserve">- </v>
      </c>
      <c r="V763" s="54"/>
      <c r="W763" s="131" t="str">
        <f>IFERROR(VLOOKUP(V763,TD!$N$33:$O$45,2,0)," ")</f>
        <v xml:space="preserve"> </v>
      </c>
      <c r="X763" s="54" t="str">
        <f t="shared" si="45"/>
        <v xml:space="preserve">_ </v>
      </c>
      <c r="Y763" s="54" t="str">
        <f t="shared" si="46"/>
        <v xml:space="preserve">-  _ </v>
      </c>
      <c r="Z763" s="131" t="str">
        <f t="shared" si="47"/>
        <v xml:space="preserve">   </v>
      </c>
      <c r="AA763" s="131" t="str">
        <f>IFERROR(VLOOKUP(Y763,TD!$K$46:$L$64,2,0)," ")</f>
        <v xml:space="preserve"> </v>
      </c>
      <c r="AB763" s="57"/>
      <c r="AC763" s="132"/>
    </row>
    <row r="764" spans="2:29" s="28" customFormat="1">
      <c r="B764" s="85"/>
      <c r="C764" s="53"/>
      <c r="D764" s="129"/>
      <c r="E764" s="54"/>
      <c r="F764" s="129"/>
      <c r="G764" s="129"/>
      <c r="H764" s="55"/>
      <c r="I764" s="133"/>
      <c r="J764" s="130"/>
      <c r="K764" s="56"/>
      <c r="L764" s="57"/>
      <c r="M764" s="129"/>
      <c r="N764" s="57"/>
      <c r="O764" s="54"/>
      <c r="P764" s="131" t="str">
        <f>IFERROR(VLOOKUP(C764,TD!$B$32:$F$36,2,0)," ")</f>
        <v xml:space="preserve"> </v>
      </c>
      <c r="Q764" s="131" t="str">
        <f>IFERROR(VLOOKUP(C764,TD!$B$32:$F$36,3,0)," ")</f>
        <v xml:space="preserve"> </v>
      </c>
      <c r="R764" s="131" t="str">
        <f>IFERROR(VLOOKUP(C764,TD!$B$32:$F$36,4,0)," ")</f>
        <v xml:space="preserve"> </v>
      </c>
      <c r="S764" s="54"/>
      <c r="T764" s="131" t="str">
        <f>IFERROR(VLOOKUP(S764,TD!$J$33:$K$43,2,0)," ")</f>
        <v xml:space="preserve"> </v>
      </c>
      <c r="U764" s="54" t="str">
        <f t="shared" si="44"/>
        <v xml:space="preserve">- </v>
      </c>
      <c r="V764" s="54"/>
      <c r="W764" s="131" t="str">
        <f>IFERROR(VLOOKUP(V764,TD!$N$33:$O$45,2,0)," ")</f>
        <v xml:space="preserve"> </v>
      </c>
      <c r="X764" s="54" t="str">
        <f t="shared" si="45"/>
        <v xml:space="preserve">_ </v>
      </c>
      <c r="Y764" s="54" t="str">
        <f t="shared" si="46"/>
        <v xml:space="preserve">-  _ </v>
      </c>
      <c r="Z764" s="131" t="str">
        <f t="shared" si="47"/>
        <v xml:space="preserve">   </v>
      </c>
      <c r="AA764" s="131" t="str">
        <f>IFERROR(VLOOKUP(Y764,TD!$K$46:$L$64,2,0)," ")</f>
        <v xml:space="preserve"> </v>
      </c>
      <c r="AB764" s="57"/>
      <c r="AC764" s="132"/>
    </row>
    <row r="765" spans="2:29" s="28" customFormat="1">
      <c r="B765" s="85"/>
      <c r="C765" s="53"/>
      <c r="D765" s="129"/>
      <c r="E765" s="54"/>
      <c r="F765" s="129"/>
      <c r="G765" s="129"/>
      <c r="H765" s="55"/>
      <c r="I765" s="133"/>
      <c r="J765" s="130"/>
      <c r="K765" s="56"/>
      <c r="L765" s="57"/>
      <c r="M765" s="129"/>
      <c r="N765" s="57"/>
      <c r="O765" s="54"/>
      <c r="P765" s="131" t="str">
        <f>IFERROR(VLOOKUP(C765,TD!$B$32:$F$36,2,0)," ")</f>
        <v xml:space="preserve"> </v>
      </c>
      <c r="Q765" s="131" t="str">
        <f>IFERROR(VLOOKUP(C765,TD!$B$32:$F$36,3,0)," ")</f>
        <v xml:space="preserve"> </v>
      </c>
      <c r="R765" s="131" t="str">
        <f>IFERROR(VLOOKUP(C765,TD!$B$32:$F$36,4,0)," ")</f>
        <v xml:space="preserve"> </v>
      </c>
      <c r="S765" s="54"/>
      <c r="T765" s="131" t="str">
        <f>IFERROR(VLOOKUP(S765,TD!$J$33:$K$43,2,0)," ")</f>
        <v xml:space="preserve"> </v>
      </c>
      <c r="U765" s="54" t="str">
        <f t="shared" si="44"/>
        <v xml:space="preserve">- </v>
      </c>
      <c r="V765" s="54"/>
      <c r="W765" s="131" t="str">
        <f>IFERROR(VLOOKUP(V765,TD!$N$33:$O$45,2,0)," ")</f>
        <v xml:space="preserve"> </v>
      </c>
      <c r="X765" s="54" t="str">
        <f t="shared" si="45"/>
        <v xml:space="preserve">_ </v>
      </c>
      <c r="Y765" s="54" t="str">
        <f t="shared" si="46"/>
        <v xml:space="preserve">-  _ </v>
      </c>
      <c r="Z765" s="131" t="str">
        <f t="shared" si="47"/>
        <v xml:space="preserve">   </v>
      </c>
      <c r="AA765" s="131" t="str">
        <f>IFERROR(VLOOKUP(Y765,TD!$K$46:$L$64,2,0)," ")</f>
        <v xml:space="preserve"> </v>
      </c>
      <c r="AB765" s="57"/>
      <c r="AC765" s="132"/>
    </row>
    <row r="766" spans="2:29" s="28" customFormat="1">
      <c r="B766" s="85"/>
      <c r="C766" s="53"/>
      <c r="D766" s="129"/>
      <c r="E766" s="54"/>
      <c r="F766" s="129"/>
      <c r="G766" s="129"/>
      <c r="H766" s="55"/>
      <c r="I766" s="133"/>
      <c r="J766" s="130"/>
      <c r="K766" s="56"/>
      <c r="L766" s="57"/>
      <c r="M766" s="129"/>
      <c r="N766" s="57"/>
      <c r="O766" s="54"/>
      <c r="P766" s="131" t="str">
        <f>IFERROR(VLOOKUP(C766,TD!$B$32:$F$36,2,0)," ")</f>
        <v xml:space="preserve"> </v>
      </c>
      <c r="Q766" s="131" t="str">
        <f>IFERROR(VLOOKUP(C766,TD!$B$32:$F$36,3,0)," ")</f>
        <v xml:space="preserve"> </v>
      </c>
      <c r="R766" s="131" t="str">
        <f>IFERROR(VLOOKUP(C766,TD!$B$32:$F$36,4,0)," ")</f>
        <v xml:space="preserve"> </v>
      </c>
      <c r="S766" s="54"/>
      <c r="T766" s="131" t="str">
        <f>IFERROR(VLOOKUP(S766,TD!$J$33:$K$43,2,0)," ")</f>
        <v xml:space="preserve"> </v>
      </c>
      <c r="U766" s="54" t="str">
        <f t="shared" si="44"/>
        <v xml:space="preserve">- </v>
      </c>
      <c r="V766" s="54"/>
      <c r="W766" s="131" t="str">
        <f>IFERROR(VLOOKUP(V766,TD!$N$33:$O$45,2,0)," ")</f>
        <v xml:space="preserve"> </v>
      </c>
      <c r="X766" s="54" t="str">
        <f t="shared" si="45"/>
        <v xml:space="preserve">_ </v>
      </c>
      <c r="Y766" s="54" t="str">
        <f t="shared" si="46"/>
        <v xml:space="preserve">-  _ </v>
      </c>
      <c r="Z766" s="131" t="str">
        <f t="shared" si="47"/>
        <v xml:space="preserve">   </v>
      </c>
      <c r="AA766" s="131" t="str">
        <f>IFERROR(VLOOKUP(Y766,TD!$K$46:$L$64,2,0)," ")</f>
        <v xml:space="preserve"> </v>
      </c>
      <c r="AB766" s="57"/>
      <c r="AC766" s="132"/>
    </row>
    <row r="767" spans="2:29" s="28" customFormat="1">
      <c r="B767" s="85"/>
      <c r="C767" s="53"/>
      <c r="D767" s="129"/>
      <c r="E767" s="54"/>
      <c r="F767" s="129"/>
      <c r="G767" s="129"/>
      <c r="H767" s="55"/>
      <c r="I767" s="133"/>
      <c r="J767" s="130"/>
      <c r="K767" s="56"/>
      <c r="L767" s="57"/>
      <c r="M767" s="129"/>
      <c r="N767" s="57"/>
      <c r="O767" s="54"/>
      <c r="P767" s="131" t="str">
        <f>IFERROR(VLOOKUP(C767,TD!$B$32:$F$36,2,0)," ")</f>
        <v xml:space="preserve"> </v>
      </c>
      <c r="Q767" s="131" t="str">
        <f>IFERROR(VLOOKUP(C767,TD!$B$32:$F$36,3,0)," ")</f>
        <v xml:space="preserve"> </v>
      </c>
      <c r="R767" s="131" t="str">
        <f>IFERROR(VLOOKUP(C767,TD!$B$32:$F$36,4,0)," ")</f>
        <v xml:space="preserve"> </v>
      </c>
      <c r="S767" s="54"/>
      <c r="T767" s="131" t="str">
        <f>IFERROR(VLOOKUP(S767,TD!$J$33:$K$43,2,0)," ")</f>
        <v xml:space="preserve"> </v>
      </c>
      <c r="U767" s="54" t="str">
        <f t="shared" si="44"/>
        <v xml:space="preserve">- </v>
      </c>
      <c r="V767" s="54"/>
      <c r="W767" s="131" t="str">
        <f>IFERROR(VLOOKUP(V767,TD!$N$33:$O$45,2,0)," ")</f>
        <v xml:space="preserve"> </v>
      </c>
      <c r="X767" s="54" t="str">
        <f t="shared" si="45"/>
        <v xml:space="preserve">_ </v>
      </c>
      <c r="Y767" s="54" t="str">
        <f t="shared" si="46"/>
        <v xml:space="preserve">-  _ </v>
      </c>
      <c r="Z767" s="131" t="str">
        <f t="shared" si="47"/>
        <v xml:space="preserve">   </v>
      </c>
      <c r="AA767" s="131" t="str">
        <f>IFERROR(VLOOKUP(Y767,TD!$K$46:$L$64,2,0)," ")</f>
        <v xml:space="preserve"> </v>
      </c>
      <c r="AB767" s="57"/>
      <c r="AC767" s="132"/>
    </row>
    <row r="768" spans="2:29" s="28" customFormat="1">
      <c r="B768" s="85"/>
      <c r="C768" s="53"/>
      <c r="D768" s="129"/>
      <c r="E768" s="54"/>
      <c r="F768" s="129"/>
      <c r="G768" s="129"/>
      <c r="H768" s="55"/>
      <c r="I768" s="133"/>
      <c r="J768" s="130"/>
      <c r="K768" s="56"/>
      <c r="L768" s="57"/>
      <c r="M768" s="129"/>
      <c r="N768" s="57"/>
      <c r="O768" s="54"/>
      <c r="P768" s="131" t="str">
        <f>IFERROR(VLOOKUP(C768,TD!$B$32:$F$36,2,0)," ")</f>
        <v xml:space="preserve"> </v>
      </c>
      <c r="Q768" s="131" t="str">
        <f>IFERROR(VLOOKUP(C768,TD!$B$32:$F$36,3,0)," ")</f>
        <v xml:space="preserve"> </v>
      </c>
      <c r="R768" s="131" t="str">
        <f>IFERROR(VLOOKUP(C768,TD!$B$32:$F$36,4,0)," ")</f>
        <v xml:space="preserve"> </v>
      </c>
      <c r="S768" s="54"/>
      <c r="T768" s="131" t="str">
        <f>IFERROR(VLOOKUP(S768,TD!$J$33:$K$43,2,0)," ")</f>
        <v xml:space="preserve"> </v>
      </c>
      <c r="U768" s="54" t="str">
        <f t="shared" si="44"/>
        <v xml:space="preserve">- </v>
      </c>
      <c r="V768" s="54"/>
      <c r="W768" s="131" t="str">
        <f>IFERROR(VLOOKUP(V768,TD!$N$33:$O$45,2,0)," ")</f>
        <v xml:space="preserve"> </v>
      </c>
      <c r="X768" s="54" t="str">
        <f t="shared" si="45"/>
        <v xml:space="preserve">_ </v>
      </c>
      <c r="Y768" s="54" t="str">
        <f t="shared" si="46"/>
        <v xml:space="preserve">-  _ </v>
      </c>
      <c r="Z768" s="131" t="str">
        <f t="shared" si="47"/>
        <v xml:space="preserve">   </v>
      </c>
      <c r="AA768" s="131" t="str">
        <f>IFERROR(VLOOKUP(Y768,TD!$K$46:$L$64,2,0)," ")</f>
        <v xml:space="preserve"> </v>
      </c>
      <c r="AB768" s="57"/>
      <c r="AC768" s="132"/>
    </row>
    <row r="769" spans="2:29" s="28" customFormat="1">
      <c r="B769" s="85"/>
      <c r="C769" s="53"/>
      <c r="D769" s="129"/>
      <c r="E769" s="54"/>
      <c r="F769" s="129"/>
      <c r="G769" s="129"/>
      <c r="H769" s="55"/>
      <c r="I769" s="133"/>
      <c r="J769" s="130"/>
      <c r="K769" s="56"/>
      <c r="L769" s="57"/>
      <c r="M769" s="129"/>
      <c r="N769" s="57"/>
      <c r="O769" s="54"/>
      <c r="P769" s="131" t="str">
        <f>IFERROR(VLOOKUP(C769,TD!$B$32:$F$36,2,0)," ")</f>
        <v xml:space="preserve"> </v>
      </c>
      <c r="Q769" s="131" t="str">
        <f>IFERROR(VLOOKUP(C769,TD!$B$32:$F$36,3,0)," ")</f>
        <v xml:space="preserve"> </v>
      </c>
      <c r="R769" s="131" t="str">
        <f>IFERROR(VLOOKUP(C769,TD!$B$32:$F$36,4,0)," ")</f>
        <v xml:space="preserve"> </v>
      </c>
      <c r="S769" s="54"/>
      <c r="T769" s="131" t="str">
        <f>IFERROR(VLOOKUP(S769,TD!$J$33:$K$43,2,0)," ")</f>
        <v xml:space="preserve"> </v>
      </c>
      <c r="U769" s="54" t="str">
        <f t="shared" si="44"/>
        <v xml:space="preserve">- </v>
      </c>
      <c r="V769" s="54"/>
      <c r="W769" s="131" t="str">
        <f>IFERROR(VLOOKUP(V769,TD!$N$33:$O$45,2,0)," ")</f>
        <v xml:space="preserve"> </v>
      </c>
      <c r="X769" s="54" t="str">
        <f t="shared" si="45"/>
        <v xml:space="preserve">_ </v>
      </c>
      <c r="Y769" s="54" t="str">
        <f t="shared" si="46"/>
        <v xml:space="preserve">-  _ </v>
      </c>
      <c r="Z769" s="131" t="str">
        <f t="shared" si="47"/>
        <v xml:space="preserve">   </v>
      </c>
      <c r="AA769" s="131" t="str">
        <f>IFERROR(VLOOKUP(Y769,TD!$K$46:$L$64,2,0)," ")</f>
        <v xml:space="preserve"> </v>
      </c>
      <c r="AB769" s="57"/>
      <c r="AC769" s="132"/>
    </row>
    <row r="770" spans="2:29" s="28" customFormat="1">
      <c r="B770" s="85"/>
      <c r="C770" s="53"/>
      <c r="D770" s="129"/>
      <c r="E770" s="54"/>
      <c r="F770" s="129"/>
      <c r="G770" s="129"/>
      <c r="H770" s="55"/>
      <c r="I770" s="133"/>
      <c r="J770" s="130"/>
      <c r="K770" s="56"/>
      <c r="L770" s="57"/>
      <c r="M770" s="129"/>
      <c r="N770" s="57"/>
      <c r="O770" s="54"/>
      <c r="P770" s="131" t="str">
        <f>IFERROR(VLOOKUP(C770,TD!$B$32:$F$36,2,0)," ")</f>
        <v xml:space="preserve"> </v>
      </c>
      <c r="Q770" s="131" t="str">
        <f>IFERROR(VLOOKUP(C770,TD!$B$32:$F$36,3,0)," ")</f>
        <v xml:space="preserve"> </v>
      </c>
      <c r="R770" s="131" t="str">
        <f>IFERROR(VLOOKUP(C770,TD!$B$32:$F$36,4,0)," ")</f>
        <v xml:space="preserve"> </v>
      </c>
      <c r="S770" s="54"/>
      <c r="T770" s="131" t="str">
        <f>IFERROR(VLOOKUP(S770,TD!$J$33:$K$43,2,0)," ")</f>
        <v xml:space="preserve"> </v>
      </c>
      <c r="U770" s="54" t="str">
        <f t="shared" si="44"/>
        <v xml:space="preserve">- </v>
      </c>
      <c r="V770" s="54"/>
      <c r="W770" s="131" t="str">
        <f>IFERROR(VLOOKUP(V770,TD!$N$33:$O$45,2,0)," ")</f>
        <v xml:space="preserve"> </v>
      </c>
      <c r="X770" s="54" t="str">
        <f t="shared" si="45"/>
        <v xml:space="preserve">_ </v>
      </c>
      <c r="Y770" s="54" t="str">
        <f t="shared" si="46"/>
        <v xml:space="preserve">-  _ </v>
      </c>
      <c r="Z770" s="131" t="str">
        <f t="shared" si="47"/>
        <v xml:space="preserve">   </v>
      </c>
      <c r="AA770" s="131" t="str">
        <f>IFERROR(VLOOKUP(Y770,TD!$K$46:$L$64,2,0)," ")</f>
        <v xml:space="preserve"> </v>
      </c>
      <c r="AB770" s="57"/>
      <c r="AC770" s="132"/>
    </row>
    <row r="771" spans="2:29" s="28" customFormat="1">
      <c r="B771" s="85"/>
      <c r="C771" s="53"/>
      <c r="D771" s="129"/>
      <c r="E771" s="54"/>
      <c r="F771" s="129"/>
      <c r="G771" s="129"/>
      <c r="H771" s="55"/>
      <c r="I771" s="133"/>
      <c r="J771" s="130"/>
      <c r="K771" s="56"/>
      <c r="L771" s="57"/>
      <c r="M771" s="129"/>
      <c r="N771" s="57"/>
      <c r="O771" s="54"/>
      <c r="P771" s="131" t="str">
        <f>IFERROR(VLOOKUP(C771,TD!$B$32:$F$36,2,0)," ")</f>
        <v xml:space="preserve"> </v>
      </c>
      <c r="Q771" s="131" t="str">
        <f>IFERROR(VLOOKUP(C771,TD!$B$32:$F$36,3,0)," ")</f>
        <v xml:space="preserve"> </v>
      </c>
      <c r="R771" s="131" t="str">
        <f>IFERROR(VLOOKUP(C771,TD!$B$32:$F$36,4,0)," ")</f>
        <v xml:space="preserve"> </v>
      </c>
      <c r="S771" s="54"/>
      <c r="T771" s="131" t="str">
        <f>IFERROR(VLOOKUP(S771,TD!$J$33:$K$43,2,0)," ")</f>
        <v xml:space="preserve"> </v>
      </c>
      <c r="U771" s="54" t="str">
        <f t="shared" si="44"/>
        <v xml:space="preserve">- </v>
      </c>
      <c r="V771" s="54"/>
      <c r="W771" s="131" t="str">
        <f>IFERROR(VLOOKUP(V771,TD!$N$33:$O$45,2,0)," ")</f>
        <v xml:space="preserve"> </v>
      </c>
      <c r="X771" s="54" t="str">
        <f t="shared" si="45"/>
        <v xml:space="preserve">_ </v>
      </c>
      <c r="Y771" s="54" t="str">
        <f t="shared" si="46"/>
        <v xml:space="preserve">-  _ </v>
      </c>
      <c r="Z771" s="131" t="str">
        <f t="shared" si="47"/>
        <v xml:space="preserve">   </v>
      </c>
      <c r="AA771" s="131" t="str">
        <f>IFERROR(VLOOKUP(Y771,TD!$K$46:$L$64,2,0)," ")</f>
        <v xml:space="preserve"> </v>
      </c>
      <c r="AB771" s="57"/>
      <c r="AC771" s="132"/>
    </row>
    <row r="772" spans="2:29" s="28" customFormat="1">
      <c r="B772" s="85"/>
      <c r="C772" s="53"/>
      <c r="D772" s="129"/>
      <c r="E772" s="54"/>
      <c r="F772" s="129"/>
      <c r="G772" s="129"/>
      <c r="H772" s="55"/>
      <c r="I772" s="133"/>
      <c r="J772" s="130"/>
      <c r="K772" s="56"/>
      <c r="L772" s="57"/>
      <c r="M772" s="129"/>
      <c r="N772" s="57"/>
      <c r="O772" s="54"/>
      <c r="P772" s="131" t="str">
        <f>IFERROR(VLOOKUP(C772,TD!$B$32:$F$36,2,0)," ")</f>
        <v xml:space="preserve"> </v>
      </c>
      <c r="Q772" s="131" t="str">
        <f>IFERROR(VLOOKUP(C772,TD!$B$32:$F$36,3,0)," ")</f>
        <v xml:space="preserve"> </v>
      </c>
      <c r="R772" s="131" t="str">
        <f>IFERROR(VLOOKUP(C772,TD!$B$32:$F$36,4,0)," ")</f>
        <v xml:space="preserve"> </v>
      </c>
      <c r="S772" s="54"/>
      <c r="T772" s="131" t="str">
        <f>IFERROR(VLOOKUP(S772,TD!$J$33:$K$43,2,0)," ")</f>
        <v xml:space="preserve"> </v>
      </c>
      <c r="U772" s="54" t="str">
        <f t="shared" si="44"/>
        <v xml:space="preserve">- </v>
      </c>
      <c r="V772" s="54"/>
      <c r="W772" s="131" t="str">
        <f>IFERROR(VLOOKUP(V772,TD!$N$33:$O$45,2,0)," ")</f>
        <v xml:space="preserve"> </v>
      </c>
      <c r="X772" s="54" t="str">
        <f t="shared" si="45"/>
        <v xml:space="preserve">_ </v>
      </c>
      <c r="Y772" s="54" t="str">
        <f t="shared" si="46"/>
        <v xml:space="preserve">-  _ </v>
      </c>
      <c r="Z772" s="131" t="str">
        <f t="shared" si="47"/>
        <v xml:space="preserve">   </v>
      </c>
      <c r="AA772" s="131" t="str">
        <f>IFERROR(VLOOKUP(Y772,TD!$K$46:$L$64,2,0)," ")</f>
        <v xml:space="preserve"> </v>
      </c>
      <c r="AB772" s="57"/>
      <c r="AC772" s="132"/>
    </row>
    <row r="773" spans="2:29" s="28" customFormat="1">
      <c r="B773" s="85"/>
      <c r="C773" s="53"/>
      <c r="D773" s="129"/>
      <c r="E773" s="54"/>
      <c r="F773" s="129"/>
      <c r="G773" s="129"/>
      <c r="H773" s="55"/>
      <c r="I773" s="133"/>
      <c r="J773" s="130"/>
      <c r="K773" s="56"/>
      <c r="L773" s="57"/>
      <c r="M773" s="129"/>
      <c r="N773" s="57"/>
      <c r="O773" s="54"/>
      <c r="P773" s="131" t="str">
        <f>IFERROR(VLOOKUP(C773,TD!$B$32:$F$36,2,0)," ")</f>
        <v xml:space="preserve"> </v>
      </c>
      <c r="Q773" s="131" t="str">
        <f>IFERROR(VLOOKUP(C773,TD!$B$32:$F$36,3,0)," ")</f>
        <v xml:space="preserve"> </v>
      </c>
      <c r="R773" s="131" t="str">
        <f>IFERROR(VLOOKUP(C773,TD!$B$32:$F$36,4,0)," ")</f>
        <v xml:space="preserve"> </v>
      </c>
      <c r="S773" s="54"/>
      <c r="T773" s="131" t="str">
        <f>IFERROR(VLOOKUP(S773,TD!$J$33:$K$43,2,0)," ")</f>
        <v xml:space="preserve"> </v>
      </c>
      <c r="U773" s="54" t="str">
        <f t="shared" si="44"/>
        <v xml:space="preserve">- </v>
      </c>
      <c r="V773" s="54"/>
      <c r="W773" s="131" t="str">
        <f>IFERROR(VLOOKUP(V773,TD!$N$33:$O$45,2,0)," ")</f>
        <v xml:space="preserve"> </v>
      </c>
      <c r="X773" s="54" t="str">
        <f t="shared" si="45"/>
        <v xml:space="preserve">_ </v>
      </c>
      <c r="Y773" s="54" t="str">
        <f t="shared" si="46"/>
        <v xml:space="preserve">-  _ </v>
      </c>
      <c r="Z773" s="131" t="str">
        <f t="shared" si="47"/>
        <v xml:space="preserve">   </v>
      </c>
      <c r="AA773" s="131" t="str">
        <f>IFERROR(VLOOKUP(Y773,TD!$K$46:$L$64,2,0)," ")</f>
        <v xml:space="preserve"> </v>
      </c>
      <c r="AB773" s="57"/>
      <c r="AC773" s="132"/>
    </row>
    <row r="774" spans="2:29" s="28" customFormat="1">
      <c r="B774" s="85"/>
      <c r="C774" s="53"/>
      <c r="D774" s="129"/>
      <c r="E774" s="54"/>
      <c r="F774" s="129"/>
      <c r="G774" s="129"/>
      <c r="H774" s="55"/>
      <c r="I774" s="133"/>
      <c r="J774" s="130"/>
      <c r="K774" s="56"/>
      <c r="L774" s="57"/>
      <c r="M774" s="129"/>
      <c r="N774" s="57"/>
      <c r="O774" s="54"/>
      <c r="P774" s="131" t="str">
        <f>IFERROR(VLOOKUP(C774,TD!$B$32:$F$36,2,0)," ")</f>
        <v xml:space="preserve"> </v>
      </c>
      <c r="Q774" s="131" t="str">
        <f>IFERROR(VLOOKUP(C774,TD!$B$32:$F$36,3,0)," ")</f>
        <v xml:space="preserve"> </v>
      </c>
      <c r="R774" s="131" t="str">
        <f>IFERROR(VLOOKUP(C774,TD!$B$32:$F$36,4,0)," ")</f>
        <v xml:space="preserve"> </v>
      </c>
      <c r="S774" s="54"/>
      <c r="T774" s="131" t="str">
        <f>IFERROR(VLOOKUP(S774,TD!$J$33:$K$43,2,0)," ")</f>
        <v xml:space="preserve"> </v>
      </c>
      <c r="U774" s="54" t="str">
        <f t="shared" si="44"/>
        <v xml:space="preserve">- </v>
      </c>
      <c r="V774" s="54"/>
      <c r="W774" s="131" t="str">
        <f>IFERROR(VLOOKUP(V774,TD!$N$33:$O$45,2,0)," ")</f>
        <v xml:space="preserve"> </v>
      </c>
      <c r="X774" s="54" t="str">
        <f t="shared" si="45"/>
        <v xml:space="preserve">_ </v>
      </c>
      <c r="Y774" s="54" t="str">
        <f t="shared" si="46"/>
        <v xml:space="preserve">-  _ </v>
      </c>
      <c r="Z774" s="131" t="str">
        <f t="shared" si="47"/>
        <v xml:space="preserve">   </v>
      </c>
      <c r="AA774" s="131" t="str">
        <f>IFERROR(VLOOKUP(Y774,TD!$K$46:$L$64,2,0)," ")</f>
        <v xml:space="preserve"> </v>
      </c>
      <c r="AB774" s="57"/>
      <c r="AC774" s="132"/>
    </row>
    <row r="775" spans="2:29" s="28" customFormat="1">
      <c r="B775" s="85"/>
      <c r="C775" s="53"/>
      <c r="D775" s="129"/>
      <c r="E775" s="54"/>
      <c r="F775" s="129"/>
      <c r="G775" s="129"/>
      <c r="H775" s="55"/>
      <c r="I775" s="133"/>
      <c r="J775" s="130"/>
      <c r="K775" s="56"/>
      <c r="L775" s="57"/>
      <c r="M775" s="129"/>
      <c r="N775" s="57"/>
      <c r="O775" s="54"/>
      <c r="P775" s="131" t="str">
        <f>IFERROR(VLOOKUP(C775,TD!$B$32:$F$36,2,0)," ")</f>
        <v xml:space="preserve"> </v>
      </c>
      <c r="Q775" s="131" t="str">
        <f>IFERROR(VLOOKUP(C775,TD!$B$32:$F$36,3,0)," ")</f>
        <v xml:space="preserve"> </v>
      </c>
      <c r="R775" s="131" t="str">
        <f>IFERROR(VLOOKUP(C775,TD!$B$32:$F$36,4,0)," ")</f>
        <v xml:space="preserve"> </v>
      </c>
      <c r="S775" s="54"/>
      <c r="T775" s="131" t="str">
        <f>IFERROR(VLOOKUP(S775,TD!$J$33:$K$43,2,0)," ")</f>
        <v xml:space="preserve"> </v>
      </c>
      <c r="U775" s="54" t="str">
        <f t="shared" si="44"/>
        <v xml:space="preserve">- </v>
      </c>
      <c r="V775" s="54"/>
      <c r="W775" s="131" t="str">
        <f>IFERROR(VLOOKUP(V775,TD!$N$33:$O$45,2,0)," ")</f>
        <v xml:space="preserve"> </v>
      </c>
      <c r="X775" s="54" t="str">
        <f t="shared" si="45"/>
        <v xml:space="preserve">_ </v>
      </c>
      <c r="Y775" s="54" t="str">
        <f t="shared" si="46"/>
        <v xml:space="preserve">-  _ </v>
      </c>
      <c r="Z775" s="131" t="str">
        <f t="shared" si="47"/>
        <v xml:space="preserve">   </v>
      </c>
      <c r="AA775" s="131" t="str">
        <f>IFERROR(VLOOKUP(Y775,TD!$K$46:$L$64,2,0)," ")</f>
        <v xml:space="preserve"> </v>
      </c>
      <c r="AB775" s="57"/>
      <c r="AC775" s="132"/>
    </row>
    <row r="776" spans="2:29" s="28" customFormat="1">
      <c r="B776" s="85"/>
      <c r="C776" s="53"/>
      <c r="D776" s="129"/>
      <c r="E776" s="54"/>
      <c r="F776" s="129"/>
      <c r="G776" s="129"/>
      <c r="H776" s="55"/>
      <c r="I776" s="133"/>
      <c r="J776" s="130"/>
      <c r="K776" s="56"/>
      <c r="L776" s="57"/>
      <c r="M776" s="129"/>
      <c r="N776" s="57"/>
      <c r="O776" s="54"/>
      <c r="P776" s="131" t="str">
        <f>IFERROR(VLOOKUP(C776,TD!$B$32:$F$36,2,0)," ")</f>
        <v xml:space="preserve"> </v>
      </c>
      <c r="Q776" s="131" t="str">
        <f>IFERROR(VLOOKUP(C776,TD!$B$32:$F$36,3,0)," ")</f>
        <v xml:space="preserve"> </v>
      </c>
      <c r="R776" s="131" t="str">
        <f>IFERROR(VLOOKUP(C776,TD!$B$32:$F$36,4,0)," ")</f>
        <v xml:space="preserve"> </v>
      </c>
      <c r="S776" s="54"/>
      <c r="T776" s="131" t="str">
        <f>IFERROR(VLOOKUP(S776,TD!$J$33:$K$43,2,0)," ")</f>
        <v xml:space="preserve"> </v>
      </c>
      <c r="U776" s="54" t="str">
        <f t="shared" si="44"/>
        <v xml:space="preserve">- </v>
      </c>
      <c r="V776" s="54"/>
      <c r="W776" s="131" t="str">
        <f>IFERROR(VLOOKUP(V776,TD!$N$33:$O$45,2,0)," ")</f>
        <v xml:space="preserve"> </v>
      </c>
      <c r="X776" s="54" t="str">
        <f t="shared" si="45"/>
        <v xml:space="preserve">_ </v>
      </c>
      <c r="Y776" s="54" t="str">
        <f t="shared" si="46"/>
        <v xml:space="preserve">-  _ </v>
      </c>
      <c r="Z776" s="131" t="str">
        <f t="shared" si="47"/>
        <v xml:space="preserve">   </v>
      </c>
      <c r="AA776" s="131" t="str">
        <f>IFERROR(VLOOKUP(Y776,TD!$K$46:$L$64,2,0)," ")</f>
        <v xml:space="preserve"> </v>
      </c>
      <c r="AB776" s="57"/>
      <c r="AC776" s="132"/>
    </row>
    <row r="777" spans="2:29" s="28" customFormat="1">
      <c r="B777" s="85"/>
      <c r="C777" s="53"/>
      <c r="D777" s="129"/>
      <c r="E777" s="54"/>
      <c r="F777" s="129"/>
      <c r="G777" s="129"/>
      <c r="H777" s="55"/>
      <c r="I777" s="133"/>
      <c r="J777" s="130"/>
      <c r="K777" s="56"/>
      <c r="L777" s="57"/>
      <c r="M777" s="129"/>
      <c r="N777" s="57"/>
      <c r="O777" s="54"/>
      <c r="P777" s="131" t="str">
        <f>IFERROR(VLOOKUP(C777,TD!$B$32:$F$36,2,0)," ")</f>
        <v xml:space="preserve"> </v>
      </c>
      <c r="Q777" s="131" t="str">
        <f>IFERROR(VLOOKUP(C777,TD!$B$32:$F$36,3,0)," ")</f>
        <v xml:space="preserve"> </v>
      </c>
      <c r="R777" s="131" t="str">
        <f>IFERROR(VLOOKUP(C777,TD!$B$32:$F$36,4,0)," ")</f>
        <v xml:space="preserve"> </v>
      </c>
      <c r="S777" s="54"/>
      <c r="T777" s="131" t="str">
        <f>IFERROR(VLOOKUP(S777,TD!$J$33:$K$43,2,0)," ")</f>
        <v xml:space="preserve"> </v>
      </c>
      <c r="U777" s="54" t="str">
        <f t="shared" si="44"/>
        <v xml:space="preserve">- </v>
      </c>
      <c r="V777" s="54"/>
      <c r="W777" s="131" t="str">
        <f>IFERROR(VLOOKUP(V777,TD!$N$33:$O$45,2,0)," ")</f>
        <v xml:space="preserve"> </v>
      </c>
      <c r="X777" s="54" t="str">
        <f t="shared" si="45"/>
        <v xml:space="preserve">_ </v>
      </c>
      <c r="Y777" s="54" t="str">
        <f t="shared" si="46"/>
        <v xml:space="preserve">-  _ </v>
      </c>
      <c r="Z777" s="131" t="str">
        <f t="shared" si="47"/>
        <v xml:space="preserve">   </v>
      </c>
      <c r="AA777" s="131" t="str">
        <f>IFERROR(VLOOKUP(Y777,TD!$K$46:$L$64,2,0)," ")</f>
        <v xml:space="preserve"> </v>
      </c>
      <c r="AB777" s="57"/>
      <c r="AC777" s="132"/>
    </row>
    <row r="778" spans="2:29" s="28" customFormat="1">
      <c r="B778" s="85"/>
      <c r="C778" s="53"/>
      <c r="D778" s="129"/>
      <c r="E778" s="54"/>
      <c r="F778" s="129"/>
      <c r="G778" s="129"/>
      <c r="H778" s="55"/>
      <c r="I778" s="133"/>
      <c r="J778" s="130"/>
      <c r="K778" s="56"/>
      <c r="L778" s="57"/>
      <c r="M778" s="129"/>
      <c r="N778" s="57"/>
      <c r="O778" s="54"/>
      <c r="P778" s="131" t="str">
        <f>IFERROR(VLOOKUP(C778,TD!$B$32:$F$36,2,0)," ")</f>
        <v xml:space="preserve"> </v>
      </c>
      <c r="Q778" s="131" t="str">
        <f>IFERROR(VLOOKUP(C778,TD!$B$32:$F$36,3,0)," ")</f>
        <v xml:space="preserve"> </v>
      </c>
      <c r="R778" s="131" t="str">
        <f>IFERROR(VLOOKUP(C778,TD!$B$32:$F$36,4,0)," ")</f>
        <v xml:space="preserve"> </v>
      </c>
      <c r="S778" s="54"/>
      <c r="T778" s="131" t="str">
        <f>IFERROR(VLOOKUP(S778,TD!$J$33:$K$43,2,0)," ")</f>
        <v xml:space="preserve"> </v>
      </c>
      <c r="U778" s="54" t="str">
        <f t="shared" si="44"/>
        <v xml:space="preserve">- </v>
      </c>
      <c r="V778" s="54"/>
      <c r="W778" s="131" t="str">
        <f>IFERROR(VLOOKUP(V778,TD!$N$33:$O$45,2,0)," ")</f>
        <v xml:space="preserve"> </v>
      </c>
      <c r="X778" s="54" t="str">
        <f t="shared" si="45"/>
        <v xml:space="preserve">_ </v>
      </c>
      <c r="Y778" s="54" t="str">
        <f t="shared" si="46"/>
        <v xml:space="preserve">-  _ </v>
      </c>
      <c r="Z778" s="131" t="str">
        <f t="shared" si="47"/>
        <v xml:space="preserve">   </v>
      </c>
      <c r="AA778" s="131" t="str">
        <f>IFERROR(VLOOKUP(Y778,TD!$K$46:$L$64,2,0)," ")</f>
        <v xml:space="preserve"> </v>
      </c>
      <c r="AB778" s="57"/>
      <c r="AC778" s="132"/>
    </row>
    <row r="779" spans="2:29" s="28" customFormat="1">
      <c r="B779" s="85"/>
      <c r="C779" s="53"/>
      <c r="D779" s="129"/>
      <c r="E779" s="54"/>
      <c r="F779" s="129"/>
      <c r="G779" s="129"/>
      <c r="H779" s="55"/>
      <c r="I779" s="133"/>
      <c r="J779" s="130"/>
      <c r="K779" s="56"/>
      <c r="L779" s="57"/>
      <c r="M779" s="129"/>
      <c r="N779" s="57"/>
      <c r="O779" s="54"/>
      <c r="P779" s="131" t="str">
        <f>IFERROR(VLOOKUP(C779,TD!$B$32:$F$36,2,0)," ")</f>
        <v xml:space="preserve"> </v>
      </c>
      <c r="Q779" s="131" t="str">
        <f>IFERROR(VLOOKUP(C779,TD!$B$32:$F$36,3,0)," ")</f>
        <v xml:space="preserve"> </v>
      </c>
      <c r="R779" s="131" t="str">
        <f>IFERROR(VLOOKUP(C779,TD!$B$32:$F$36,4,0)," ")</f>
        <v xml:space="preserve"> </v>
      </c>
      <c r="S779" s="54"/>
      <c r="T779" s="131" t="str">
        <f>IFERROR(VLOOKUP(S779,TD!$J$33:$K$43,2,0)," ")</f>
        <v xml:space="preserve"> </v>
      </c>
      <c r="U779" s="54" t="str">
        <f t="shared" ref="U779:U842" si="48">CONCATENATE(S779,"-",T779)</f>
        <v xml:space="preserve">- </v>
      </c>
      <c r="V779" s="54"/>
      <c r="W779" s="131" t="str">
        <f>IFERROR(VLOOKUP(V779,TD!$N$33:$O$45,2,0)," ")</f>
        <v xml:space="preserve"> </v>
      </c>
      <c r="X779" s="54" t="str">
        <f t="shared" ref="X779:X842" si="49">CONCATENATE(V779,"_",W779)</f>
        <v xml:space="preserve">_ </v>
      </c>
      <c r="Y779" s="54" t="str">
        <f t="shared" ref="Y779:Y842" si="50">CONCATENATE(U779," ",X779)</f>
        <v xml:space="preserve">-  _ </v>
      </c>
      <c r="Z779" s="131" t="str">
        <f t="shared" ref="Z779:Z842" si="51">CONCATENATE(P779,Q779,R779,S779,V779)</f>
        <v xml:space="preserve">   </v>
      </c>
      <c r="AA779" s="131" t="str">
        <f>IFERROR(VLOOKUP(Y779,TD!$K$46:$L$64,2,0)," ")</f>
        <v xml:space="preserve"> </v>
      </c>
      <c r="AB779" s="57"/>
      <c r="AC779" s="132"/>
    </row>
    <row r="780" spans="2:29" s="28" customFormat="1">
      <c r="B780" s="85"/>
      <c r="C780" s="53"/>
      <c r="D780" s="129"/>
      <c r="E780" s="54"/>
      <c r="F780" s="129"/>
      <c r="G780" s="129"/>
      <c r="H780" s="55"/>
      <c r="I780" s="133"/>
      <c r="J780" s="130"/>
      <c r="K780" s="56"/>
      <c r="L780" s="57"/>
      <c r="M780" s="129"/>
      <c r="N780" s="57"/>
      <c r="O780" s="54"/>
      <c r="P780" s="131" t="str">
        <f>IFERROR(VLOOKUP(C780,TD!$B$32:$F$36,2,0)," ")</f>
        <v xml:space="preserve"> </v>
      </c>
      <c r="Q780" s="131" t="str">
        <f>IFERROR(VLOOKUP(C780,TD!$B$32:$F$36,3,0)," ")</f>
        <v xml:space="preserve"> </v>
      </c>
      <c r="R780" s="131" t="str">
        <f>IFERROR(VLOOKUP(C780,TD!$B$32:$F$36,4,0)," ")</f>
        <v xml:space="preserve"> </v>
      </c>
      <c r="S780" s="54"/>
      <c r="T780" s="131" t="str">
        <f>IFERROR(VLOOKUP(S780,TD!$J$33:$K$43,2,0)," ")</f>
        <v xml:space="preserve"> </v>
      </c>
      <c r="U780" s="54" t="str">
        <f t="shared" si="48"/>
        <v xml:space="preserve">- </v>
      </c>
      <c r="V780" s="54"/>
      <c r="W780" s="131" t="str">
        <f>IFERROR(VLOOKUP(V780,TD!$N$33:$O$45,2,0)," ")</f>
        <v xml:space="preserve"> </v>
      </c>
      <c r="X780" s="54" t="str">
        <f t="shared" si="49"/>
        <v xml:space="preserve">_ </v>
      </c>
      <c r="Y780" s="54" t="str">
        <f t="shared" si="50"/>
        <v xml:space="preserve">-  _ </v>
      </c>
      <c r="Z780" s="131" t="str">
        <f t="shared" si="51"/>
        <v xml:space="preserve">   </v>
      </c>
      <c r="AA780" s="131" t="str">
        <f>IFERROR(VLOOKUP(Y780,TD!$K$46:$L$64,2,0)," ")</f>
        <v xml:space="preserve"> </v>
      </c>
      <c r="AB780" s="57"/>
      <c r="AC780" s="132"/>
    </row>
    <row r="781" spans="2:29" s="28" customFormat="1">
      <c r="B781" s="85"/>
      <c r="C781" s="53"/>
      <c r="D781" s="129"/>
      <c r="E781" s="54"/>
      <c r="F781" s="129"/>
      <c r="G781" s="129"/>
      <c r="H781" s="55"/>
      <c r="I781" s="133"/>
      <c r="J781" s="130"/>
      <c r="K781" s="56"/>
      <c r="L781" s="57"/>
      <c r="M781" s="129"/>
      <c r="N781" s="57"/>
      <c r="O781" s="54"/>
      <c r="P781" s="131" t="str">
        <f>IFERROR(VLOOKUP(C781,TD!$B$32:$F$36,2,0)," ")</f>
        <v xml:space="preserve"> </v>
      </c>
      <c r="Q781" s="131" t="str">
        <f>IFERROR(VLOOKUP(C781,TD!$B$32:$F$36,3,0)," ")</f>
        <v xml:space="preserve"> </v>
      </c>
      <c r="R781" s="131" t="str">
        <f>IFERROR(VLOOKUP(C781,TD!$B$32:$F$36,4,0)," ")</f>
        <v xml:space="preserve"> </v>
      </c>
      <c r="S781" s="54"/>
      <c r="T781" s="131" t="str">
        <f>IFERROR(VLOOKUP(S781,TD!$J$33:$K$43,2,0)," ")</f>
        <v xml:space="preserve"> </v>
      </c>
      <c r="U781" s="54" t="str">
        <f t="shared" si="48"/>
        <v xml:space="preserve">- </v>
      </c>
      <c r="V781" s="54"/>
      <c r="W781" s="131" t="str">
        <f>IFERROR(VLOOKUP(V781,TD!$N$33:$O$45,2,0)," ")</f>
        <v xml:space="preserve"> </v>
      </c>
      <c r="X781" s="54" t="str">
        <f t="shared" si="49"/>
        <v xml:space="preserve">_ </v>
      </c>
      <c r="Y781" s="54" t="str">
        <f t="shared" si="50"/>
        <v xml:space="preserve">-  _ </v>
      </c>
      <c r="Z781" s="131" t="str">
        <f t="shared" si="51"/>
        <v xml:space="preserve">   </v>
      </c>
      <c r="AA781" s="131" t="str">
        <f>IFERROR(VLOOKUP(Y781,TD!$K$46:$L$64,2,0)," ")</f>
        <v xml:space="preserve"> </v>
      </c>
      <c r="AB781" s="57"/>
      <c r="AC781" s="132"/>
    </row>
    <row r="782" spans="2:29" s="28" customFormat="1">
      <c r="B782" s="85"/>
      <c r="C782" s="53"/>
      <c r="D782" s="129"/>
      <c r="E782" s="54"/>
      <c r="F782" s="129"/>
      <c r="G782" s="129"/>
      <c r="H782" s="55"/>
      <c r="I782" s="133"/>
      <c r="J782" s="130"/>
      <c r="K782" s="56"/>
      <c r="L782" s="57"/>
      <c r="M782" s="129"/>
      <c r="N782" s="57"/>
      <c r="O782" s="54"/>
      <c r="P782" s="131" t="str">
        <f>IFERROR(VLOOKUP(C782,TD!$B$32:$F$36,2,0)," ")</f>
        <v xml:space="preserve"> </v>
      </c>
      <c r="Q782" s="131" t="str">
        <f>IFERROR(VLOOKUP(C782,TD!$B$32:$F$36,3,0)," ")</f>
        <v xml:space="preserve"> </v>
      </c>
      <c r="R782" s="131" t="str">
        <f>IFERROR(VLOOKUP(C782,TD!$B$32:$F$36,4,0)," ")</f>
        <v xml:space="preserve"> </v>
      </c>
      <c r="S782" s="54"/>
      <c r="T782" s="131" t="str">
        <f>IFERROR(VLOOKUP(S782,TD!$J$33:$K$43,2,0)," ")</f>
        <v xml:space="preserve"> </v>
      </c>
      <c r="U782" s="54" t="str">
        <f t="shared" si="48"/>
        <v xml:space="preserve">- </v>
      </c>
      <c r="V782" s="54"/>
      <c r="W782" s="131" t="str">
        <f>IFERROR(VLOOKUP(V782,TD!$N$33:$O$45,2,0)," ")</f>
        <v xml:space="preserve"> </v>
      </c>
      <c r="X782" s="54" t="str">
        <f t="shared" si="49"/>
        <v xml:space="preserve">_ </v>
      </c>
      <c r="Y782" s="54" t="str">
        <f t="shared" si="50"/>
        <v xml:space="preserve">-  _ </v>
      </c>
      <c r="Z782" s="131" t="str">
        <f t="shared" si="51"/>
        <v xml:space="preserve">   </v>
      </c>
      <c r="AA782" s="131" t="str">
        <f>IFERROR(VLOOKUP(Y782,TD!$K$46:$L$64,2,0)," ")</f>
        <v xml:space="preserve"> </v>
      </c>
      <c r="AB782" s="57"/>
      <c r="AC782" s="132"/>
    </row>
    <row r="783" spans="2:29" s="28" customFormat="1">
      <c r="B783" s="85"/>
      <c r="C783" s="53"/>
      <c r="D783" s="129"/>
      <c r="E783" s="54"/>
      <c r="F783" s="129"/>
      <c r="G783" s="129"/>
      <c r="H783" s="55"/>
      <c r="I783" s="133"/>
      <c r="J783" s="130"/>
      <c r="K783" s="56"/>
      <c r="L783" s="57"/>
      <c r="M783" s="129"/>
      <c r="N783" s="57"/>
      <c r="O783" s="54"/>
      <c r="P783" s="131" t="str">
        <f>IFERROR(VLOOKUP(C783,TD!$B$32:$F$36,2,0)," ")</f>
        <v xml:space="preserve"> </v>
      </c>
      <c r="Q783" s="131" t="str">
        <f>IFERROR(VLOOKUP(C783,TD!$B$32:$F$36,3,0)," ")</f>
        <v xml:space="preserve"> </v>
      </c>
      <c r="R783" s="131" t="str">
        <f>IFERROR(VLOOKUP(C783,TD!$B$32:$F$36,4,0)," ")</f>
        <v xml:space="preserve"> </v>
      </c>
      <c r="S783" s="54"/>
      <c r="T783" s="131" t="str">
        <f>IFERROR(VLOOKUP(S783,TD!$J$33:$K$43,2,0)," ")</f>
        <v xml:space="preserve"> </v>
      </c>
      <c r="U783" s="54" t="str">
        <f t="shared" si="48"/>
        <v xml:space="preserve">- </v>
      </c>
      <c r="V783" s="54"/>
      <c r="W783" s="131" t="str">
        <f>IFERROR(VLOOKUP(V783,TD!$N$33:$O$45,2,0)," ")</f>
        <v xml:space="preserve"> </v>
      </c>
      <c r="X783" s="54" t="str">
        <f t="shared" si="49"/>
        <v xml:space="preserve">_ </v>
      </c>
      <c r="Y783" s="54" t="str">
        <f t="shared" si="50"/>
        <v xml:space="preserve">-  _ </v>
      </c>
      <c r="Z783" s="131" t="str">
        <f t="shared" si="51"/>
        <v xml:space="preserve">   </v>
      </c>
      <c r="AA783" s="131" t="str">
        <f>IFERROR(VLOOKUP(Y783,TD!$K$46:$L$64,2,0)," ")</f>
        <v xml:space="preserve"> </v>
      </c>
      <c r="AB783" s="57"/>
      <c r="AC783" s="132"/>
    </row>
    <row r="784" spans="2:29" s="28" customFormat="1">
      <c r="B784" s="85"/>
      <c r="C784" s="53"/>
      <c r="D784" s="129"/>
      <c r="E784" s="54"/>
      <c r="F784" s="129"/>
      <c r="G784" s="129"/>
      <c r="H784" s="55"/>
      <c r="I784" s="133"/>
      <c r="J784" s="130"/>
      <c r="K784" s="56"/>
      <c r="L784" s="57"/>
      <c r="M784" s="129"/>
      <c r="N784" s="57"/>
      <c r="O784" s="54"/>
      <c r="P784" s="131" t="str">
        <f>IFERROR(VLOOKUP(C784,TD!$B$32:$F$36,2,0)," ")</f>
        <v xml:space="preserve"> </v>
      </c>
      <c r="Q784" s="131" t="str">
        <f>IFERROR(VLOOKUP(C784,TD!$B$32:$F$36,3,0)," ")</f>
        <v xml:space="preserve"> </v>
      </c>
      <c r="R784" s="131" t="str">
        <f>IFERROR(VLOOKUP(C784,TD!$B$32:$F$36,4,0)," ")</f>
        <v xml:space="preserve"> </v>
      </c>
      <c r="S784" s="54"/>
      <c r="T784" s="131" t="str">
        <f>IFERROR(VLOOKUP(S784,TD!$J$33:$K$43,2,0)," ")</f>
        <v xml:space="preserve"> </v>
      </c>
      <c r="U784" s="54" t="str">
        <f t="shared" si="48"/>
        <v xml:space="preserve">- </v>
      </c>
      <c r="V784" s="54"/>
      <c r="W784" s="131" t="str">
        <f>IFERROR(VLOOKUP(V784,TD!$N$33:$O$45,2,0)," ")</f>
        <v xml:space="preserve"> </v>
      </c>
      <c r="X784" s="54" t="str">
        <f t="shared" si="49"/>
        <v xml:space="preserve">_ </v>
      </c>
      <c r="Y784" s="54" t="str">
        <f t="shared" si="50"/>
        <v xml:space="preserve">-  _ </v>
      </c>
      <c r="Z784" s="131" t="str">
        <f t="shared" si="51"/>
        <v xml:space="preserve">   </v>
      </c>
      <c r="AA784" s="131" t="str">
        <f>IFERROR(VLOOKUP(Y784,TD!$K$46:$L$64,2,0)," ")</f>
        <v xml:space="preserve"> </v>
      </c>
      <c r="AB784" s="57"/>
      <c r="AC784" s="132"/>
    </row>
    <row r="785" spans="2:29" s="28" customFormat="1">
      <c r="B785" s="85"/>
      <c r="C785" s="53"/>
      <c r="D785" s="129"/>
      <c r="E785" s="54"/>
      <c r="F785" s="129"/>
      <c r="G785" s="129"/>
      <c r="H785" s="55"/>
      <c r="I785" s="133"/>
      <c r="J785" s="130"/>
      <c r="K785" s="56"/>
      <c r="L785" s="57"/>
      <c r="M785" s="129"/>
      <c r="N785" s="57"/>
      <c r="O785" s="54"/>
      <c r="P785" s="131" t="str">
        <f>IFERROR(VLOOKUP(C785,TD!$B$32:$F$36,2,0)," ")</f>
        <v xml:space="preserve"> </v>
      </c>
      <c r="Q785" s="131" t="str">
        <f>IFERROR(VLOOKUP(C785,TD!$B$32:$F$36,3,0)," ")</f>
        <v xml:space="preserve"> </v>
      </c>
      <c r="R785" s="131" t="str">
        <f>IFERROR(VLOOKUP(C785,TD!$B$32:$F$36,4,0)," ")</f>
        <v xml:space="preserve"> </v>
      </c>
      <c r="S785" s="54"/>
      <c r="T785" s="131" t="str">
        <f>IFERROR(VLOOKUP(S785,TD!$J$33:$K$43,2,0)," ")</f>
        <v xml:space="preserve"> </v>
      </c>
      <c r="U785" s="54" t="str">
        <f t="shared" si="48"/>
        <v xml:space="preserve">- </v>
      </c>
      <c r="V785" s="54"/>
      <c r="W785" s="131" t="str">
        <f>IFERROR(VLOOKUP(V785,TD!$N$33:$O$45,2,0)," ")</f>
        <v xml:space="preserve"> </v>
      </c>
      <c r="X785" s="54" t="str">
        <f t="shared" si="49"/>
        <v xml:space="preserve">_ </v>
      </c>
      <c r="Y785" s="54" t="str">
        <f t="shared" si="50"/>
        <v xml:space="preserve">-  _ </v>
      </c>
      <c r="Z785" s="131" t="str">
        <f t="shared" si="51"/>
        <v xml:space="preserve">   </v>
      </c>
      <c r="AA785" s="131" t="str">
        <f>IFERROR(VLOOKUP(Y785,TD!$K$46:$L$64,2,0)," ")</f>
        <v xml:space="preserve"> </v>
      </c>
      <c r="AB785" s="57"/>
      <c r="AC785" s="132"/>
    </row>
    <row r="786" spans="2:29" s="28" customFormat="1">
      <c r="B786" s="85"/>
      <c r="C786" s="53"/>
      <c r="D786" s="129"/>
      <c r="E786" s="54"/>
      <c r="F786" s="129"/>
      <c r="G786" s="129"/>
      <c r="H786" s="55"/>
      <c r="I786" s="133"/>
      <c r="J786" s="130"/>
      <c r="K786" s="56"/>
      <c r="L786" s="57"/>
      <c r="M786" s="129"/>
      <c r="N786" s="57"/>
      <c r="O786" s="54"/>
      <c r="P786" s="131" t="str">
        <f>IFERROR(VLOOKUP(C786,TD!$B$32:$F$36,2,0)," ")</f>
        <v xml:space="preserve"> </v>
      </c>
      <c r="Q786" s="131" t="str">
        <f>IFERROR(VLOOKUP(C786,TD!$B$32:$F$36,3,0)," ")</f>
        <v xml:space="preserve"> </v>
      </c>
      <c r="R786" s="131" t="str">
        <f>IFERROR(VLOOKUP(C786,TD!$B$32:$F$36,4,0)," ")</f>
        <v xml:space="preserve"> </v>
      </c>
      <c r="S786" s="54"/>
      <c r="T786" s="131" t="str">
        <f>IFERROR(VLOOKUP(S786,TD!$J$33:$K$43,2,0)," ")</f>
        <v xml:space="preserve"> </v>
      </c>
      <c r="U786" s="54" t="str">
        <f t="shared" si="48"/>
        <v xml:space="preserve">- </v>
      </c>
      <c r="V786" s="54"/>
      <c r="W786" s="131" t="str">
        <f>IFERROR(VLOOKUP(V786,TD!$N$33:$O$45,2,0)," ")</f>
        <v xml:space="preserve"> </v>
      </c>
      <c r="X786" s="54" t="str">
        <f t="shared" si="49"/>
        <v xml:space="preserve">_ </v>
      </c>
      <c r="Y786" s="54" t="str">
        <f t="shared" si="50"/>
        <v xml:space="preserve">-  _ </v>
      </c>
      <c r="Z786" s="131" t="str">
        <f t="shared" si="51"/>
        <v xml:space="preserve">   </v>
      </c>
      <c r="AA786" s="131" t="str">
        <f>IFERROR(VLOOKUP(Y786,TD!$K$46:$L$64,2,0)," ")</f>
        <v xml:space="preserve"> </v>
      </c>
      <c r="AB786" s="57"/>
      <c r="AC786" s="132"/>
    </row>
    <row r="787" spans="2:29" s="28" customFormat="1">
      <c r="B787" s="85"/>
      <c r="C787" s="53"/>
      <c r="D787" s="129"/>
      <c r="E787" s="54"/>
      <c r="F787" s="129"/>
      <c r="G787" s="129"/>
      <c r="H787" s="55"/>
      <c r="I787" s="133"/>
      <c r="J787" s="130"/>
      <c r="K787" s="56"/>
      <c r="L787" s="57"/>
      <c r="M787" s="129"/>
      <c r="N787" s="57"/>
      <c r="O787" s="54"/>
      <c r="P787" s="131" t="str">
        <f>IFERROR(VLOOKUP(C787,TD!$B$32:$F$36,2,0)," ")</f>
        <v xml:space="preserve"> </v>
      </c>
      <c r="Q787" s="131" t="str">
        <f>IFERROR(VLOOKUP(C787,TD!$B$32:$F$36,3,0)," ")</f>
        <v xml:space="preserve"> </v>
      </c>
      <c r="R787" s="131" t="str">
        <f>IFERROR(VLOOKUP(C787,TD!$B$32:$F$36,4,0)," ")</f>
        <v xml:space="preserve"> </v>
      </c>
      <c r="S787" s="54"/>
      <c r="T787" s="131" t="str">
        <f>IFERROR(VLOOKUP(S787,TD!$J$33:$K$43,2,0)," ")</f>
        <v xml:space="preserve"> </v>
      </c>
      <c r="U787" s="54" t="str">
        <f t="shared" si="48"/>
        <v xml:space="preserve">- </v>
      </c>
      <c r="V787" s="54"/>
      <c r="W787" s="131" t="str">
        <f>IFERROR(VLOOKUP(V787,TD!$N$33:$O$45,2,0)," ")</f>
        <v xml:space="preserve"> </v>
      </c>
      <c r="X787" s="54" t="str">
        <f t="shared" si="49"/>
        <v xml:space="preserve">_ </v>
      </c>
      <c r="Y787" s="54" t="str">
        <f t="shared" si="50"/>
        <v xml:space="preserve">-  _ </v>
      </c>
      <c r="Z787" s="131" t="str">
        <f t="shared" si="51"/>
        <v xml:space="preserve">   </v>
      </c>
      <c r="AA787" s="131" t="str">
        <f>IFERROR(VLOOKUP(Y787,TD!$K$46:$L$64,2,0)," ")</f>
        <v xml:space="preserve"> </v>
      </c>
      <c r="AB787" s="57"/>
      <c r="AC787" s="132"/>
    </row>
    <row r="788" spans="2:29" s="28" customFormat="1">
      <c r="B788" s="85"/>
      <c r="C788" s="53"/>
      <c r="D788" s="129"/>
      <c r="E788" s="54"/>
      <c r="F788" s="129"/>
      <c r="G788" s="129"/>
      <c r="H788" s="55"/>
      <c r="I788" s="133"/>
      <c r="J788" s="130"/>
      <c r="K788" s="56"/>
      <c r="L788" s="57"/>
      <c r="M788" s="129"/>
      <c r="N788" s="57"/>
      <c r="O788" s="54"/>
      <c r="P788" s="131" t="str">
        <f>IFERROR(VLOOKUP(C788,TD!$B$32:$F$36,2,0)," ")</f>
        <v xml:space="preserve"> </v>
      </c>
      <c r="Q788" s="131" t="str">
        <f>IFERROR(VLOOKUP(C788,TD!$B$32:$F$36,3,0)," ")</f>
        <v xml:space="preserve"> </v>
      </c>
      <c r="R788" s="131" t="str">
        <f>IFERROR(VLOOKUP(C788,TD!$B$32:$F$36,4,0)," ")</f>
        <v xml:space="preserve"> </v>
      </c>
      <c r="S788" s="54"/>
      <c r="T788" s="131" t="str">
        <f>IFERROR(VLOOKUP(S788,TD!$J$33:$K$43,2,0)," ")</f>
        <v xml:space="preserve"> </v>
      </c>
      <c r="U788" s="54" t="str">
        <f t="shared" si="48"/>
        <v xml:space="preserve">- </v>
      </c>
      <c r="V788" s="54"/>
      <c r="W788" s="131" t="str">
        <f>IFERROR(VLOOKUP(V788,TD!$N$33:$O$45,2,0)," ")</f>
        <v xml:space="preserve"> </v>
      </c>
      <c r="X788" s="54" t="str">
        <f t="shared" si="49"/>
        <v xml:space="preserve">_ </v>
      </c>
      <c r="Y788" s="54" t="str">
        <f t="shared" si="50"/>
        <v xml:space="preserve">-  _ </v>
      </c>
      <c r="Z788" s="131" t="str">
        <f t="shared" si="51"/>
        <v xml:space="preserve">   </v>
      </c>
      <c r="AA788" s="131" t="str">
        <f>IFERROR(VLOOKUP(Y788,TD!$K$46:$L$64,2,0)," ")</f>
        <v xml:space="preserve"> </v>
      </c>
      <c r="AB788" s="57"/>
      <c r="AC788" s="132"/>
    </row>
    <row r="789" spans="2:29" s="28" customFormat="1">
      <c r="B789" s="85"/>
      <c r="C789" s="53"/>
      <c r="D789" s="129"/>
      <c r="E789" s="54"/>
      <c r="F789" s="129"/>
      <c r="G789" s="129"/>
      <c r="H789" s="55"/>
      <c r="I789" s="133"/>
      <c r="J789" s="130"/>
      <c r="K789" s="56"/>
      <c r="L789" s="57"/>
      <c r="M789" s="129"/>
      <c r="N789" s="57"/>
      <c r="O789" s="54"/>
      <c r="P789" s="131" t="str">
        <f>IFERROR(VLOOKUP(C789,TD!$B$32:$F$36,2,0)," ")</f>
        <v xml:space="preserve"> </v>
      </c>
      <c r="Q789" s="131" t="str">
        <f>IFERROR(VLOOKUP(C789,TD!$B$32:$F$36,3,0)," ")</f>
        <v xml:space="preserve"> </v>
      </c>
      <c r="R789" s="131" t="str">
        <f>IFERROR(VLOOKUP(C789,TD!$B$32:$F$36,4,0)," ")</f>
        <v xml:space="preserve"> </v>
      </c>
      <c r="S789" s="54"/>
      <c r="T789" s="131" t="str">
        <f>IFERROR(VLOOKUP(S789,TD!$J$33:$K$43,2,0)," ")</f>
        <v xml:space="preserve"> </v>
      </c>
      <c r="U789" s="54" t="str">
        <f t="shared" si="48"/>
        <v xml:space="preserve">- </v>
      </c>
      <c r="V789" s="54"/>
      <c r="W789" s="131" t="str">
        <f>IFERROR(VLOOKUP(V789,TD!$N$33:$O$45,2,0)," ")</f>
        <v xml:space="preserve"> </v>
      </c>
      <c r="X789" s="54" t="str">
        <f t="shared" si="49"/>
        <v xml:space="preserve">_ </v>
      </c>
      <c r="Y789" s="54" t="str">
        <f t="shared" si="50"/>
        <v xml:space="preserve">-  _ </v>
      </c>
      <c r="Z789" s="131" t="str">
        <f t="shared" si="51"/>
        <v xml:space="preserve">   </v>
      </c>
      <c r="AA789" s="131" t="str">
        <f>IFERROR(VLOOKUP(Y789,TD!$K$46:$L$64,2,0)," ")</f>
        <v xml:space="preserve"> </v>
      </c>
      <c r="AB789" s="57"/>
      <c r="AC789" s="132"/>
    </row>
    <row r="790" spans="2:29" s="28" customFormat="1">
      <c r="B790" s="85"/>
      <c r="C790" s="53"/>
      <c r="D790" s="129"/>
      <c r="E790" s="54"/>
      <c r="F790" s="129"/>
      <c r="G790" s="129"/>
      <c r="H790" s="55"/>
      <c r="I790" s="133"/>
      <c r="J790" s="130"/>
      <c r="K790" s="56"/>
      <c r="L790" s="57"/>
      <c r="M790" s="129"/>
      <c r="N790" s="57"/>
      <c r="O790" s="54"/>
      <c r="P790" s="131" t="str">
        <f>IFERROR(VLOOKUP(C790,TD!$B$32:$F$36,2,0)," ")</f>
        <v xml:space="preserve"> </v>
      </c>
      <c r="Q790" s="131" t="str">
        <f>IFERROR(VLOOKUP(C790,TD!$B$32:$F$36,3,0)," ")</f>
        <v xml:space="preserve"> </v>
      </c>
      <c r="R790" s="131" t="str">
        <f>IFERROR(VLOOKUP(C790,TD!$B$32:$F$36,4,0)," ")</f>
        <v xml:space="preserve"> </v>
      </c>
      <c r="S790" s="54"/>
      <c r="T790" s="131" t="str">
        <f>IFERROR(VLOOKUP(S790,TD!$J$33:$K$43,2,0)," ")</f>
        <v xml:space="preserve"> </v>
      </c>
      <c r="U790" s="54" t="str">
        <f t="shared" si="48"/>
        <v xml:space="preserve">- </v>
      </c>
      <c r="V790" s="54"/>
      <c r="W790" s="131" t="str">
        <f>IFERROR(VLOOKUP(V790,TD!$N$33:$O$45,2,0)," ")</f>
        <v xml:space="preserve"> </v>
      </c>
      <c r="X790" s="54" t="str">
        <f t="shared" si="49"/>
        <v xml:space="preserve">_ </v>
      </c>
      <c r="Y790" s="54" t="str">
        <f t="shared" si="50"/>
        <v xml:space="preserve">-  _ </v>
      </c>
      <c r="Z790" s="131" t="str">
        <f t="shared" si="51"/>
        <v xml:space="preserve">   </v>
      </c>
      <c r="AA790" s="131" t="str">
        <f>IFERROR(VLOOKUP(Y790,TD!$K$46:$L$64,2,0)," ")</f>
        <v xml:space="preserve"> </v>
      </c>
      <c r="AB790" s="57"/>
      <c r="AC790" s="132"/>
    </row>
    <row r="791" spans="2:29" s="28" customFormat="1">
      <c r="B791" s="85"/>
      <c r="C791" s="53"/>
      <c r="D791" s="129"/>
      <c r="E791" s="54"/>
      <c r="F791" s="129"/>
      <c r="G791" s="129"/>
      <c r="H791" s="55"/>
      <c r="I791" s="133"/>
      <c r="J791" s="130"/>
      <c r="K791" s="56"/>
      <c r="L791" s="57"/>
      <c r="M791" s="129"/>
      <c r="N791" s="57"/>
      <c r="O791" s="54"/>
      <c r="P791" s="131" t="str">
        <f>IFERROR(VLOOKUP(C791,TD!$B$32:$F$36,2,0)," ")</f>
        <v xml:space="preserve"> </v>
      </c>
      <c r="Q791" s="131" t="str">
        <f>IFERROR(VLOOKUP(C791,TD!$B$32:$F$36,3,0)," ")</f>
        <v xml:space="preserve"> </v>
      </c>
      <c r="R791" s="131" t="str">
        <f>IFERROR(VLOOKUP(C791,TD!$B$32:$F$36,4,0)," ")</f>
        <v xml:space="preserve"> </v>
      </c>
      <c r="S791" s="54"/>
      <c r="T791" s="131" t="str">
        <f>IFERROR(VLOOKUP(S791,TD!$J$33:$K$43,2,0)," ")</f>
        <v xml:space="preserve"> </v>
      </c>
      <c r="U791" s="54" t="str">
        <f t="shared" si="48"/>
        <v xml:space="preserve">- </v>
      </c>
      <c r="V791" s="54"/>
      <c r="W791" s="131" t="str">
        <f>IFERROR(VLOOKUP(V791,TD!$N$33:$O$45,2,0)," ")</f>
        <v xml:space="preserve"> </v>
      </c>
      <c r="X791" s="54" t="str">
        <f t="shared" si="49"/>
        <v xml:space="preserve">_ </v>
      </c>
      <c r="Y791" s="54" t="str">
        <f t="shared" si="50"/>
        <v xml:space="preserve">-  _ </v>
      </c>
      <c r="Z791" s="131" t="str">
        <f t="shared" si="51"/>
        <v xml:space="preserve">   </v>
      </c>
      <c r="AA791" s="131" t="str">
        <f>IFERROR(VLOOKUP(Y791,TD!$K$46:$L$64,2,0)," ")</f>
        <v xml:space="preserve"> </v>
      </c>
      <c r="AB791" s="57"/>
      <c r="AC791" s="132"/>
    </row>
    <row r="792" spans="2:29" s="28" customFormat="1">
      <c r="B792" s="85"/>
      <c r="C792" s="53"/>
      <c r="D792" s="129"/>
      <c r="E792" s="54"/>
      <c r="F792" s="129"/>
      <c r="G792" s="129"/>
      <c r="H792" s="55"/>
      <c r="I792" s="133"/>
      <c r="J792" s="130"/>
      <c r="K792" s="56"/>
      <c r="L792" s="57"/>
      <c r="M792" s="129"/>
      <c r="N792" s="57"/>
      <c r="O792" s="54"/>
      <c r="P792" s="131" t="str">
        <f>IFERROR(VLOOKUP(C792,TD!$B$32:$F$36,2,0)," ")</f>
        <v xml:space="preserve"> </v>
      </c>
      <c r="Q792" s="131" t="str">
        <f>IFERROR(VLOOKUP(C792,TD!$B$32:$F$36,3,0)," ")</f>
        <v xml:space="preserve"> </v>
      </c>
      <c r="R792" s="131" t="str">
        <f>IFERROR(VLOOKUP(C792,TD!$B$32:$F$36,4,0)," ")</f>
        <v xml:space="preserve"> </v>
      </c>
      <c r="S792" s="54"/>
      <c r="T792" s="131" t="str">
        <f>IFERROR(VLOOKUP(S792,TD!$J$33:$K$43,2,0)," ")</f>
        <v xml:space="preserve"> </v>
      </c>
      <c r="U792" s="54" t="str">
        <f t="shared" si="48"/>
        <v xml:space="preserve">- </v>
      </c>
      <c r="V792" s="54"/>
      <c r="W792" s="131" t="str">
        <f>IFERROR(VLOOKUP(V792,TD!$N$33:$O$45,2,0)," ")</f>
        <v xml:space="preserve"> </v>
      </c>
      <c r="X792" s="54" t="str">
        <f t="shared" si="49"/>
        <v xml:space="preserve">_ </v>
      </c>
      <c r="Y792" s="54" t="str">
        <f t="shared" si="50"/>
        <v xml:space="preserve">-  _ </v>
      </c>
      <c r="Z792" s="131" t="str">
        <f t="shared" si="51"/>
        <v xml:space="preserve">   </v>
      </c>
      <c r="AA792" s="131" t="str">
        <f>IFERROR(VLOOKUP(Y792,TD!$K$46:$L$64,2,0)," ")</f>
        <v xml:space="preserve"> </v>
      </c>
      <c r="AB792" s="57"/>
      <c r="AC792" s="132"/>
    </row>
    <row r="793" spans="2:29" s="28" customFormat="1">
      <c r="B793" s="85"/>
      <c r="C793" s="53"/>
      <c r="D793" s="129"/>
      <c r="E793" s="54"/>
      <c r="F793" s="129"/>
      <c r="G793" s="129"/>
      <c r="H793" s="55"/>
      <c r="I793" s="133"/>
      <c r="J793" s="130"/>
      <c r="K793" s="56"/>
      <c r="L793" s="57"/>
      <c r="M793" s="129"/>
      <c r="N793" s="57"/>
      <c r="O793" s="54"/>
      <c r="P793" s="131" t="str">
        <f>IFERROR(VLOOKUP(C793,TD!$B$32:$F$36,2,0)," ")</f>
        <v xml:space="preserve"> </v>
      </c>
      <c r="Q793" s="131" t="str">
        <f>IFERROR(VLOOKUP(C793,TD!$B$32:$F$36,3,0)," ")</f>
        <v xml:space="preserve"> </v>
      </c>
      <c r="R793" s="131" t="str">
        <f>IFERROR(VLOOKUP(C793,TD!$B$32:$F$36,4,0)," ")</f>
        <v xml:space="preserve"> </v>
      </c>
      <c r="S793" s="54"/>
      <c r="T793" s="131" t="str">
        <f>IFERROR(VLOOKUP(S793,TD!$J$33:$K$43,2,0)," ")</f>
        <v xml:space="preserve"> </v>
      </c>
      <c r="U793" s="54" t="str">
        <f t="shared" si="48"/>
        <v xml:space="preserve">- </v>
      </c>
      <c r="V793" s="54"/>
      <c r="W793" s="131" t="str">
        <f>IFERROR(VLOOKUP(V793,TD!$N$33:$O$45,2,0)," ")</f>
        <v xml:space="preserve"> </v>
      </c>
      <c r="X793" s="54" t="str">
        <f t="shared" si="49"/>
        <v xml:space="preserve">_ </v>
      </c>
      <c r="Y793" s="54" t="str">
        <f t="shared" si="50"/>
        <v xml:space="preserve">-  _ </v>
      </c>
      <c r="Z793" s="131" t="str">
        <f t="shared" si="51"/>
        <v xml:space="preserve">   </v>
      </c>
      <c r="AA793" s="131" t="str">
        <f>IFERROR(VLOOKUP(Y793,TD!$K$46:$L$64,2,0)," ")</f>
        <v xml:space="preserve"> </v>
      </c>
      <c r="AB793" s="57"/>
      <c r="AC793" s="132"/>
    </row>
    <row r="794" spans="2:29" s="28" customFormat="1">
      <c r="B794" s="85"/>
      <c r="C794" s="53"/>
      <c r="D794" s="129"/>
      <c r="E794" s="54"/>
      <c r="F794" s="129"/>
      <c r="G794" s="129"/>
      <c r="H794" s="55"/>
      <c r="I794" s="133"/>
      <c r="J794" s="130"/>
      <c r="K794" s="56"/>
      <c r="L794" s="57"/>
      <c r="M794" s="129"/>
      <c r="N794" s="57"/>
      <c r="O794" s="54"/>
      <c r="P794" s="131" t="str">
        <f>IFERROR(VLOOKUP(C794,TD!$B$32:$F$36,2,0)," ")</f>
        <v xml:space="preserve"> </v>
      </c>
      <c r="Q794" s="131" t="str">
        <f>IFERROR(VLOOKUP(C794,TD!$B$32:$F$36,3,0)," ")</f>
        <v xml:space="preserve"> </v>
      </c>
      <c r="R794" s="131" t="str">
        <f>IFERROR(VLOOKUP(C794,TD!$B$32:$F$36,4,0)," ")</f>
        <v xml:space="preserve"> </v>
      </c>
      <c r="S794" s="54"/>
      <c r="T794" s="131" t="str">
        <f>IFERROR(VLOOKUP(S794,TD!$J$33:$K$43,2,0)," ")</f>
        <v xml:space="preserve"> </v>
      </c>
      <c r="U794" s="54" t="str">
        <f t="shared" si="48"/>
        <v xml:space="preserve">- </v>
      </c>
      <c r="V794" s="54"/>
      <c r="W794" s="131" t="str">
        <f>IFERROR(VLOOKUP(V794,TD!$N$33:$O$45,2,0)," ")</f>
        <v xml:space="preserve"> </v>
      </c>
      <c r="X794" s="54" t="str">
        <f t="shared" si="49"/>
        <v xml:space="preserve">_ </v>
      </c>
      <c r="Y794" s="54" t="str">
        <f t="shared" si="50"/>
        <v xml:space="preserve">-  _ </v>
      </c>
      <c r="Z794" s="131" t="str">
        <f t="shared" si="51"/>
        <v xml:space="preserve">   </v>
      </c>
      <c r="AA794" s="131" t="str">
        <f>IFERROR(VLOOKUP(Y794,TD!$K$46:$L$64,2,0)," ")</f>
        <v xml:space="preserve"> </v>
      </c>
      <c r="AB794" s="57"/>
      <c r="AC794" s="132"/>
    </row>
    <row r="795" spans="2:29" s="28" customFormat="1">
      <c r="B795" s="85"/>
      <c r="C795" s="53"/>
      <c r="D795" s="129"/>
      <c r="E795" s="54"/>
      <c r="F795" s="129"/>
      <c r="G795" s="129"/>
      <c r="H795" s="55"/>
      <c r="I795" s="133"/>
      <c r="J795" s="130"/>
      <c r="K795" s="56"/>
      <c r="L795" s="57"/>
      <c r="M795" s="129"/>
      <c r="N795" s="57"/>
      <c r="O795" s="54"/>
      <c r="P795" s="131" t="str">
        <f>IFERROR(VLOOKUP(C795,TD!$B$32:$F$36,2,0)," ")</f>
        <v xml:space="preserve"> </v>
      </c>
      <c r="Q795" s="131" t="str">
        <f>IFERROR(VLOOKUP(C795,TD!$B$32:$F$36,3,0)," ")</f>
        <v xml:space="preserve"> </v>
      </c>
      <c r="R795" s="131" t="str">
        <f>IFERROR(VLOOKUP(C795,TD!$B$32:$F$36,4,0)," ")</f>
        <v xml:space="preserve"> </v>
      </c>
      <c r="S795" s="54"/>
      <c r="T795" s="131" t="str">
        <f>IFERROR(VLOOKUP(S795,TD!$J$33:$K$43,2,0)," ")</f>
        <v xml:space="preserve"> </v>
      </c>
      <c r="U795" s="54" t="str">
        <f t="shared" si="48"/>
        <v xml:space="preserve">- </v>
      </c>
      <c r="V795" s="54"/>
      <c r="W795" s="131" t="str">
        <f>IFERROR(VLOOKUP(V795,TD!$N$33:$O$45,2,0)," ")</f>
        <v xml:space="preserve"> </v>
      </c>
      <c r="X795" s="54" t="str">
        <f t="shared" si="49"/>
        <v xml:space="preserve">_ </v>
      </c>
      <c r="Y795" s="54" t="str">
        <f t="shared" si="50"/>
        <v xml:space="preserve">-  _ </v>
      </c>
      <c r="Z795" s="131" t="str">
        <f t="shared" si="51"/>
        <v xml:space="preserve">   </v>
      </c>
      <c r="AA795" s="131" t="str">
        <f>IFERROR(VLOOKUP(Y795,TD!$K$46:$L$64,2,0)," ")</f>
        <v xml:space="preserve"> </v>
      </c>
      <c r="AB795" s="57"/>
      <c r="AC795" s="132"/>
    </row>
    <row r="796" spans="2:29" s="28" customFormat="1">
      <c r="B796" s="85"/>
      <c r="C796" s="53"/>
      <c r="D796" s="129"/>
      <c r="E796" s="54"/>
      <c r="F796" s="129"/>
      <c r="G796" s="129"/>
      <c r="H796" s="55"/>
      <c r="I796" s="133"/>
      <c r="J796" s="130"/>
      <c r="K796" s="56"/>
      <c r="L796" s="57"/>
      <c r="M796" s="129"/>
      <c r="N796" s="57"/>
      <c r="O796" s="54"/>
      <c r="P796" s="131" t="str">
        <f>IFERROR(VLOOKUP(C796,TD!$B$32:$F$36,2,0)," ")</f>
        <v xml:space="preserve"> </v>
      </c>
      <c r="Q796" s="131" t="str">
        <f>IFERROR(VLOOKUP(C796,TD!$B$32:$F$36,3,0)," ")</f>
        <v xml:space="preserve"> </v>
      </c>
      <c r="R796" s="131" t="str">
        <f>IFERROR(VLOOKUP(C796,TD!$B$32:$F$36,4,0)," ")</f>
        <v xml:space="preserve"> </v>
      </c>
      <c r="S796" s="54"/>
      <c r="T796" s="131" t="str">
        <f>IFERROR(VLOOKUP(S796,TD!$J$33:$K$43,2,0)," ")</f>
        <v xml:space="preserve"> </v>
      </c>
      <c r="U796" s="54" t="str">
        <f t="shared" si="48"/>
        <v xml:space="preserve">- </v>
      </c>
      <c r="V796" s="54"/>
      <c r="W796" s="131" t="str">
        <f>IFERROR(VLOOKUP(V796,TD!$N$33:$O$45,2,0)," ")</f>
        <v xml:space="preserve"> </v>
      </c>
      <c r="X796" s="54" t="str">
        <f t="shared" si="49"/>
        <v xml:space="preserve">_ </v>
      </c>
      <c r="Y796" s="54" t="str">
        <f t="shared" si="50"/>
        <v xml:space="preserve">-  _ </v>
      </c>
      <c r="Z796" s="131" t="str">
        <f t="shared" si="51"/>
        <v xml:space="preserve">   </v>
      </c>
      <c r="AA796" s="131" t="str">
        <f>IFERROR(VLOOKUP(Y796,TD!$K$46:$L$64,2,0)," ")</f>
        <v xml:space="preserve"> </v>
      </c>
      <c r="AB796" s="57"/>
      <c r="AC796" s="132"/>
    </row>
    <row r="797" spans="2:29" s="28" customFormat="1">
      <c r="B797" s="85"/>
      <c r="C797" s="53"/>
      <c r="D797" s="129"/>
      <c r="E797" s="54"/>
      <c r="F797" s="129"/>
      <c r="G797" s="129"/>
      <c r="H797" s="55"/>
      <c r="I797" s="133"/>
      <c r="J797" s="130"/>
      <c r="K797" s="56"/>
      <c r="L797" s="57"/>
      <c r="M797" s="129"/>
      <c r="N797" s="57"/>
      <c r="O797" s="54"/>
      <c r="P797" s="131" t="str">
        <f>IFERROR(VLOOKUP(C797,TD!$B$32:$F$36,2,0)," ")</f>
        <v xml:space="preserve"> </v>
      </c>
      <c r="Q797" s="131" t="str">
        <f>IFERROR(VLOOKUP(C797,TD!$B$32:$F$36,3,0)," ")</f>
        <v xml:space="preserve"> </v>
      </c>
      <c r="R797" s="131" t="str">
        <f>IFERROR(VLOOKUP(C797,TD!$B$32:$F$36,4,0)," ")</f>
        <v xml:space="preserve"> </v>
      </c>
      <c r="S797" s="54"/>
      <c r="T797" s="131" t="str">
        <f>IFERROR(VLOOKUP(S797,TD!$J$33:$K$43,2,0)," ")</f>
        <v xml:space="preserve"> </v>
      </c>
      <c r="U797" s="54" t="str">
        <f t="shared" si="48"/>
        <v xml:space="preserve">- </v>
      </c>
      <c r="V797" s="54"/>
      <c r="W797" s="131" t="str">
        <f>IFERROR(VLOOKUP(V797,TD!$N$33:$O$45,2,0)," ")</f>
        <v xml:space="preserve"> </v>
      </c>
      <c r="X797" s="54" t="str">
        <f t="shared" si="49"/>
        <v xml:space="preserve">_ </v>
      </c>
      <c r="Y797" s="54" t="str">
        <f t="shared" si="50"/>
        <v xml:space="preserve">-  _ </v>
      </c>
      <c r="Z797" s="131" t="str">
        <f t="shared" si="51"/>
        <v xml:space="preserve">   </v>
      </c>
      <c r="AA797" s="131" t="str">
        <f>IFERROR(VLOOKUP(Y797,TD!$K$46:$L$64,2,0)," ")</f>
        <v xml:space="preserve"> </v>
      </c>
      <c r="AB797" s="57"/>
      <c r="AC797" s="132"/>
    </row>
    <row r="798" spans="2:29" s="28" customFormat="1">
      <c r="B798" s="85"/>
      <c r="C798" s="53"/>
      <c r="D798" s="129"/>
      <c r="E798" s="54"/>
      <c r="F798" s="129"/>
      <c r="G798" s="129"/>
      <c r="H798" s="55"/>
      <c r="I798" s="133"/>
      <c r="J798" s="130"/>
      <c r="K798" s="56"/>
      <c r="L798" s="57"/>
      <c r="M798" s="129"/>
      <c r="N798" s="57"/>
      <c r="O798" s="54"/>
      <c r="P798" s="131" t="str">
        <f>IFERROR(VLOOKUP(C798,TD!$B$32:$F$36,2,0)," ")</f>
        <v xml:space="preserve"> </v>
      </c>
      <c r="Q798" s="131" t="str">
        <f>IFERROR(VLOOKUP(C798,TD!$B$32:$F$36,3,0)," ")</f>
        <v xml:space="preserve"> </v>
      </c>
      <c r="R798" s="131" t="str">
        <f>IFERROR(VLOOKUP(C798,TD!$B$32:$F$36,4,0)," ")</f>
        <v xml:space="preserve"> </v>
      </c>
      <c r="S798" s="54"/>
      <c r="T798" s="131" t="str">
        <f>IFERROR(VLOOKUP(S798,TD!$J$33:$K$43,2,0)," ")</f>
        <v xml:space="preserve"> </v>
      </c>
      <c r="U798" s="54" t="str">
        <f t="shared" si="48"/>
        <v xml:space="preserve">- </v>
      </c>
      <c r="V798" s="54"/>
      <c r="W798" s="131" t="str">
        <f>IFERROR(VLOOKUP(V798,TD!$N$33:$O$45,2,0)," ")</f>
        <v xml:space="preserve"> </v>
      </c>
      <c r="X798" s="54" t="str">
        <f t="shared" si="49"/>
        <v xml:space="preserve">_ </v>
      </c>
      <c r="Y798" s="54" t="str">
        <f t="shared" si="50"/>
        <v xml:space="preserve">-  _ </v>
      </c>
      <c r="Z798" s="131" t="str">
        <f t="shared" si="51"/>
        <v xml:space="preserve">   </v>
      </c>
      <c r="AA798" s="131" t="str">
        <f>IFERROR(VLOOKUP(Y798,TD!$K$46:$L$64,2,0)," ")</f>
        <v xml:space="preserve"> </v>
      </c>
      <c r="AB798" s="57"/>
      <c r="AC798" s="132"/>
    </row>
    <row r="799" spans="2:29" s="28" customFormat="1">
      <c r="B799" s="85"/>
      <c r="C799" s="53"/>
      <c r="D799" s="129"/>
      <c r="E799" s="54"/>
      <c r="F799" s="129"/>
      <c r="G799" s="129"/>
      <c r="H799" s="55"/>
      <c r="I799" s="133"/>
      <c r="J799" s="130"/>
      <c r="K799" s="56"/>
      <c r="L799" s="57"/>
      <c r="M799" s="129"/>
      <c r="N799" s="57"/>
      <c r="O799" s="54"/>
      <c r="P799" s="131" t="str">
        <f>IFERROR(VLOOKUP(C799,TD!$B$32:$F$36,2,0)," ")</f>
        <v xml:space="preserve"> </v>
      </c>
      <c r="Q799" s="131" t="str">
        <f>IFERROR(VLOOKUP(C799,TD!$B$32:$F$36,3,0)," ")</f>
        <v xml:space="preserve"> </v>
      </c>
      <c r="R799" s="131" t="str">
        <f>IFERROR(VLOOKUP(C799,TD!$B$32:$F$36,4,0)," ")</f>
        <v xml:space="preserve"> </v>
      </c>
      <c r="S799" s="54"/>
      <c r="T799" s="131" t="str">
        <f>IFERROR(VLOOKUP(S799,TD!$J$33:$K$43,2,0)," ")</f>
        <v xml:space="preserve"> </v>
      </c>
      <c r="U799" s="54" t="str">
        <f t="shared" si="48"/>
        <v xml:space="preserve">- </v>
      </c>
      <c r="V799" s="54"/>
      <c r="W799" s="131" t="str">
        <f>IFERROR(VLOOKUP(V799,TD!$N$33:$O$45,2,0)," ")</f>
        <v xml:space="preserve"> </v>
      </c>
      <c r="X799" s="54" t="str">
        <f t="shared" si="49"/>
        <v xml:space="preserve">_ </v>
      </c>
      <c r="Y799" s="54" t="str">
        <f t="shared" si="50"/>
        <v xml:space="preserve">-  _ </v>
      </c>
      <c r="Z799" s="131" t="str">
        <f t="shared" si="51"/>
        <v xml:space="preserve">   </v>
      </c>
      <c r="AA799" s="131" t="str">
        <f>IFERROR(VLOOKUP(Y799,TD!$K$46:$L$64,2,0)," ")</f>
        <v xml:space="preserve"> </v>
      </c>
      <c r="AB799" s="57"/>
      <c r="AC799" s="132"/>
    </row>
    <row r="800" spans="2:29" s="28" customFormat="1">
      <c r="B800" s="85"/>
      <c r="C800" s="53"/>
      <c r="D800" s="129"/>
      <c r="E800" s="54"/>
      <c r="F800" s="129"/>
      <c r="G800" s="129"/>
      <c r="H800" s="55"/>
      <c r="I800" s="133"/>
      <c r="J800" s="130"/>
      <c r="K800" s="56"/>
      <c r="L800" s="57"/>
      <c r="M800" s="129"/>
      <c r="N800" s="57"/>
      <c r="O800" s="54"/>
      <c r="P800" s="131" t="str">
        <f>IFERROR(VLOOKUP(C800,TD!$B$32:$F$36,2,0)," ")</f>
        <v xml:space="preserve"> </v>
      </c>
      <c r="Q800" s="131" t="str">
        <f>IFERROR(VLOOKUP(C800,TD!$B$32:$F$36,3,0)," ")</f>
        <v xml:space="preserve"> </v>
      </c>
      <c r="R800" s="131" t="str">
        <f>IFERROR(VLOOKUP(C800,TD!$B$32:$F$36,4,0)," ")</f>
        <v xml:space="preserve"> </v>
      </c>
      <c r="S800" s="54"/>
      <c r="T800" s="131" t="str">
        <f>IFERROR(VLOOKUP(S800,TD!$J$33:$K$43,2,0)," ")</f>
        <v xml:space="preserve"> </v>
      </c>
      <c r="U800" s="54" t="str">
        <f t="shared" si="48"/>
        <v xml:space="preserve">- </v>
      </c>
      <c r="V800" s="54"/>
      <c r="W800" s="131" t="str">
        <f>IFERROR(VLOOKUP(V800,TD!$N$33:$O$45,2,0)," ")</f>
        <v xml:space="preserve"> </v>
      </c>
      <c r="X800" s="54" t="str">
        <f t="shared" si="49"/>
        <v xml:space="preserve">_ </v>
      </c>
      <c r="Y800" s="54" t="str">
        <f t="shared" si="50"/>
        <v xml:space="preserve">-  _ </v>
      </c>
      <c r="Z800" s="131" t="str">
        <f t="shared" si="51"/>
        <v xml:space="preserve">   </v>
      </c>
      <c r="AA800" s="131" t="str">
        <f>IFERROR(VLOOKUP(Y800,TD!$K$46:$L$64,2,0)," ")</f>
        <v xml:space="preserve"> </v>
      </c>
      <c r="AB800" s="57"/>
      <c r="AC800" s="132"/>
    </row>
    <row r="801" spans="2:29" s="28" customFormat="1">
      <c r="B801" s="85"/>
      <c r="C801" s="53"/>
      <c r="D801" s="129"/>
      <c r="E801" s="54"/>
      <c r="F801" s="129"/>
      <c r="G801" s="129"/>
      <c r="H801" s="55"/>
      <c r="I801" s="133"/>
      <c r="J801" s="130"/>
      <c r="K801" s="56"/>
      <c r="L801" s="57"/>
      <c r="M801" s="129"/>
      <c r="N801" s="57"/>
      <c r="O801" s="54"/>
      <c r="P801" s="131" t="str">
        <f>IFERROR(VLOOKUP(C801,TD!$B$32:$F$36,2,0)," ")</f>
        <v xml:space="preserve"> </v>
      </c>
      <c r="Q801" s="131" t="str">
        <f>IFERROR(VLOOKUP(C801,TD!$B$32:$F$36,3,0)," ")</f>
        <v xml:space="preserve"> </v>
      </c>
      <c r="R801" s="131" t="str">
        <f>IFERROR(VLOOKUP(C801,TD!$B$32:$F$36,4,0)," ")</f>
        <v xml:space="preserve"> </v>
      </c>
      <c r="S801" s="54"/>
      <c r="T801" s="131" t="str">
        <f>IFERROR(VLOOKUP(S801,TD!$J$33:$K$43,2,0)," ")</f>
        <v xml:space="preserve"> </v>
      </c>
      <c r="U801" s="54" t="str">
        <f t="shared" si="48"/>
        <v xml:space="preserve">- </v>
      </c>
      <c r="V801" s="54"/>
      <c r="W801" s="131" t="str">
        <f>IFERROR(VLOOKUP(V801,TD!$N$33:$O$45,2,0)," ")</f>
        <v xml:space="preserve"> </v>
      </c>
      <c r="X801" s="54" t="str">
        <f t="shared" si="49"/>
        <v xml:space="preserve">_ </v>
      </c>
      <c r="Y801" s="54" t="str">
        <f t="shared" si="50"/>
        <v xml:space="preserve">-  _ </v>
      </c>
      <c r="Z801" s="131" t="str">
        <f t="shared" si="51"/>
        <v xml:space="preserve">   </v>
      </c>
      <c r="AA801" s="131" t="str">
        <f>IFERROR(VLOOKUP(Y801,TD!$K$46:$L$64,2,0)," ")</f>
        <v xml:space="preserve"> </v>
      </c>
      <c r="AB801" s="57"/>
      <c r="AC801" s="132"/>
    </row>
    <row r="802" spans="2:29" s="28" customFormat="1">
      <c r="B802" s="85"/>
      <c r="C802" s="53"/>
      <c r="D802" s="129"/>
      <c r="E802" s="54"/>
      <c r="F802" s="129"/>
      <c r="G802" s="129"/>
      <c r="H802" s="55"/>
      <c r="I802" s="133"/>
      <c r="J802" s="130"/>
      <c r="K802" s="56"/>
      <c r="L802" s="57"/>
      <c r="M802" s="129"/>
      <c r="N802" s="57"/>
      <c r="O802" s="54"/>
      <c r="P802" s="131" t="str">
        <f>IFERROR(VLOOKUP(C802,TD!$B$32:$F$36,2,0)," ")</f>
        <v xml:space="preserve"> </v>
      </c>
      <c r="Q802" s="131" t="str">
        <f>IFERROR(VLOOKUP(C802,TD!$B$32:$F$36,3,0)," ")</f>
        <v xml:space="preserve"> </v>
      </c>
      <c r="R802" s="131" t="str">
        <f>IFERROR(VLOOKUP(C802,TD!$B$32:$F$36,4,0)," ")</f>
        <v xml:space="preserve"> </v>
      </c>
      <c r="S802" s="54"/>
      <c r="T802" s="131" t="str">
        <f>IFERROR(VLOOKUP(S802,TD!$J$33:$K$43,2,0)," ")</f>
        <v xml:space="preserve"> </v>
      </c>
      <c r="U802" s="54" t="str">
        <f t="shared" si="48"/>
        <v xml:space="preserve">- </v>
      </c>
      <c r="V802" s="54"/>
      <c r="W802" s="131" t="str">
        <f>IFERROR(VLOOKUP(V802,TD!$N$33:$O$45,2,0)," ")</f>
        <v xml:space="preserve"> </v>
      </c>
      <c r="X802" s="54" t="str">
        <f t="shared" si="49"/>
        <v xml:space="preserve">_ </v>
      </c>
      <c r="Y802" s="54" t="str">
        <f t="shared" si="50"/>
        <v xml:space="preserve">-  _ </v>
      </c>
      <c r="Z802" s="131" t="str">
        <f t="shared" si="51"/>
        <v xml:space="preserve">   </v>
      </c>
      <c r="AA802" s="131" t="str">
        <f>IFERROR(VLOOKUP(Y802,TD!$K$46:$L$64,2,0)," ")</f>
        <v xml:space="preserve"> </v>
      </c>
      <c r="AB802" s="57"/>
      <c r="AC802" s="132"/>
    </row>
    <row r="803" spans="2:29" s="28" customFormat="1">
      <c r="B803" s="85"/>
      <c r="C803" s="53"/>
      <c r="D803" s="129"/>
      <c r="E803" s="54"/>
      <c r="F803" s="129"/>
      <c r="G803" s="129"/>
      <c r="H803" s="55"/>
      <c r="I803" s="133"/>
      <c r="J803" s="130"/>
      <c r="K803" s="56"/>
      <c r="L803" s="57"/>
      <c r="M803" s="129"/>
      <c r="N803" s="57"/>
      <c r="O803" s="54"/>
      <c r="P803" s="131" t="str">
        <f>IFERROR(VLOOKUP(C803,TD!$B$32:$F$36,2,0)," ")</f>
        <v xml:space="preserve"> </v>
      </c>
      <c r="Q803" s="131" t="str">
        <f>IFERROR(VLOOKUP(C803,TD!$B$32:$F$36,3,0)," ")</f>
        <v xml:space="preserve"> </v>
      </c>
      <c r="R803" s="131" t="str">
        <f>IFERROR(VLOOKUP(C803,TD!$B$32:$F$36,4,0)," ")</f>
        <v xml:space="preserve"> </v>
      </c>
      <c r="S803" s="54"/>
      <c r="T803" s="131" t="str">
        <f>IFERROR(VLOOKUP(S803,TD!$J$33:$K$43,2,0)," ")</f>
        <v xml:space="preserve"> </v>
      </c>
      <c r="U803" s="54" t="str">
        <f t="shared" si="48"/>
        <v xml:space="preserve">- </v>
      </c>
      <c r="V803" s="54"/>
      <c r="W803" s="131" t="str">
        <f>IFERROR(VLOOKUP(V803,TD!$N$33:$O$45,2,0)," ")</f>
        <v xml:space="preserve"> </v>
      </c>
      <c r="X803" s="54" t="str">
        <f t="shared" si="49"/>
        <v xml:space="preserve">_ </v>
      </c>
      <c r="Y803" s="54" t="str">
        <f t="shared" si="50"/>
        <v xml:space="preserve">-  _ </v>
      </c>
      <c r="Z803" s="131" t="str">
        <f t="shared" si="51"/>
        <v xml:space="preserve">   </v>
      </c>
      <c r="AA803" s="131" t="str">
        <f>IFERROR(VLOOKUP(Y803,TD!$K$46:$L$64,2,0)," ")</f>
        <v xml:space="preserve"> </v>
      </c>
      <c r="AB803" s="57"/>
      <c r="AC803" s="132"/>
    </row>
    <row r="804" spans="2:29" s="28" customFormat="1">
      <c r="B804" s="85"/>
      <c r="C804" s="53"/>
      <c r="D804" s="129"/>
      <c r="E804" s="54"/>
      <c r="F804" s="129"/>
      <c r="G804" s="129"/>
      <c r="H804" s="55"/>
      <c r="I804" s="133"/>
      <c r="J804" s="130"/>
      <c r="K804" s="56"/>
      <c r="L804" s="57"/>
      <c r="M804" s="129"/>
      <c r="N804" s="57"/>
      <c r="O804" s="54"/>
      <c r="P804" s="131" t="str">
        <f>IFERROR(VLOOKUP(C804,TD!$B$32:$F$36,2,0)," ")</f>
        <v xml:space="preserve"> </v>
      </c>
      <c r="Q804" s="131" t="str">
        <f>IFERROR(VLOOKUP(C804,TD!$B$32:$F$36,3,0)," ")</f>
        <v xml:space="preserve"> </v>
      </c>
      <c r="R804" s="131" t="str">
        <f>IFERROR(VLOOKUP(C804,TD!$B$32:$F$36,4,0)," ")</f>
        <v xml:space="preserve"> </v>
      </c>
      <c r="S804" s="54"/>
      <c r="T804" s="131" t="str">
        <f>IFERROR(VLOOKUP(S804,TD!$J$33:$K$43,2,0)," ")</f>
        <v xml:space="preserve"> </v>
      </c>
      <c r="U804" s="54" t="str">
        <f t="shared" si="48"/>
        <v xml:space="preserve">- </v>
      </c>
      <c r="V804" s="54"/>
      <c r="W804" s="131" t="str">
        <f>IFERROR(VLOOKUP(V804,TD!$N$33:$O$45,2,0)," ")</f>
        <v xml:space="preserve"> </v>
      </c>
      <c r="X804" s="54" t="str">
        <f t="shared" si="49"/>
        <v xml:space="preserve">_ </v>
      </c>
      <c r="Y804" s="54" t="str">
        <f t="shared" si="50"/>
        <v xml:space="preserve">-  _ </v>
      </c>
      <c r="Z804" s="131" t="str">
        <f t="shared" si="51"/>
        <v xml:space="preserve">   </v>
      </c>
      <c r="AA804" s="131" t="str">
        <f>IFERROR(VLOOKUP(Y804,TD!$K$46:$L$64,2,0)," ")</f>
        <v xml:space="preserve"> </v>
      </c>
      <c r="AB804" s="57"/>
      <c r="AC804" s="132"/>
    </row>
    <row r="805" spans="2:29" s="28" customFormat="1">
      <c r="B805" s="85"/>
      <c r="C805" s="53"/>
      <c r="D805" s="129"/>
      <c r="E805" s="54"/>
      <c r="F805" s="129"/>
      <c r="G805" s="129"/>
      <c r="H805" s="55"/>
      <c r="I805" s="133"/>
      <c r="J805" s="130"/>
      <c r="K805" s="56"/>
      <c r="L805" s="57"/>
      <c r="M805" s="129"/>
      <c r="N805" s="57"/>
      <c r="O805" s="54"/>
      <c r="P805" s="131" t="str">
        <f>IFERROR(VLOOKUP(C805,TD!$B$32:$F$36,2,0)," ")</f>
        <v xml:space="preserve"> </v>
      </c>
      <c r="Q805" s="131" t="str">
        <f>IFERROR(VLOOKUP(C805,TD!$B$32:$F$36,3,0)," ")</f>
        <v xml:space="preserve"> </v>
      </c>
      <c r="R805" s="131" t="str">
        <f>IFERROR(VLOOKUP(C805,TD!$B$32:$F$36,4,0)," ")</f>
        <v xml:space="preserve"> </v>
      </c>
      <c r="S805" s="54"/>
      <c r="T805" s="131" t="str">
        <f>IFERROR(VLOOKUP(S805,TD!$J$33:$K$43,2,0)," ")</f>
        <v xml:space="preserve"> </v>
      </c>
      <c r="U805" s="54" t="str">
        <f t="shared" si="48"/>
        <v xml:space="preserve">- </v>
      </c>
      <c r="V805" s="54"/>
      <c r="W805" s="131" t="str">
        <f>IFERROR(VLOOKUP(V805,TD!$N$33:$O$45,2,0)," ")</f>
        <v xml:space="preserve"> </v>
      </c>
      <c r="X805" s="54" t="str">
        <f t="shared" si="49"/>
        <v xml:space="preserve">_ </v>
      </c>
      <c r="Y805" s="54" t="str">
        <f t="shared" si="50"/>
        <v xml:space="preserve">-  _ </v>
      </c>
      <c r="Z805" s="131" t="str">
        <f t="shared" si="51"/>
        <v xml:space="preserve">   </v>
      </c>
      <c r="AA805" s="131" t="str">
        <f>IFERROR(VLOOKUP(Y805,TD!$K$46:$L$64,2,0)," ")</f>
        <v xml:space="preserve"> </v>
      </c>
      <c r="AB805" s="57"/>
      <c r="AC805" s="132"/>
    </row>
    <row r="806" spans="2:29" s="28" customFormat="1">
      <c r="B806" s="85"/>
      <c r="C806" s="53"/>
      <c r="D806" s="129"/>
      <c r="E806" s="54"/>
      <c r="F806" s="129"/>
      <c r="G806" s="129"/>
      <c r="H806" s="55"/>
      <c r="I806" s="133"/>
      <c r="J806" s="130"/>
      <c r="K806" s="56"/>
      <c r="L806" s="57"/>
      <c r="M806" s="129"/>
      <c r="N806" s="57"/>
      <c r="O806" s="54"/>
      <c r="P806" s="131" t="str">
        <f>IFERROR(VLOOKUP(C806,TD!$B$32:$F$36,2,0)," ")</f>
        <v xml:space="preserve"> </v>
      </c>
      <c r="Q806" s="131" t="str">
        <f>IFERROR(VLOOKUP(C806,TD!$B$32:$F$36,3,0)," ")</f>
        <v xml:space="preserve"> </v>
      </c>
      <c r="R806" s="131" t="str">
        <f>IFERROR(VLOOKUP(C806,TD!$B$32:$F$36,4,0)," ")</f>
        <v xml:space="preserve"> </v>
      </c>
      <c r="S806" s="54"/>
      <c r="T806" s="131" t="str">
        <f>IFERROR(VLOOKUP(S806,TD!$J$33:$K$43,2,0)," ")</f>
        <v xml:space="preserve"> </v>
      </c>
      <c r="U806" s="54" t="str">
        <f t="shared" si="48"/>
        <v xml:space="preserve">- </v>
      </c>
      <c r="V806" s="54"/>
      <c r="W806" s="131" t="str">
        <f>IFERROR(VLOOKUP(V806,TD!$N$33:$O$45,2,0)," ")</f>
        <v xml:space="preserve"> </v>
      </c>
      <c r="X806" s="54" t="str">
        <f t="shared" si="49"/>
        <v xml:space="preserve">_ </v>
      </c>
      <c r="Y806" s="54" t="str">
        <f t="shared" si="50"/>
        <v xml:space="preserve">-  _ </v>
      </c>
      <c r="Z806" s="131" t="str">
        <f t="shared" si="51"/>
        <v xml:space="preserve">   </v>
      </c>
      <c r="AA806" s="131" t="str">
        <f>IFERROR(VLOOKUP(Y806,TD!$K$46:$L$64,2,0)," ")</f>
        <v xml:space="preserve"> </v>
      </c>
      <c r="AB806" s="57"/>
      <c r="AC806" s="132"/>
    </row>
    <row r="807" spans="2:29" s="28" customFormat="1">
      <c r="B807" s="85"/>
      <c r="C807" s="53"/>
      <c r="D807" s="129"/>
      <c r="E807" s="54"/>
      <c r="F807" s="129"/>
      <c r="G807" s="129"/>
      <c r="H807" s="55"/>
      <c r="I807" s="133"/>
      <c r="J807" s="130"/>
      <c r="K807" s="56"/>
      <c r="L807" s="57"/>
      <c r="M807" s="129"/>
      <c r="N807" s="57"/>
      <c r="O807" s="54"/>
      <c r="P807" s="131" t="str">
        <f>IFERROR(VLOOKUP(C807,TD!$B$32:$F$36,2,0)," ")</f>
        <v xml:space="preserve"> </v>
      </c>
      <c r="Q807" s="131" t="str">
        <f>IFERROR(VLOOKUP(C807,TD!$B$32:$F$36,3,0)," ")</f>
        <v xml:space="preserve"> </v>
      </c>
      <c r="R807" s="131" t="str">
        <f>IFERROR(VLOOKUP(C807,TD!$B$32:$F$36,4,0)," ")</f>
        <v xml:space="preserve"> </v>
      </c>
      <c r="S807" s="54"/>
      <c r="T807" s="131" t="str">
        <f>IFERROR(VLOOKUP(S807,TD!$J$33:$K$43,2,0)," ")</f>
        <v xml:space="preserve"> </v>
      </c>
      <c r="U807" s="54" t="str">
        <f t="shared" si="48"/>
        <v xml:space="preserve">- </v>
      </c>
      <c r="V807" s="54"/>
      <c r="W807" s="131" t="str">
        <f>IFERROR(VLOOKUP(V807,TD!$N$33:$O$45,2,0)," ")</f>
        <v xml:space="preserve"> </v>
      </c>
      <c r="X807" s="54" t="str">
        <f t="shared" si="49"/>
        <v xml:space="preserve">_ </v>
      </c>
      <c r="Y807" s="54" t="str">
        <f t="shared" si="50"/>
        <v xml:space="preserve">-  _ </v>
      </c>
      <c r="Z807" s="131" t="str">
        <f t="shared" si="51"/>
        <v xml:space="preserve">   </v>
      </c>
      <c r="AA807" s="131" t="str">
        <f>IFERROR(VLOOKUP(Y807,TD!$K$46:$L$64,2,0)," ")</f>
        <v xml:space="preserve"> </v>
      </c>
      <c r="AB807" s="57"/>
      <c r="AC807" s="132"/>
    </row>
    <row r="808" spans="2:29" s="28" customFormat="1">
      <c r="B808" s="85"/>
      <c r="C808" s="53"/>
      <c r="D808" s="129"/>
      <c r="E808" s="54"/>
      <c r="F808" s="129"/>
      <c r="G808" s="129"/>
      <c r="H808" s="55"/>
      <c r="I808" s="133"/>
      <c r="J808" s="130"/>
      <c r="K808" s="56"/>
      <c r="L808" s="57"/>
      <c r="M808" s="129"/>
      <c r="N808" s="57"/>
      <c r="O808" s="54"/>
      <c r="P808" s="131" t="str">
        <f>IFERROR(VLOOKUP(C808,TD!$B$32:$F$36,2,0)," ")</f>
        <v xml:space="preserve"> </v>
      </c>
      <c r="Q808" s="131" t="str">
        <f>IFERROR(VLOOKUP(C808,TD!$B$32:$F$36,3,0)," ")</f>
        <v xml:space="preserve"> </v>
      </c>
      <c r="R808" s="131" t="str">
        <f>IFERROR(VLOOKUP(C808,TD!$B$32:$F$36,4,0)," ")</f>
        <v xml:space="preserve"> </v>
      </c>
      <c r="S808" s="54"/>
      <c r="T808" s="131" t="str">
        <f>IFERROR(VLOOKUP(S808,TD!$J$33:$K$43,2,0)," ")</f>
        <v xml:space="preserve"> </v>
      </c>
      <c r="U808" s="54" t="str">
        <f t="shared" si="48"/>
        <v xml:space="preserve">- </v>
      </c>
      <c r="V808" s="54"/>
      <c r="W808" s="131" t="str">
        <f>IFERROR(VLOOKUP(V808,TD!$N$33:$O$45,2,0)," ")</f>
        <v xml:space="preserve"> </v>
      </c>
      <c r="X808" s="54" t="str">
        <f t="shared" si="49"/>
        <v xml:space="preserve">_ </v>
      </c>
      <c r="Y808" s="54" t="str">
        <f t="shared" si="50"/>
        <v xml:space="preserve">-  _ </v>
      </c>
      <c r="Z808" s="131" t="str">
        <f t="shared" si="51"/>
        <v xml:space="preserve">   </v>
      </c>
      <c r="AA808" s="131" t="str">
        <f>IFERROR(VLOOKUP(Y808,TD!$K$46:$L$64,2,0)," ")</f>
        <v xml:space="preserve"> </v>
      </c>
      <c r="AB808" s="57"/>
      <c r="AC808" s="132"/>
    </row>
    <row r="809" spans="2:29" s="28" customFormat="1">
      <c r="B809" s="85"/>
      <c r="C809" s="53"/>
      <c r="D809" s="129"/>
      <c r="E809" s="54"/>
      <c r="F809" s="129"/>
      <c r="G809" s="129"/>
      <c r="H809" s="55"/>
      <c r="I809" s="133"/>
      <c r="J809" s="130"/>
      <c r="K809" s="56"/>
      <c r="L809" s="57"/>
      <c r="M809" s="129"/>
      <c r="N809" s="57"/>
      <c r="O809" s="54"/>
      <c r="P809" s="131" t="str">
        <f>IFERROR(VLOOKUP(C809,TD!$B$32:$F$36,2,0)," ")</f>
        <v xml:space="preserve"> </v>
      </c>
      <c r="Q809" s="131" t="str">
        <f>IFERROR(VLOOKUP(C809,TD!$B$32:$F$36,3,0)," ")</f>
        <v xml:space="preserve"> </v>
      </c>
      <c r="R809" s="131" t="str">
        <f>IFERROR(VLOOKUP(C809,TD!$B$32:$F$36,4,0)," ")</f>
        <v xml:space="preserve"> </v>
      </c>
      <c r="S809" s="54"/>
      <c r="T809" s="131" t="str">
        <f>IFERROR(VLOOKUP(S809,TD!$J$33:$K$43,2,0)," ")</f>
        <v xml:space="preserve"> </v>
      </c>
      <c r="U809" s="54" t="str">
        <f t="shared" si="48"/>
        <v xml:space="preserve">- </v>
      </c>
      <c r="V809" s="54"/>
      <c r="W809" s="131" t="str">
        <f>IFERROR(VLOOKUP(V809,TD!$N$33:$O$45,2,0)," ")</f>
        <v xml:space="preserve"> </v>
      </c>
      <c r="X809" s="54" t="str">
        <f t="shared" si="49"/>
        <v xml:space="preserve">_ </v>
      </c>
      <c r="Y809" s="54" t="str">
        <f t="shared" si="50"/>
        <v xml:space="preserve">-  _ </v>
      </c>
      <c r="Z809" s="131" t="str">
        <f t="shared" si="51"/>
        <v xml:space="preserve">   </v>
      </c>
      <c r="AA809" s="131" t="str">
        <f>IFERROR(VLOOKUP(Y809,TD!$K$46:$L$64,2,0)," ")</f>
        <v xml:space="preserve"> </v>
      </c>
      <c r="AB809" s="57"/>
      <c r="AC809" s="132"/>
    </row>
    <row r="810" spans="2:29" s="28" customFormat="1">
      <c r="B810" s="85"/>
      <c r="C810" s="53"/>
      <c r="D810" s="129"/>
      <c r="E810" s="54"/>
      <c r="F810" s="129"/>
      <c r="G810" s="129"/>
      <c r="H810" s="55"/>
      <c r="I810" s="133"/>
      <c r="J810" s="130"/>
      <c r="K810" s="56"/>
      <c r="L810" s="57"/>
      <c r="M810" s="129"/>
      <c r="N810" s="57"/>
      <c r="O810" s="54"/>
      <c r="P810" s="131" t="str">
        <f>IFERROR(VLOOKUP(C810,TD!$B$32:$F$36,2,0)," ")</f>
        <v xml:space="preserve"> </v>
      </c>
      <c r="Q810" s="131" t="str">
        <f>IFERROR(VLOOKUP(C810,TD!$B$32:$F$36,3,0)," ")</f>
        <v xml:space="preserve"> </v>
      </c>
      <c r="R810" s="131" t="str">
        <f>IFERROR(VLOOKUP(C810,TD!$B$32:$F$36,4,0)," ")</f>
        <v xml:space="preserve"> </v>
      </c>
      <c r="S810" s="54"/>
      <c r="T810" s="131" t="str">
        <f>IFERROR(VLOOKUP(S810,TD!$J$33:$K$43,2,0)," ")</f>
        <v xml:space="preserve"> </v>
      </c>
      <c r="U810" s="54" t="str">
        <f t="shared" si="48"/>
        <v xml:space="preserve">- </v>
      </c>
      <c r="V810" s="54"/>
      <c r="W810" s="131" t="str">
        <f>IFERROR(VLOOKUP(V810,TD!$N$33:$O$45,2,0)," ")</f>
        <v xml:space="preserve"> </v>
      </c>
      <c r="X810" s="54" t="str">
        <f t="shared" si="49"/>
        <v xml:space="preserve">_ </v>
      </c>
      <c r="Y810" s="54" t="str">
        <f t="shared" si="50"/>
        <v xml:space="preserve">-  _ </v>
      </c>
      <c r="Z810" s="131" t="str">
        <f t="shared" si="51"/>
        <v xml:space="preserve">   </v>
      </c>
      <c r="AA810" s="131" t="str">
        <f>IFERROR(VLOOKUP(Y810,TD!$K$46:$L$64,2,0)," ")</f>
        <v xml:space="preserve"> </v>
      </c>
      <c r="AB810" s="57"/>
      <c r="AC810" s="132"/>
    </row>
    <row r="811" spans="2:29" s="28" customFormat="1">
      <c r="B811" s="85"/>
      <c r="C811" s="53"/>
      <c r="D811" s="129"/>
      <c r="E811" s="54"/>
      <c r="F811" s="129"/>
      <c r="G811" s="129"/>
      <c r="H811" s="55"/>
      <c r="I811" s="133"/>
      <c r="J811" s="130"/>
      <c r="K811" s="56"/>
      <c r="L811" s="57"/>
      <c r="M811" s="129"/>
      <c r="N811" s="57"/>
      <c r="O811" s="54"/>
      <c r="P811" s="131" t="str">
        <f>IFERROR(VLOOKUP(C811,TD!$B$32:$F$36,2,0)," ")</f>
        <v xml:space="preserve"> </v>
      </c>
      <c r="Q811" s="131" t="str">
        <f>IFERROR(VLOOKUP(C811,TD!$B$32:$F$36,3,0)," ")</f>
        <v xml:space="preserve"> </v>
      </c>
      <c r="R811" s="131" t="str">
        <f>IFERROR(VLOOKUP(C811,TD!$B$32:$F$36,4,0)," ")</f>
        <v xml:space="preserve"> </v>
      </c>
      <c r="S811" s="54"/>
      <c r="T811" s="131" t="str">
        <f>IFERROR(VLOOKUP(S811,TD!$J$33:$K$43,2,0)," ")</f>
        <v xml:space="preserve"> </v>
      </c>
      <c r="U811" s="54" t="str">
        <f t="shared" si="48"/>
        <v xml:space="preserve">- </v>
      </c>
      <c r="V811" s="54"/>
      <c r="W811" s="131" t="str">
        <f>IFERROR(VLOOKUP(V811,TD!$N$33:$O$45,2,0)," ")</f>
        <v xml:space="preserve"> </v>
      </c>
      <c r="X811" s="54" t="str">
        <f t="shared" si="49"/>
        <v xml:space="preserve">_ </v>
      </c>
      <c r="Y811" s="54" t="str">
        <f t="shared" si="50"/>
        <v xml:space="preserve">-  _ </v>
      </c>
      <c r="Z811" s="131" t="str">
        <f t="shared" si="51"/>
        <v xml:space="preserve">   </v>
      </c>
      <c r="AA811" s="131" t="str">
        <f>IFERROR(VLOOKUP(Y811,TD!$K$46:$L$64,2,0)," ")</f>
        <v xml:space="preserve"> </v>
      </c>
      <c r="AB811" s="57"/>
      <c r="AC811" s="132"/>
    </row>
    <row r="812" spans="2:29" s="28" customFormat="1">
      <c r="B812" s="85"/>
      <c r="C812" s="53"/>
      <c r="D812" s="129"/>
      <c r="E812" s="54"/>
      <c r="F812" s="129"/>
      <c r="G812" s="129"/>
      <c r="H812" s="55"/>
      <c r="I812" s="133"/>
      <c r="J812" s="130"/>
      <c r="K812" s="56"/>
      <c r="L812" s="57"/>
      <c r="M812" s="129"/>
      <c r="N812" s="57"/>
      <c r="O812" s="54"/>
      <c r="P812" s="131" t="str">
        <f>IFERROR(VLOOKUP(C812,TD!$B$32:$F$36,2,0)," ")</f>
        <v xml:space="preserve"> </v>
      </c>
      <c r="Q812" s="131" t="str">
        <f>IFERROR(VLOOKUP(C812,TD!$B$32:$F$36,3,0)," ")</f>
        <v xml:space="preserve"> </v>
      </c>
      <c r="R812" s="131" t="str">
        <f>IFERROR(VLOOKUP(C812,TD!$B$32:$F$36,4,0)," ")</f>
        <v xml:space="preserve"> </v>
      </c>
      <c r="S812" s="54"/>
      <c r="T812" s="131" t="str">
        <f>IFERROR(VLOOKUP(S812,TD!$J$33:$K$43,2,0)," ")</f>
        <v xml:space="preserve"> </v>
      </c>
      <c r="U812" s="54" t="str">
        <f t="shared" si="48"/>
        <v xml:space="preserve">- </v>
      </c>
      <c r="V812" s="54"/>
      <c r="W812" s="131" t="str">
        <f>IFERROR(VLOOKUP(V812,TD!$N$33:$O$45,2,0)," ")</f>
        <v xml:space="preserve"> </v>
      </c>
      <c r="X812" s="54" t="str">
        <f t="shared" si="49"/>
        <v xml:space="preserve">_ </v>
      </c>
      <c r="Y812" s="54" t="str">
        <f t="shared" si="50"/>
        <v xml:space="preserve">-  _ </v>
      </c>
      <c r="Z812" s="131" t="str">
        <f t="shared" si="51"/>
        <v xml:space="preserve">   </v>
      </c>
      <c r="AA812" s="131" t="str">
        <f>IFERROR(VLOOKUP(Y812,TD!$K$46:$L$64,2,0)," ")</f>
        <v xml:space="preserve"> </v>
      </c>
      <c r="AB812" s="57"/>
      <c r="AC812" s="132"/>
    </row>
    <row r="813" spans="2:29" s="28" customFormat="1">
      <c r="B813" s="85"/>
      <c r="C813" s="53"/>
      <c r="D813" s="129"/>
      <c r="E813" s="54"/>
      <c r="F813" s="129"/>
      <c r="G813" s="129"/>
      <c r="H813" s="55"/>
      <c r="I813" s="133"/>
      <c r="J813" s="130"/>
      <c r="K813" s="56"/>
      <c r="L813" s="57"/>
      <c r="M813" s="129"/>
      <c r="N813" s="57"/>
      <c r="O813" s="54"/>
      <c r="P813" s="131" t="str">
        <f>IFERROR(VLOOKUP(C813,TD!$B$32:$F$36,2,0)," ")</f>
        <v xml:space="preserve"> </v>
      </c>
      <c r="Q813" s="131" t="str">
        <f>IFERROR(VLOOKUP(C813,TD!$B$32:$F$36,3,0)," ")</f>
        <v xml:space="preserve"> </v>
      </c>
      <c r="R813" s="131" t="str">
        <f>IFERROR(VLOOKUP(C813,TD!$B$32:$F$36,4,0)," ")</f>
        <v xml:space="preserve"> </v>
      </c>
      <c r="S813" s="54"/>
      <c r="T813" s="131" t="str">
        <f>IFERROR(VLOOKUP(S813,TD!$J$33:$K$43,2,0)," ")</f>
        <v xml:space="preserve"> </v>
      </c>
      <c r="U813" s="54" t="str">
        <f t="shared" si="48"/>
        <v xml:space="preserve">- </v>
      </c>
      <c r="V813" s="54"/>
      <c r="W813" s="131" t="str">
        <f>IFERROR(VLOOKUP(V813,TD!$N$33:$O$45,2,0)," ")</f>
        <v xml:space="preserve"> </v>
      </c>
      <c r="X813" s="54" t="str">
        <f t="shared" si="49"/>
        <v xml:space="preserve">_ </v>
      </c>
      <c r="Y813" s="54" t="str">
        <f t="shared" si="50"/>
        <v xml:space="preserve">-  _ </v>
      </c>
      <c r="Z813" s="131" t="str">
        <f t="shared" si="51"/>
        <v xml:space="preserve">   </v>
      </c>
      <c r="AA813" s="131" t="str">
        <f>IFERROR(VLOOKUP(Y813,TD!$K$46:$L$64,2,0)," ")</f>
        <v xml:space="preserve"> </v>
      </c>
      <c r="AB813" s="57"/>
      <c r="AC813" s="132"/>
    </row>
    <row r="814" spans="2:29" s="28" customFormat="1">
      <c r="B814" s="85"/>
      <c r="C814" s="53"/>
      <c r="D814" s="129"/>
      <c r="E814" s="54"/>
      <c r="F814" s="129"/>
      <c r="G814" s="129"/>
      <c r="H814" s="55"/>
      <c r="I814" s="133"/>
      <c r="J814" s="130"/>
      <c r="K814" s="56"/>
      <c r="L814" s="57"/>
      <c r="M814" s="129"/>
      <c r="N814" s="57"/>
      <c r="O814" s="54"/>
      <c r="P814" s="131" t="str">
        <f>IFERROR(VLOOKUP(C814,TD!$B$32:$F$36,2,0)," ")</f>
        <v xml:space="preserve"> </v>
      </c>
      <c r="Q814" s="131" t="str">
        <f>IFERROR(VLOOKUP(C814,TD!$B$32:$F$36,3,0)," ")</f>
        <v xml:space="preserve"> </v>
      </c>
      <c r="R814" s="131" t="str">
        <f>IFERROR(VLOOKUP(C814,TD!$B$32:$F$36,4,0)," ")</f>
        <v xml:space="preserve"> </v>
      </c>
      <c r="S814" s="54"/>
      <c r="T814" s="131" t="str">
        <f>IFERROR(VLOOKUP(S814,TD!$J$33:$K$43,2,0)," ")</f>
        <v xml:space="preserve"> </v>
      </c>
      <c r="U814" s="54" t="str">
        <f t="shared" si="48"/>
        <v xml:space="preserve">- </v>
      </c>
      <c r="V814" s="54"/>
      <c r="W814" s="131" t="str">
        <f>IFERROR(VLOOKUP(V814,TD!$N$33:$O$45,2,0)," ")</f>
        <v xml:space="preserve"> </v>
      </c>
      <c r="X814" s="54" t="str">
        <f t="shared" si="49"/>
        <v xml:space="preserve">_ </v>
      </c>
      <c r="Y814" s="54" t="str">
        <f t="shared" si="50"/>
        <v xml:space="preserve">-  _ </v>
      </c>
      <c r="Z814" s="131" t="str">
        <f t="shared" si="51"/>
        <v xml:space="preserve">   </v>
      </c>
      <c r="AA814" s="131" t="str">
        <f>IFERROR(VLOOKUP(Y814,TD!$K$46:$L$64,2,0)," ")</f>
        <v xml:space="preserve"> </v>
      </c>
      <c r="AB814" s="57"/>
      <c r="AC814" s="132"/>
    </row>
    <row r="815" spans="2:29" s="28" customFormat="1">
      <c r="B815" s="85"/>
      <c r="C815" s="53"/>
      <c r="D815" s="129"/>
      <c r="E815" s="54"/>
      <c r="F815" s="129"/>
      <c r="G815" s="129"/>
      <c r="H815" s="55"/>
      <c r="I815" s="133"/>
      <c r="J815" s="130"/>
      <c r="K815" s="56"/>
      <c r="L815" s="57"/>
      <c r="M815" s="129"/>
      <c r="N815" s="57"/>
      <c r="O815" s="54"/>
      <c r="P815" s="131" t="str">
        <f>IFERROR(VLOOKUP(C815,TD!$B$32:$F$36,2,0)," ")</f>
        <v xml:space="preserve"> </v>
      </c>
      <c r="Q815" s="131" t="str">
        <f>IFERROR(VLOOKUP(C815,TD!$B$32:$F$36,3,0)," ")</f>
        <v xml:space="preserve"> </v>
      </c>
      <c r="R815" s="131" t="str">
        <f>IFERROR(VLOOKUP(C815,TD!$B$32:$F$36,4,0)," ")</f>
        <v xml:space="preserve"> </v>
      </c>
      <c r="S815" s="54"/>
      <c r="T815" s="131" t="str">
        <f>IFERROR(VLOOKUP(S815,TD!$J$33:$K$43,2,0)," ")</f>
        <v xml:space="preserve"> </v>
      </c>
      <c r="U815" s="54" t="str">
        <f t="shared" si="48"/>
        <v xml:space="preserve">- </v>
      </c>
      <c r="V815" s="54"/>
      <c r="W815" s="131" t="str">
        <f>IFERROR(VLOOKUP(V815,TD!$N$33:$O$45,2,0)," ")</f>
        <v xml:space="preserve"> </v>
      </c>
      <c r="X815" s="54" t="str">
        <f t="shared" si="49"/>
        <v xml:space="preserve">_ </v>
      </c>
      <c r="Y815" s="54" t="str">
        <f t="shared" si="50"/>
        <v xml:space="preserve">-  _ </v>
      </c>
      <c r="Z815" s="131" t="str">
        <f t="shared" si="51"/>
        <v xml:space="preserve">   </v>
      </c>
      <c r="AA815" s="131" t="str">
        <f>IFERROR(VLOOKUP(Y815,TD!$K$46:$L$64,2,0)," ")</f>
        <v xml:space="preserve"> </v>
      </c>
      <c r="AB815" s="57"/>
      <c r="AC815" s="132"/>
    </row>
    <row r="816" spans="2:29" s="28" customFormat="1">
      <c r="B816" s="85"/>
      <c r="C816" s="53"/>
      <c r="D816" s="129"/>
      <c r="E816" s="54"/>
      <c r="F816" s="129"/>
      <c r="G816" s="129"/>
      <c r="H816" s="55"/>
      <c r="I816" s="133"/>
      <c r="J816" s="130"/>
      <c r="K816" s="56"/>
      <c r="L816" s="57"/>
      <c r="M816" s="129"/>
      <c r="N816" s="57"/>
      <c r="O816" s="54"/>
      <c r="P816" s="131" t="str">
        <f>IFERROR(VLOOKUP(C816,TD!$B$32:$F$36,2,0)," ")</f>
        <v xml:space="preserve"> </v>
      </c>
      <c r="Q816" s="131" t="str">
        <f>IFERROR(VLOOKUP(C816,TD!$B$32:$F$36,3,0)," ")</f>
        <v xml:space="preserve"> </v>
      </c>
      <c r="R816" s="131" t="str">
        <f>IFERROR(VLOOKUP(C816,TD!$B$32:$F$36,4,0)," ")</f>
        <v xml:space="preserve"> </v>
      </c>
      <c r="S816" s="54"/>
      <c r="T816" s="131" t="str">
        <f>IFERROR(VLOOKUP(S816,TD!$J$33:$K$43,2,0)," ")</f>
        <v xml:space="preserve"> </v>
      </c>
      <c r="U816" s="54" t="str">
        <f t="shared" si="48"/>
        <v xml:space="preserve">- </v>
      </c>
      <c r="V816" s="54"/>
      <c r="W816" s="131" t="str">
        <f>IFERROR(VLOOKUP(V816,TD!$N$33:$O$45,2,0)," ")</f>
        <v xml:space="preserve"> </v>
      </c>
      <c r="X816" s="54" t="str">
        <f t="shared" si="49"/>
        <v xml:space="preserve">_ </v>
      </c>
      <c r="Y816" s="54" t="str">
        <f t="shared" si="50"/>
        <v xml:space="preserve">-  _ </v>
      </c>
      <c r="Z816" s="131" t="str">
        <f t="shared" si="51"/>
        <v xml:space="preserve">   </v>
      </c>
      <c r="AA816" s="131" t="str">
        <f>IFERROR(VLOOKUP(Y816,TD!$K$46:$L$64,2,0)," ")</f>
        <v xml:space="preserve"> </v>
      </c>
      <c r="AB816" s="57"/>
      <c r="AC816" s="132"/>
    </row>
    <row r="817" spans="2:29" s="28" customFormat="1">
      <c r="B817" s="85"/>
      <c r="C817" s="53"/>
      <c r="D817" s="129"/>
      <c r="E817" s="54"/>
      <c r="F817" s="129"/>
      <c r="G817" s="129"/>
      <c r="H817" s="55"/>
      <c r="I817" s="133"/>
      <c r="J817" s="130"/>
      <c r="K817" s="56"/>
      <c r="L817" s="57"/>
      <c r="M817" s="129"/>
      <c r="N817" s="57"/>
      <c r="O817" s="54"/>
      <c r="P817" s="131" t="str">
        <f>IFERROR(VLOOKUP(C817,TD!$B$32:$F$36,2,0)," ")</f>
        <v xml:space="preserve"> </v>
      </c>
      <c r="Q817" s="131" t="str">
        <f>IFERROR(VLOOKUP(C817,TD!$B$32:$F$36,3,0)," ")</f>
        <v xml:space="preserve"> </v>
      </c>
      <c r="R817" s="131" t="str">
        <f>IFERROR(VLOOKUP(C817,TD!$B$32:$F$36,4,0)," ")</f>
        <v xml:space="preserve"> </v>
      </c>
      <c r="S817" s="54"/>
      <c r="T817" s="131" t="str">
        <f>IFERROR(VLOOKUP(S817,TD!$J$33:$K$43,2,0)," ")</f>
        <v xml:space="preserve"> </v>
      </c>
      <c r="U817" s="54" t="str">
        <f t="shared" si="48"/>
        <v xml:space="preserve">- </v>
      </c>
      <c r="V817" s="54"/>
      <c r="W817" s="131" t="str">
        <f>IFERROR(VLOOKUP(V817,TD!$N$33:$O$45,2,0)," ")</f>
        <v xml:space="preserve"> </v>
      </c>
      <c r="X817" s="54" t="str">
        <f t="shared" si="49"/>
        <v xml:space="preserve">_ </v>
      </c>
      <c r="Y817" s="54" t="str">
        <f t="shared" si="50"/>
        <v xml:space="preserve">-  _ </v>
      </c>
      <c r="Z817" s="131" t="str">
        <f t="shared" si="51"/>
        <v xml:space="preserve">   </v>
      </c>
      <c r="AA817" s="131" t="str">
        <f>IFERROR(VLOOKUP(Y817,TD!$K$46:$L$64,2,0)," ")</f>
        <v xml:space="preserve"> </v>
      </c>
      <c r="AB817" s="57"/>
      <c r="AC817" s="132"/>
    </row>
    <row r="818" spans="2:29" s="28" customFormat="1">
      <c r="B818" s="85"/>
      <c r="C818" s="53"/>
      <c r="D818" s="129"/>
      <c r="E818" s="54"/>
      <c r="F818" s="129"/>
      <c r="G818" s="129"/>
      <c r="H818" s="55"/>
      <c r="I818" s="133"/>
      <c r="J818" s="130"/>
      <c r="K818" s="56"/>
      <c r="L818" s="57"/>
      <c r="M818" s="129"/>
      <c r="N818" s="57"/>
      <c r="O818" s="54"/>
      <c r="P818" s="131" t="str">
        <f>IFERROR(VLOOKUP(C818,TD!$B$32:$F$36,2,0)," ")</f>
        <v xml:space="preserve"> </v>
      </c>
      <c r="Q818" s="131" t="str">
        <f>IFERROR(VLOOKUP(C818,TD!$B$32:$F$36,3,0)," ")</f>
        <v xml:space="preserve"> </v>
      </c>
      <c r="R818" s="131" t="str">
        <f>IFERROR(VLOOKUP(C818,TD!$B$32:$F$36,4,0)," ")</f>
        <v xml:space="preserve"> </v>
      </c>
      <c r="S818" s="54"/>
      <c r="T818" s="131" t="str">
        <f>IFERROR(VLOOKUP(S818,TD!$J$33:$K$43,2,0)," ")</f>
        <v xml:space="preserve"> </v>
      </c>
      <c r="U818" s="54" t="str">
        <f t="shared" si="48"/>
        <v xml:space="preserve">- </v>
      </c>
      <c r="V818" s="54"/>
      <c r="W818" s="131" t="str">
        <f>IFERROR(VLOOKUP(V818,TD!$N$33:$O$45,2,0)," ")</f>
        <v xml:space="preserve"> </v>
      </c>
      <c r="X818" s="54" t="str">
        <f t="shared" si="49"/>
        <v xml:space="preserve">_ </v>
      </c>
      <c r="Y818" s="54" t="str">
        <f t="shared" si="50"/>
        <v xml:space="preserve">-  _ </v>
      </c>
      <c r="Z818" s="131" t="str">
        <f t="shared" si="51"/>
        <v xml:space="preserve">   </v>
      </c>
      <c r="AA818" s="131" t="str">
        <f>IFERROR(VLOOKUP(Y818,TD!$K$46:$L$64,2,0)," ")</f>
        <v xml:space="preserve"> </v>
      </c>
      <c r="AB818" s="57"/>
      <c r="AC818" s="132"/>
    </row>
    <row r="819" spans="2:29" s="28" customFormat="1">
      <c r="B819" s="85"/>
      <c r="C819" s="53"/>
      <c r="D819" s="129"/>
      <c r="E819" s="54"/>
      <c r="F819" s="129"/>
      <c r="G819" s="129"/>
      <c r="H819" s="55"/>
      <c r="I819" s="133"/>
      <c r="J819" s="130"/>
      <c r="K819" s="56"/>
      <c r="L819" s="57"/>
      <c r="M819" s="129"/>
      <c r="N819" s="57"/>
      <c r="O819" s="54"/>
      <c r="P819" s="131" t="str">
        <f>IFERROR(VLOOKUP(C819,TD!$B$32:$F$36,2,0)," ")</f>
        <v xml:space="preserve"> </v>
      </c>
      <c r="Q819" s="131" t="str">
        <f>IFERROR(VLOOKUP(C819,TD!$B$32:$F$36,3,0)," ")</f>
        <v xml:space="preserve"> </v>
      </c>
      <c r="R819" s="131" t="str">
        <f>IFERROR(VLOOKUP(C819,TD!$B$32:$F$36,4,0)," ")</f>
        <v xml:space="preserve"> </v>
      </c>
      <c r="S819" s="54"/>
      <c r="T819" s="131" t="str">
        <f>IFERROR(VLOOKUP(S819,TD!$J$33:$K$43,2,0)," ")</f>
        <v xml:space="preserve"> </v>
      </c>
      <c r="U819" s="54" t="str">
        <f t="shared" si="48"/>
        <v xml:space="preserve">- </v>
      </c>
      <c r="V819" s="54"/>
      <c r="W819" s="131" t="str">
        <f>IFERROR(VLOOKUP(V819,TD!$N$33:$O$45,2,0)," ")</f>
        <v xml:space="preserve"> </v>
      </c>
      <c r="X819" s="54" t="str">
        <f t="shared" si="49"/>
        <v xml:space="preserve">_ </v>
      </c>
      <c r="Y819" s="54" t="str">
        <f t="shared" si="50"/>
        <v xml:space="preserve">-  _ </v>
      </c>
      <c r="Z819" s="131" t="str">
        <f t="shared" si="51"/>
        <v xml:space="preserve">   </v>
      </c>
      <c r="AA819" s="131" t="str">
        <f>IFERROR(VLOOKUP(Y819,TD!$K$46:$L$64,2,0)," ")</f>
        <v xml:space="preserve"> </v>
      </c>
      <c r="AB819" s="57"/>
      <c r="AC819" s="132"/>
    </row>
    <row r="820" spans="2:29" s="28" customFormat="1">
      <c r="B820" s="85"/>
      <c r="C820" s="53"/>
      <c r="D820" s="129"/>
      <c r="E820" s="54"/>
      <c r="F820" s="129"/>
      <c r="G820" s="129"/>
      <c r="H820" s="55"/>
      <c r="I820" s="133"/>
      <c r="J820" s="130"/>
      <c r="K820" s="56"/>
      <c r="L820" s="57"/>
      <c r="M820" s="129"/>
      <c r="N820" s="57"/>
      <c r="O820" s="54"/>
      <c r="P820" s="131" t="str">
        <f>IFERROR(VLOOKUP(C820,TD!$B$32:$F$36,2,0)," ")</f>
        <v xml:space="preserve"> </v>
      </c>
      <c r="Q820" s="131" t="str">
        <f>IFERROR(VLOOKUP(C820,TD!$B$32:$F$36,3,0)," ")</f>
        <v xml:space="preserve"> </v>
      </c>
      <c r="R820" s="131" t="str">
        <f>IFERROR(VLOOKUP(C820,TD!$B$32:$F$36,4,0)," ")</f>
        <v xml:space="preserve"> </v>
      </c>
      <c r="S820" s="54"/>
      <c r="T820" s="131" t="str">
        <f>IFERROR(VLOOKUP(S820,TD!$J$33:$K$43,2,0)," ")</f>
        <v xml:space="preserve"> </v>
      </c>
      <c r="U820" s="54" t="str">
        <f t="shared" si="48"/>
        <v xml:space="preserve">- </v>
      </c>
      <c r="V820" s="54"/>
      <c r="W820" s="131" t="str">
        <f>IFERROR(VLOOKUP(V820,TD!$N$33:$O$45,2,0)," ")</f>
        <v xml:space="preserve"> </v>
      </c>
      <c r="X820" s="54" t="str">
        <f t="shared" si="49"/>
        <v xml:space="preserve">_ </v>
      </c>
      <c r="Y820" s="54" t="str">
        <f t="shared" si="50"/>
        <v xml:space="preserve">-  _ </v>
      </c>
      <c r="Z820" s="131" t="str">
        <f t="shared" si="51"/>
        <v xml:space="preserve">   </v>
      </c>
      <c r="AA820" s="131" t="str">
        <f>IFERROR(VLOOKUP(Y820,TD!$K$46:$L$64,2,0)," ")</f>
        <v xml:space="preserve"> </v>
      </c>
      <c r="AB820" s="57"/>
      <c r="AC820" s="132"/>
    </row>
    <row r="821" spans="2:29" s="28" customFormat="1">
      <c r="B821" s="85"/>
      <c r="C821" s="53"/>
      <c r="D821" s="129"/>
      <c r="E821" s="54"/>
      <c r="F821" s="129"/>
      <c r="G821" s="129"/>
      <c r="H821" s="55"/>
      <c r="I821" s="133"/>
      <c r="J821" s="130"/>
      <c r="K821" s="56"/>
      <c r="L821" s="57"/>
      <c r="M821" s="129"/>
      <c r="N821" s="57"/>
      <c r="O821" s="54"/>
      <c r="P821" s="131" t="str">
        <f>IFERROR(VLOOKUP(C821,TD!$B$32:$F$36,2,0)," ")</f>
        <v xml:space="preserve"> </v>
      </c>
      <c r="Q821" s="131" t="str">
        <f>IFERROR(VLOOKUP(C821,TD!$B$32:$F$36,3,0)," ")</f>
        <v xml:space="preserve"> </v>
      </c>
      <c r="R821" s="131" t="str">
        <f>IFERROR(VLOOKUP(C821,TD!$B$32:$F$36,4,0)," ")</f>
        <v xml:space="preserve"> </v>
      </c>
      <c r="S821" s="54"/>
      <c r="T821" s="131" t="str">
        <f>IFERROR(VLOOKUP(S821,TD!$J$33:$K$43,2,0)," ")</f>
        <v xml:space="preserve"> </v>
      </c>
      <c r="U821" s="54" t="str">
        <f t="shared" si="48"/>
        <v xml:space="preserve">- </v>
      </c>
      <c r="V821" s="54"/>
      <c r="W821" s="131" t="str">
        <f>IFERROR(VLOOKUP(V821,TD!$N$33:$O$45,2,0)," ")</f>
        <v xml:space="preserve"> </v>
      </c>
      <c r="X821" s="54" t="str">
        <f t="shared" si="49"/>
        <v xml:space="preserve">_ </v>
      </c>
      <c r="Y821" s="54" t="str">
        <f t="shared" si="50"/>
        <v xml:space="preserve">-  _ </v>
      </c>
      <c r="Z821" s="131" t="str">
        <f t="shared" si="51"/>
        <v xml:space="preserve">   </v>
      </c>
      <c r="AA821" s="131" t="str">
        <f>IFERROR(VLOOKUP(Y821,TD!$K$46:$L$64,2,0)," ")</f>
        <v xml:space="preserve"> </v>
      </c>
      <c r="AB821" s="57"/>
      <c r="AC821" s="132"/>
    </row>
    <row r="822" spans="2:29" s="28" customFormat="1">
      <c r="B822" s="85"/>
      <c r="C822" s="53"/>
      <c r="D822" s="129"/>
      <c r="E822" s="54"/>
      <c r="F822" s="129"/>
      <c r="G822" s="129"/>
      <c r="H822" s="55"/>
      <c r="I822" s="133"/>
      <c r="J822" s="130"/>
      <c r="K822" s="56"/>
      <c r="L822" s="57"/>
      <c r="M822" s="129"/>
      <c r="N822" s="57"/>
      <c r="O822" s="54"/>
      <c r="P822" s="131" t="str">
        <f>IFERROR(VLOOKUP(C822,TD!$B$32:$F$36,2,0)," ")</f>
        <v xml:space="preserve"> </v>
      </c>
      <c r="Q822" s="131" t="str">
        <f>IFERROR(VLOOKUP(C822,TD!$B$32:$F$36,3,0)," ")</f>
        <v xml:space="preserve"> </v>
      </c>
      <c r="R822" s="131" t="str">
        <f>IFERROR(VLOOKUP(C822,TD!$B$32:$F$36,4,0)," ")</f>
        <v xml:space="preserve"> </v>
      </c>
      <c r="S822" s="54"/>
      <c r="T822" s="131" t="str">
        <f>IFERROR(VLOOKUP(S822,TD!$J$33:$K$43,2,0)," ")</f>
        <v xml:space="preserve"> </v>
      </c>
      <c r="U822" s="54" t="str">
        <f t="shared" si="48"/>
        <v xml:space="preserve">- </v>
      </c>
      <c r="V822" s="54"/>
      <c r="W822" s="131" t="str">
        <f>IFERROR(VLOOKUP(V822,TD!$N$33:$O$45,2,0)," ")</f>
        <v xml:space="preserve"> </v>
      </c>
      <c r="X822" s="54" t="str">
        <f t="shared" si="49"/>
        <v xml:space="preserve">_ </v>
      </c>
      <c r="Y822" s="54" t="str">
        <f t="shared" si="50"/>
        <v xml:space="preserve">-  _ </v>
      </c>
      <c r="Z822" s="131" t="str">
        <f t="shared" si="51"/>
        <v xml:space="preserve">   </v>
      </c>
      <c r="AA822" s="131" t="str">
        <f>IFERROR(VLOOKUP(Y822,TD!$K$46:$L$64,2,0)," ")</f>
        <v xml:space="preserve"> </v>
      </c>
      <c r="AB822" s="57"/>
      <c r="AC822" s="132"/>
    </row>
    <row r="823" spans="2:29" s="28" customFormat="1">
      <c r="B823" s="85"/>
      <c r="C823" s="53"/>
      <c r="D823" s="129"/>
      <c r="E823" s="54"/>
      <c r="F823" s="129"/>
      <c r="G823" s="129"/>
      <c r="H823" s="55"/>
      <c r="I823" s="133"/>
      <c r="J823" s="130"/>
      <c r="K823" s="56"/>
      <c r="L823" s="57"/>
      <c r="M823" s="129"/>
      <c r="N823" s="57"/>
      <c r="O823" s="54"/>
      <c r="P823" s="131" t="str">
        <f>IFERROR(VLOOKUP(C823,TD!$B$32:$F$36,2,0)," ")</f>
        <v xml:space="preserve"> </v>
      </c>
      <c r="Q823" s="131" t="str">
        <f>IFERROR(VLOOKUP(C823,TD!$B$32:$F$36,3,0)," ")</f>
        <v xml:space="preserve"> </v>
      </c>
      <c r="R823" s="131" t="str">
        <f>IFERROR(VLOOKUP(C823,TD!$B$32:$F$36,4,0)," ")</f>
        <v xml:space="preserve"> </v>
      </c>
      <c r="S823" s="54"/>
      <c r="T823" s="131" t="str">
        <f>IFERROR(VLOOKUP(S823,TD!$J$33:$K$43,2,0)," ")</f>
        <v xml:space="preserve"> </v>
      </c>
      <c r="U823" s="54" t="str">
        <f t="shared" si="48"/>
        <v xml:space="preserve">- </v>
      </c>
      <c r="V823" s="54"/>
      <c r="W823" s="131" t="str">
        <f>IFERROR(VLOOKUP(V823,TD!$N$33:$O$45,2,0)," ")</f>
        <v xml:space="preserve"> </v>
      </c>
      <c r="X823" s="54" t="str">
        <f t="shared" si="49"/>
        <v xml:space="preserve">_ </v>
      </c>
      <c r="Y823" s="54" t="str">
        <f t="shared" si="50"/>
        <v xml:space="preserve">-  _ </v>
      </c>
      <c r="Z823" s="131" t="str">
        <f t="shared" si="51"/>
        <v xml:space="preserve">   </v>
      </c>
      <c r="AA823" s="131" t="str">
        <f>IFERROR(VLOOKUP(Y823,TD!$K$46:$L$64,2,0)," ")</f>
        <v xml:space="preserve"> </v>
      </c>
      <c r="AB823" s="57"/>
      <c r="AC823" s="132"/>
    </row>
    <row r="824" spans="2:29" s="28" customFormat="1">
      <c r="B824" s="85"/>
      <c r="C824" s="53"/>
      <c r="D824" s="129"/>
      <c r="E824" s="54"/>
      <c r="F824" s="129"/>
      <c r="G824" s="129"/>
      <c r="H824" s="55"/>
      <c r="I824" s="133"/>
      <c r="J824" s="130"/>
      <c r="K824" s="56"/>
      <c r="L824" s="57"/>
      <c r="M824" s="129"/>
      <c r="N824" s="57"/>
      <c r="O824" s="54"/>
      <c r="P824" s="131" t="str">
        <f>IFERROR(VLOOKUP(C824,TD!$B$32:$F$36,2,0)," ")</f>
        <v xml:space="preserve"> </v>
      </c>
      <c r="Q824" s="131" t="str">
        <f>IFERROR(VLOOKUP(C824,TD!$B$32:$F$36,3,0)," ")</f>
        <v xml:space="preserve"> </v>
      </c>
      <c r="R824" s="131" t="str">
        <f>IFERROR(VLOOKUP(C824,TD!$B$32:$F$36,4,0)," ")</f>
        <v xml:space="preserve"> </v>
      </c>
      <c r="S824" s="54"/>
      <c r="T824" s="131" t="str">
        <f>IFERROR(VLOOKUP(S824,TD!$J$33:$K$43,2,0)," ")</f>
        <v xml:space="preserve"> </v>
      </c>
      <c r="U824" s="54" t="str">
        <f t="shared" si="48"/>
        <v xml:space="preserve">- </v>
      </c>
      <c r="V824" s="54"/>
      <c r="W824" s="131" t="str">
        <f>IFERROR(VLOOKUP(V824,TD!$N$33:$O$45,2,0)," ")</f>
        <v xml:space="preserve"> </v>
      </c>
      <c r="X824" s="54" t="str">
        <f t="shared" si="49"/>
        <v xml:space="preserve">_ </v>
      </c>
      <c r="Y824" s="54" t="str">
        <f t="shared" si="50"/>
        <v xml:space="preserve">-  _ </v>
      </c>
      <c r="Z824" s="131" t="str">
        <f t="shared" si="51"/>
        <v xml:space="preserve">   </v>
      </c>
      <c r="AA824" s="131" t="str">
        <f>IFERROR(VLOOKUP(Y824,TD!$K$46:$L$64,2,0)," ")</f>
        <v xml:space="preserve"> </v>
      </c>
      <c r="AB824" s="57"/>
      <c r="AC824" s="132"/>
    </row>
    <row r="825" spans="2:29" s="28" customFormat="1">
      <c r="B825" s="85"/>
      <c r="C825" s="53"/>
      <c r="D825" s="129"/>
      <c r="E825" s="54"/>
      <c r="F825" s="129"/>
      <c r="G825" s="129"/>
      <c r="H825" s="55"/>
      <c r="I825" s="133"/>
      <c r="J825" s="130"/>
      <c r="K825" s="56"/>
      <c r="L825" s="57"/>
      <c r="M825" s="129"/>
      <c r="N825" s="57"/>
      <c r="O825" s="54"/>
      <c r="P825" s="131" t="str">
        <f>IFERROR(VLOOKUP(C825,TD!$B$32:$F$36,2,0)," ")</f>
        <v xml:space="preserve"> </v>
      </c>
      <c r="Q825" s="131" t="str">
        <f>IFERROR(VLOOKUP(C825,TD!$B$32:$F$36,3,0)," ")</f>
        <v xml:space="preserve"> </v>
      </c>
      <c r="R825" s="131" t="str">
        <f>IFERROR(VLOOKUP(C825,TD!$B$32:$F$36,4,0)," ")</f>
        <v xml:space="preserve"> </v>
      </c>
      <c r="S825" s="54"/>
      <c r="T825" s="131" t="str">
        <f>IFERROR(VLOOKUP(S825,TD!$J$33:$K$43,2,0)," ")</f>
        <v xml:space="preserve"> </v>
      </c>
      <c r="U825" s="54" t="str">
        <f t="shared" si="48"/>
        <v xml:space="preserve">- </v>
      </c>
      <c r="V825" s="54"/>
      <c r="W825" s="131" t="str">
        <f>IFERROR(VLOOKUP(V825,TD!$N$33:$O$45,2,0)," ")</f>
        <v xml:space="preserve"> </v>
      </c>
      <c r="X825" s="54" t="str">
        <f t="shared" si="49"/>
        <v xml:space="preserve">_ </v>
      </c>
      <c r="Y825" s="54" t="str">
        <f t="shared" si="50"/>
        <v xml:space="preserve">-  _ </v>
      </c>
      <c r="Z825" s="131" t="str">
        <f t="shared" si="51"/>
        <v xml:space="preserve">   </v>
      </c>
      <c r="AA825" s="131" t="str">
        <f>IFERROR(VLOOKUP(Y825,TD!$K$46:$L$64,2,0)," ")</f>
        <v xml:space="preserve"> </v>
      </c>
      <c r="AB825" s="57"/>
      <c r="AC825" s="132"/>
    </row>
    <row r="826" spans="2:29" s="28" customFormat="1">
      <c r="B826" s="85"/>
      <c r="C826" s="53"/>
      <c r="D826" s="129"/>
      <c r="E826" s="54"/>
      <c r="F826" s="129"/>
      <c r="G826" s="129"/>
      <c r="H826" s="55"/>
      <c r="I826" s="133"/>
      <c r="J826" s="130"/>
      <c r="K826" s="56"/>
      <c r="L826" s="57"/>
      <c r="M826" s="129"/>
      <c r="N826" s="57"/>
      <c r="O826" s="54"/>
      <c r="P826" s="131" t="str">
        <f>IFERROR(VLOOKUP(C826,TD!$B$32:$F$36,2,0)," ")</f>
        <v xml:space="preserve"> </v>
      </c>
      <c r="Q826" s="131" t="str">
        <f>IFERROR(VLOOKUP(C826,TD!$B$32:$F$36,3,0)," ")</f>
        <v xml:space="preserve"> </v>
      </c>
      <c r="R826" s="131" t="str">
        <f>IFERROR(VLOOKUP(C826,TD!$B$32:$F$36,4,0)," ")</f>
        <v xml:space="preserve"> </v>
      </c>
      <c r="S826" s="54"/>
      <c r="T826" s="131" t="str">
        <f>IFERROR(VLOOKUP(S826,TD!$J$33:$K$43,2,0)," ")</f>
        <v xml:space="preserve"> </v>
      </c>
      <c r="U826" s="54" t="str">
        <f t="shared" si="48"/>
        <v xml:space="preserve">- </v>
      </c>
      <c r="V826" s="54"/>
      <c r="W826" s="131" t="str">
        <f>IFERROR(VLOOKUP(V826,TD!$N$33:$O$45,2,0)," ")</f>
        <v xml:space="preserve"> </v>
      </c>
      <c r="X826" s="54" t="str">
        <f t="shared" si="49"/>
        <v xml:space="preserve">_ </v>
      </c>
      <c r="Y826" s="54" t="str">
        <f t="shared" si="50"/>
        <v xml:space="preserve">-  _ </v>
      </c>
      <c r="Z826" s="131" t="str">
        <f t="shared" si="51"/>
        <v xml:space="preserve">   </v>
      </c>
      <c r="AA826" s="131" t="str">
        <f>IFERROR(VLOOKUP(Y826,TD!$K$46:$L$64,2,0)," ")</f>
        <v xml:space="preserve"> </v>
      </c>
      <c r="AB826" s="57"/>
      <c r="AC826" s="132"/>
    </row>
    <row r="827" spans="2:29" s="28" customFormat="1">
      <c r="B827" s="85"/>
      <c r="C827" s="53"/>
      <c r="D827" s="129"/>
      <c r="E827" s="54"/>
      <c r="F827" s="129"/>
      <c r="G827" s="129"/>
      <c r="H827" s="55"/>
      <c r="I827" s="133"/>
      <c r="J827" s="130"/>
      <c r="K827" s="56"/>
      <c r="L827" s="57"/>
      <c r="M827" s="129"/>
      <c r="N827" s="57"/>
      <c r="O827" s="54"/>
      <c r="P827" s="131" t="str">
        <f>IFERROR(VLOOKUP(C827,TD!$B$32:$F$36,2,0)," ")</f>
        <v xml:space="preserve"> </v>
      </c>
      <c r="Q827" s="131" t="str">
        <f>IFERROR(VLOOKUP(C827,TD!$B$32:$F$36,3,0)," ")</f>
        <v xml:space="preserve"> </v>
      </c>
      <c r="R827" s="131" t="str">
        <f>IFERROR(VLOOKUP(C827,TD!$B$32:$F$36,4,0)," ")</f>
        <v xml:space="preserve"> </v>
      </c>
      <c r="S827" s="54"/>
      <c r="T827" s="131" t="str">
        <f>IFERROR(VLOOKUP(S827,TD!$J$33:$K$43,2,0)," ")</f>
        <v xml:space="preserve"> </v>
      </c>
      <c r="U827" s="54" t="str">
        <f t="shared" si="48"/>
        <v xml:space="preserve">- </v>
      </c>
      <c r="V827" s="54"/>
      <c r="W827" s="131" t="str">
        <f>IFERROR(VLOOKUP(V827,TD!$N$33:$O$45,2,0)," ")</f>
        <v xml:space="preserve"> </v>
      </c>
      <c r="X827" s="54" t="str">
        <f t="shared" si="49"/>
        <v xml:space="preserve">_ </v>
      </c>
      <c r="Y827" s="54" t="str">
        <f t="shared" si="50"/>
        <v xml:space="preserve">-  _ </v>
      </c>
      <c r="Z827" s="131" t="str">
        <f t="shared" si="51"/>
        <v xml:space="preserve">   </v>
      </c>
      <c r="AA827" s="131" t="str">
        <f>IFERROR(VLOOKUP(Y827,TD!$K$46:$L$64,2,0)," ")</f>
        <v xml:space="preserve"> </v>
      </c>
      <c r="AB827" s="57"/>
      <c r="AC827" s="132"/>
    </row>
    <row r="828" spans="2:29" s="28" customFormat="1">
      <c r="B828" s="85"/>
      <c r="C828" s="53"/>
      <c r="D828" s="129"/>
      <c r="E828" s="54"/>
      <c r="F828" s="129"/>
      <c r="G828" s="129"/>
      <c r="H828" s="55"/>
      <c r="I828" s="133"/>
      <c r="J828" s="130"/>
      <c r="K828" s="56"/>
      <c r="L828" s="57"/>
      <c r="M828" s="129"/>
      <c r="N828" s="57"/>
      <c r="O828" s="54"/>
      <c r="P828" s="131" t="str">
        <f>IFERROR(VLOOKUP(C828,TD!$B$32:$F$36,2,0)," ")</f>
        <v xml:space="preserve"> </v>
      </c>
      <c r="Q828" s="131" t="str">
        <f>IFERROR(VLOOKUP(C828,TD!$B$32:$F$36,3,0)," ")</f>
        <v xml:space="preserve"> </v>
      </c>
      <c r="R828" s="131" t="str">
        <f>IFERROR(VLOOKUP(C828,TD!$B$32:$F$36,4,0)," ")</f>
        <v xml:space="preserve"> </v>
      </c>
      <c r="S828" s="54"/>
      <c r="T828" s="131" t="str">
        <f>IFERROR(VLOOKUP(S828,TD!$J$33:$K$43,2,0)," ")</f>
        <v xml:space="preserve"> </v>
      </c>
      <c r="U828" s="54" t="str">
        <f t="shared" si="48"/>
        <v xml:space="preserve">- </v>
      </c>
      <c r="V828" s="54"/>
      <c r="W828" s="131" t="str">
        <f>IFERROR(VLOOKUP(V828,TD!$N$33:$O$45,2,0)," ")</f>
        <v xml:space="preserve"> </v>
      </c>
      <c r="X828" s="54" t="str">
        <f t="shared" si="49"/>
        <v xml:space="preserve">_ </v>
      </c>
      <c r="Y828" s="54" t="str">
        <f t="shared" si="50"/>
        <v xml:space="preserve">-  _ </v>
      </c>
      <c r="Z828" s="131" t="str">
        <f t="shared" si="51"/>
        <v xml:space="preserve">   </v>
      </c>
      <c r="AA828" s="131" t="str">
        <f>IFERROR(VLOOKUP(Y828,TD!$K$46:$L$64,2,0)," ")</f>
        <v xml:space="preserve"> </v>
      </c>
      <c r="AB828" s="57"/>
      <c r="AC828" s="132"/>
    </row>
    <row r="829" spans="2:29" s="28" customFormat="1">
      <c r="B829" s="85"/>
      <c r="C829" s="53"/>
      <c r="D829" s="129"/>
      <c r="E829" s="54"/>
      <c r="F829" s="129"/>
      <c r="G829" s="129"/>
      <c r="H829" s="55"/>
      <c r="I829" s="133"/>
      <c r="J829" s="130"/>
      <c r="K829" s="56"/>
      <c r="L829" s="57"/>
      <c r="M829" s="129"/>
      <c r="N829" s="57"/>
      <c r="O829" s="54"/>
      <c r="P829" s="131" t="str">
        <f>IFERROR(VLOOKUP(C829,TD!$B$32:$F$36,2,0)," ")</f>
        <v xml:space="preserve"> </v>
      </c>
      <c r="Q829" s="131" t="str">
        <f>IFERROR(VLOOKUP(C829,TD!$B$32:$F$36,3,0)," ")</f>
        <v xml:space="preserve"> </v>
      </c>
      <c r="R829" s="131" t="str">
        <f>IFERROR(VLOOKUP(C829,TD!$B$32:$F$36,4,0)," ")</f>
        <v xml:space="preserve"> </v>
      </c>
      <c r="S829" s="54"/>
      <c r="T829" s="131" t="str">
        <f>IFERROR(VLOOKUP(S829,TD!$J$33:$K$43,2,0)," ")</f>
        <v xml:space="preserve"> </v>
      </c>
      <c r="U829" s="54" t="str">
        <f t="shared" si="48"/>
        <v xml:space="preserve">- </v>
      </c>
      <c r="V829" s="54"/>
      <c r="W829" s="131" t="str">
        <f>IFERROR(VLOOKUP(V829,TD!$N$33:$O$45,2,0)," ")</f>
        <v xml:space="preserve"> </v>
      </c>
      <c r="X829" s="54" t="str">
        <f t="shared" si="49"/>
        <v xml:space="preserve">_ </v>
      </c>
      <c r="Y829" s="54" t="str">
        <f t="shared" si="50"/>
        <v xml:space="preserve">-  _ </v>
      </c>
      <c r="Z829" s="131" t="str">
        <f t="shared" si="51"/>
        <v xml:space="preserve">   </v>
      </c>
      <c r="AA829" s="131" t="str">
        <f>IFERROR(VLOOKUP(Y829,TD!$K$46:$L$64,2,0)," ")</f>
        <v xml:space="preserve"> </v>
      </c>
      <c r="AB829" s="57"/>
      <c r="AC829" s="132"/>
    </row>
    <row r="830" spans="2:29" s="28" customFormat="1">
      <c r="B830" s="85"/>
      <c r="C830" s="53"/>
      <c r="D830" s="129"/>
      <c r="E830" s="54"/>
      <c r="F830" s="129"/>
      <c r="G830" s="129"/>
      <c r="H830" s="55"/>
      <c r="I830" s="133"/>
      <c r="J830" s="130"/>
      <c r="K830" s="56"/>
      <c r="L830" s="57"/>
      <c r="M830" s="129"/>
      <c r="N830" s="57"/>
      <c r="O830" s="54"/>
      <c r="P830" s="131" t="str">
        <f>IFERROR(VLOOKUP(C830,TD!$B$32:$F$36,2,0)," ")</f>
        <v xml:space="preserve"> </v>
      </c>
      <c r="Q830" s="131" t="str">
        <f>IFERROR(VLOOKUP(C830,TD!$B$32:$F$36,3,0)," ")</f>
        <v xml:space="preserve"> </v>
      </c>
      <c r="R830" s="131" t="str">
        <f>IFERROR(VLOOKUP(C830,TD!$B$32:$F$36,4,0)," ")</f>
        <v xml:space="preserve"> </v>
      </c>
      <c r="S830" s="54"/>
      <c r="T830" s="131" t="str">
        <f>IFERROR(VLOOKUP(S830,TD!$J$33:$K$43,2,0)," ")</f>
        <v xml:space="preserve"> </v>
      </c>
      <c r="U830" s="54" t="str">
        <f t="shared" si="48"/>
        <v xml:space="preserve">- </v>
      </c>
      <c r="V830" s="54"/>
      <c r="W830" s="131" t="str">
        <f>IFERROR(VLOOKUP(V830,TD!$N$33:$O$45,2,0)," ")</f>
        <v xml:space="preserve"> </v>
      </c>
      <c r="X830" s="54" t="str">
        <f t="shared" si="49"/>
        <v xml:space="preserve">_ </v>
      </c>
      <c r="Y830" s="54" t="str">
        <f t="shared" si="50"/>
        <v xml:space="preserve">-  _ </v>
      </c>
      <c r="Z830" s="131" t="str">
        <f t="shared" si="51"/>
        <v xml:space="preserve">   </v>
      </c>
      <c r="AA830" s="131" t="str">
        <f>IFERROR(VLOOKUP(Y830,TD!$K$46:$L$64,2,0)," ")</f>
        <v xml:space="preserve"> </v>
      </c>
      <c r="AB830" s="57"/>
      <c r="AC830" s="132"/>
    </row>
    <row r="831" spans="2:29" s="28" customFormat="1">
      <c r="B831" s="85"/>
      <c r="C831" s="53"/>
      <c r="D831" s="129"/>
      <c r="E831" s="54"/>
      <c r="F831" s="129"/>
      <c r="G831" s="129"/>
      <c r="H831" s="55"/>
      <c r="I831" s="133"/>
      <c r="J831" s="130"/>
      <c r="K831" s="56"/>
      <c r="L831" s="57"/>
      <c r="M831" s="129"/>
      <c r="N831" s="57"/>
      <c r="O831" s="54"/>
      <c r="P831" s="131" t="str">
        <f>IFERROR(VLOOKUP(C831,TD!$B$32:$F$36,2,0)," ")</f>
        <v xml:space="preserve"> </v>
      </c>
      <c r="Q831" s="131" t="str">
        <f>IFERROR(VLOOKUP(C831,TD!$B$32:$F$36,3,0)," ")</f>
        <v xml:space="preserve"> </v>
      </c>
      <c r="R831" s="131" t="str">
        <f>IFERROR(VLOOKUP(C831,TD!$B$32:$F$36,4,0)," ")</f>
        <v xml:space="preserve"> </v>
      </c>
      <c r="S831" s="54"/>
      <c r="T831" s="131" t="str">
        <f>IFERROR(VLOOKUP(S831,TD!$J$33:$K$43,2,0)," ")</f>
        <v xml:space="preserve"> </v>
      </c>
      <c r="U831" s="54" t="str">
        <f t="shared" si="48"/>
        <v xml:space="preserve">- </v>
      </c>
      <c r="V831" s="54"/>
      <c r="W831" s="131" t="str">
        <f>IFERROR(VLOOKUP(V831,TD!$N$33:$O$45,2,0)," ")</f>
        <v xml:space="preserve"> </v>
      </c>
      <c r="X831" s="54" t="str">
        <f t="shared" si="49"/>
        <v xml:space="preserve">_ </v>
      </c>
      <c r="Y831" s="54" t="str">
        <f t="shared" si="50"/>
        <v xml:space="preserve">-  _ </v>
      </c>
      <c r="Z831" s="131" t="str">
        <f t="shared" si="51"/>
        <v xml:space="preserve">   </v>
      </c>
      <c r="AA831" s="131" t="str">
        <f>IFERROR(VLOOKUP(Y831,TD!$K$46:$L$64,2,0)," ")</f>
        <v xml:space="preserve"> </v>
      </c>
      <c r="AB831" s="57"/>
      <c r="AC831" s="132"/>
    </row>
    <row r="832" spans="2:29" s="28" customFormat="1">
      <c r="B832" s="85"/>
      <c r="C832" s="53"/>
      <c r="D832" s="129"/>
      <c r="E832" s="54"/>
      <c r="F832" s="129"/>
      <c r="G832" s="129"/>
      <c r="H832" s="55"/>
      <c r="I832" s="133"/>
      <c r="J832" s="130"/>
      <c r="K832" s="56"/>
      <c r="L832" s="57"/>
      <c r="M832" s="129"/>
      <c r="N832" s="57"/>
      <c r="O832" s="54"/>
      <c r="P832" s="131" t="str">
        <f>IFERROR(VLOOKUP(C832,TD!$B$32:$F$36,2,0)," ")</f>
        <v xml:space="preserve"> </v>
      </c>
      <c r="Q832" s="131" t="str">
        <f>IFERROR(VLOOKUP(C832,TD!$B$32:$F$36,3,0)," ")</f>
        <v xml:space="preserve"> </v>
      </c>
      <c r="R832" s="131" t="str">
        <f>IFERROR(VLOOKUP(C832,TD!$B$32:$F$36,4,0)," ")</f>
        <v xml:space="preserve"> </v>
      </c>
      <c r="S832" s="54"/>
      <c r="T832" s="131" t="str">
        <f>IFERROR(VLOOKUP(S832,TD!$J$33:$K$43,2,0)," ")</f>
        <v xml:space="preserve"> </v>
      </c>
      <c r="U832" s="54" t="str">
        <f t="shared" si="48"/>
        <v xml:space="preserve">- </v>
      </c>
      <c r="V832" s="54"/>
      <c r="W832" s="131" t="str">
        <f>IFERROR(VLOOKUP(V832,TD!$N$33:$O$45,2,0)," ")</f>
        <v xml:space="preserve"> </v>
      </c>
      <c r="X832" s="54" t="str">
        <f t="shared" si="49"/>
        <v xml:space="preserve">_ </v>
      </c>
      <c r="Y832" s="54" t="str">
        <f t="shared" si="50"/>
        <v xml:space="preserve">-  _ </v>
      </c>
      <c r="Z832" s="131" t="str">
        <f t="shared" si="51"/>
        <v xml:space="preserve">   </v>
      </c>
      <c r="AA832" s="131" t="str">
        <f>IFERROR(VLOOKUP(Y832,TD!$K$46:$L$64,2,0)," ")</f>
        <v xml:space="preserve"> </v>
      </c>
      <c r="AB832" s="57"/>
      <c r="AC832" s="132"/>
    </row>
    <row r="833" spans="2:29" s="28" customFormat="1">
      <c r="B833" s="85"/>
      <c r="C833" s="53"/>
      <c r="D833" s="129"/>
      <c r="E833" s="54"/>
      <c r="F833" s="129"/>
      <c r="G833" s="129"/>
      <c r="H833" s="55"/>
      <c r="I833" s="133"/>
      <c r="J833" s="130"/>
      <c r="K833" s="56"/>
      <c r="L833" s="57"/>
      <c r="M833" s="129"/>
      <c r="N833" s="57"/>
      <c r="O833" s="54"/>
      <c r="P833" s="131" t="str">
        <f>IFERROR(VLOOKUP(C833,TD!$B$32:$F$36,2,0)," ")</f>
        <v xml:space="preserve"> </v>
      </c>
      <c r="Q833" s="131" t="str">
        <f>IFERROR(VLOOKUP(C833,TD!$B$32:$F$36,3,0)," ")</f>
        <v xml:space="preserve"> </v>
      </c>
      <c r="R833" s="131" t="str">
        <f>IFERROR(VLOOKUP(C833,TD!$B$32:$F$36,4,0)," ")</f>
        <v xml:space="preserve"> </v>
      </c>
      <c r="S833" s="54"/>
      <c r="T833" s="131" t="str">
        <f>IFERROR(VLOOKUP(S833,TD!$J$33:$K$43,2,0)," ")</f>
        <v xml:space="preserve"> </v>
      </c>
      <c r="U833" s="54" t="str">
        <f t="shared" si="48"/>
        <v xml:space="preserve">- </v>
      </c>
      <c r="V833" s="54"/>
      <c r="W833" s="131" t="str">
        <f>IFERROR(VLOOKUP(V833,TD!$N$33:$O$45,2,0)," ")</f>
        <v xml:space="preserve"> </v>
      </c>
      <c r="X833" s="54" t="str">
        <f t="shared" si="49"/>
        <v xml:space="preserve">_ </v>
      </c>
      <c r="Y833" s="54" t="str">
        <f t="shared" si="50"/>
        <v xml:space="preserve">-  _ </v>
      </c>
      <c r="Z833" s="131" t="str">
        <f t="shared" si="51"/>
        <v xml:space="preserve">   </v>
      </c>
      <c r="AA833" s="131" t="str">
        <f>IFERROR(VLOOKUP(Y833,TD!$K$46:$L$64,2,0)," ")</f>
        <v xml:space="preserve"> </v>
      </c>
      <c r="AB833" s="57"/>
      <c r="AC833" s="132"/>
    </row>
    <row r="834" spans="2:29" s="28" customFormat="1">
      <c r="B834" s="85"/>
      <c r="C834" s="53"/>
      <c r="D834" s="129"/>
      <c r="E834" s="54"/>
      <c r="F834" s="129"/>
      <c r="G834" s="129"/>
      <c r="H834" s="55"/>
      <c r="I834" s="133"/>
      <c r="J834" s="130"/>
      <c r="K834" s="56"/>
      <c r="L834" s="57"/>
      <c r="M834" s="129"/>
      <c r="N834" s="57"/>
      <c r="O834" s="54"/>
      <c r="P834" s="131" t="str">
        <f>IFERROR(VLOOKUP(C834,TD!$B$32:$F$36,2,0)," ")</f>
        <v xml:space="preserve"> </v>
      </c>
      <c r="Q834" s="131" t="str">
        <f>IFERROR(VLOOKUP(C834,TD!$B$32:$F$36,3,0)," ")</f>
        <v xml:space="preserve"> </v>
      </c>
      <c r="R834" s="131" t="str">
        <f>IFERROR(VLOOKUP(C834,TD!$B$32:$F$36,4,0)," ")</f>
        <v xml:space="preserve"> </v>
      </c>
      <c r="S834" s="54"/>
      <c r="T834" s="131" t="str">
        <f>IFERROR(VLOOKUP(S834,TD!$J$33:$K$43,2,0)," ")</f>
        <v xml:space="preserve"> </v>
      </c>
      <c r="U834" s="54" t="str">
        <f t="shared" si="48"/>
        <v xml:space="preserve">- </v>
      </c>
      <c r="V834" s="54"/>
      <c r="W834" s="131" t="str">
        <f>IFERROR(VLOOKUP(V834,TD!$N$33:$O$45,2,0)," ")</f>
        <v xml:space="preserve"> </v>
      </c>
      <c r="X834" s="54" t="str">
        <f t="shared" si="49"/>
        <v xml:space="preserve">_ </v>
      </c>
      <c r="Y834" s="54" t="str">
        <f t="shared" si="50"/>
        <v xml:space="preserve">-  _ </v>
      </c>
      <c r="Z834" s="131" t="str">
        <f t="shared" si="51"/>
        <v xml:space="preserve">   </v>
      </c>
      <c r="AA834" s="131" t="str">
        <f>IFERROR(VLOOKUP(Y834,TD!$K$46:$L$64,2,0)," ")</f>
        <v xml:space="preserve"> </v>
      </c>
      <c r="AB834" s="57"/>
      <c r="AC834" s="132"/>
    </row>
    <row r="835" spans="2:29" s="28" customFormat="1">
      <c r="B835" s="85"/>
      <c r="C835" s="53"/>
      <c r="D835" s="129"/>
      <c r="E835" s="54"/>
      <c r="F835" s="129"/>
      <c r="G835" s="129"/>
      <c r="H835" s="55"/>
      <c r="I835" s="133"/>
      <c r="J835" s="130"/>
      <c r="K835" s="56"/>
      <c r="L835" s="57"/>
      <c r="M835" s="129"/>
      <c r="N835" s="57"/>
      <c r="O835" s="54"/>
      <c r="P835" s="131" t="str">
        <f>IFERROR(VLOOKUP(C835,TD!$B$32:$F$36,2,0)," ")</f>
        <v xml:space="preserve"> </v>
      </c>
      <c r="Q835" s="131" t="str">
        <f>IFERROR(VLOOKUP(C835,TD!$B$32:$F$36,3,0)," ")</f>
        <v xml:space="preserve"> </v>
      </c>
      <c r="R835" s="131" t="str">
        <f>IFERROR(VLOOKUP(C835,TD!$B$32:$F$36,4,0)," ")</f>
        <v xml:space="preserve"> </v>
      </c>
      <c r="S835" s="54"/>
      <c r="T835" s="131" t="str">
        <f>IFERROR(VLOOKUP(S835,TD!$J$33:$K$43,2,0)," ")</f>
        <v xml:space="preserve"> </v>
      </c>
      <c r="U835" s="54" t="str">
        <f t="shared" si="48"/>
        <v xml:space="preserve">- </v>
      </c>
      <c r="V835" s="54"/>
      <c r="W835" s="131" t="str">
        <f>IFERROR(VLOOKUP(V835,TD!$N$33:$O$45,2,0)," ")</f>
        <v xml:space="preserve"> </v>
      </c>
      <c r="X835" s="54" t="str">
        <f t="shared" si="49"/>
        <v xml:space="preserve">_ </v>
      </c>
      <c r="Y835" s="54" t="str">
        <f t="shared" si="50"/>
        <v xml:space="preserve">-  _ </v>
      </c>
      <c r="Z835" s="131" t="str">
        <f t="shared" si="51"/>
        <v xml:space="preserve">   </v>
      </c>
      <c r="AA835" s="131" t="str">
        <f>IFERROR(VLOOKUP(Y835,TD!$K$46:$L$64,2,0)," ")</f>
        <v xml:space="preserve"> </v>
      </c>
      <c r="AB835" s="57"/>
      <c r="AC835" s="132"/>
    </row>
    <row r="836" spans="2:29" s="28" customFormat="1">
      <c r="B836" s="85"/>
      <c r="C836" s="53"/>
      <c r="D836" s="129"/>
      <c r="E836" s="54"/>
      <c r="F836" s="129"/>
      <c r="G836" s="129"/>
      <c r="H836" s="55"/>
      <c r="I836" s="133"/>
      <c r="J836" s="130"/>
      <c r="K836" s="56"/>
      <c r="L836" s="57"/>
      <c r="M836" s="129"/>
      <c r="N836" s="57"/>
      <c r="O836" s="54"/>
      <c r="P836" s="131" t="str">
        <f>IFERROR(VLOOKUP(C836,TD!$B$32:$F$36,2,0)," ")</f>
        <v xml:space="preserve"> </v>
      </c>
      <c r="Q836" s="131" t="str">
        <f>IFERROR(VLOOKUP(C836,TD!$B$32:$F$36,3,0)," ")</f>
        <v xml:space="preserve"> </v>
      </c>
      <c r="R836" s="131" t="str">
        <f>IFERROR(VLOOKUP(C836,TD!$B$32:$F$36,4,0)," ")</f>
        <v xml:space="preserve"> </v>
      </c>
      <c r="S836" s="54"/>
      <c r="T836" s="131" t="str">
        <f>IFERROR(VLOOKUP(S836,TD!$J$33:$K$43,2,0)," ")</f>
        <v xml:space="preserve"> </v>
      </c>
      <c r="U836" s="54" t="str">
        <f t="shared" si="48"/>
        <v xml:space="preserve">- </v>
      </c>
      <c r="V836" s="54"/>
      <c r="W836" s="131" t="str">
        <f>IFERROR(VLOOKUP(V836,TD!$N$33:$O$45,2,0)," ")</f>
        <v xml:space="preserve"> </v>
      </c>
      <c r="X836" s="54" t="str">
        <f t="shared" si="49"/>
        <v xml:space="preserve">_ </v>
      </c>
      <c r="Y836" s="54" t="str">
        <f t="shared" si="50"/>
        <v xml:space="preserve">-  _ </v>
      </c>
      <c r="Z836" s="131" t="str">
        <f t="shared" si="51"/>
        <v xml:space="preserve">   </v>
      </c>
      <c r="AA836" s="131" t="str">
        <f>IFERROR(VLOOKUP(Y836,TD!$K$46:$L$64,2,0)," ")</f>
        <v xml:space="preserve"> </v>
      </c>
      <c r="AB836" s="57"/>
      <c r="AC836" s="132"/>
    </row>
    <row r="837" spans="2:29" s="28" customFormat="1">
      <c r="B837" s="85"/>
      <c r="C837" s="53"/>
      <c r="D837" s="129"/>
      <c r="E837" s="54"/>
      <c r="F837" s="129"/>
      <c r="G837" s="129"/>
      <c r="H837" s="55"/>
      <c r="I837" s="133"/>
      <c r="J837" s="130"/>
      <c r="K837" s="56"/>
      <c r="L837" s="57"/>
      <c r="M837" s="129"/>
      <c r="N837" s="57"/>
      <c r="O837" s="54"/>
      <c r="P837" s="131" t="str">
        <f>IFERROR(VLOOKUP(C837,TD!$B$32:$F$36,2,0)," ")</f>
        <v xml:space="preserve"> </v>
      </c>
      <c r="Q837" s="131" t="str">
        <f>IFERROR(VLOOKUP(C837,TD!$B$32:$F$36,3,0)," ")</f>
        <v xml:space="preserve"> </v>
      </c>
      <c r="R837" s="131" t="str">
        <f>IFERROR(VLOOKUP(C837,TD!$B$32:$F$36,4,0)," ")</f>
        <v xml:space="preserve"> </v>
      </c>
      <c r="S837" s="54"/>
      <c r="T837" s="131" t="str">
        <f>IFERROR(VLOOKUP(S837,TD!$J$33:$K$43,2,0)," ")</f>
        <v xml:space="preserve"> </v>
      </c>
      <c r="U837" s="54" t="str">
        <f t="shared" si="48"/>
        <v xml:space="preserve">- </v>
      </c>
      <c r="V837" s="54"/>
      <c r="W837" s="131" t="str">
        <f>IFERROR(VLOOKUP(V837,TD!$N$33:$O$45,2,0)," ")</f>
        <v xml:space="preserve"> </v>
      </c>
      <c r="X837" s="54" t="str">
        <f t="shared" si="49"/>
        <v xml:space="preserve">_ </v>
      </c>
      <c r="Y837" s="54" t="str">
        <f t="shared" si="50"/>
        <v xml:space="preserve">-  _ </v>
      </c>
      <c r="Z837" s="131" t="str">
        <f t="shared" si="51"/>
        <v xml:space="preserve">   </v>
      </c>
      <c r="AA837" s="131" t="str">
        <f>IFERROR(VLOOKUP(Y837,TD!$K$46:$L$64,2,0)," ")</f>
        <v xml:space="preserve"> </v>
      </c>
      <c r="AB837" s="57"/>
      <c r="AC837" s="132"/>
    </row>
    <row r="838" spans="2:29" s="28" customFormat="1">
      <c r="B838" s="85"/>
      <c r="C838" s="53"/>
      <c r="D838" s="129"/>
      <c r="E838" s="54"/>
      <c r="F838" s="129"/>
      <c r="G838" s="129"/>
      <c r="H838" s="55"/>
      <c r="I838" s="133"/>
      <c r="J838" s="130"/>
      <c r="K838" s="56"/>
      <c r="L838" s="57"/>
      <c r="M838" s="129"/>
      <c r="N838" s="57"/>
      <c r="O838" s="54"/>
      <c r="P838" s="131" t="str">
        <f>IFERROR(VLOOKUP(C838,TD!$B$32:$F$36,2,0)," ")</f>
        <v xml:space="preserve"> </v>
      </c>
      <c r="Q838" s="131" t="str">
        <f>IFERROR(VLOOKUP(C838,TD!$B$32:$F$36,3,0)," ")</f>
        <v xml:space="preserve"> </v>
      </c>
      <c r="R838" s="131" t="str">
        <f>IFERROR(VLOOKUP(C838,TD!$B$32:$F$36,4,0)," ")</f>
        <v xml:space="preserve"> </v>
      </c>
      <c r="S838" s="54"/>
      <c r="T838" s="131" t="str">
        <f>IFERROR(VLOOKUP(S838,TD!$J$33:$K$43,2,0)," ")</f>
        <v xml:space="preserve"> </v>
      </c>
      <c r="U838" s="54" t="str">
        <f t="shared" si="48"/>
        <v xml:space="preserve">- </v>
      </c>
      <c r="V838" s="54"/>
      <c r="W838" s="131" t="str">
        <f>IFERROR(VLOOKUP(V838,TD!$N$33:$O$45,2,0)," ")</f>
        <v xml:space="preserve"> </v>
      </c>
      <c r="X838" s="54" t="str">
        <f t="shared" si="49"/>
        <v xml:space="preserve">_ </v>
      </c>
      <c r="Y838" s="54" t="str">
        <f t="shared" si="50"/>
        <v xml:space="preserve">-  _ </v>
      </c>
      <c r="Z838" s="131" t="str">
        <f t="shared" si="51"/>
        <v xml:space="preserve">   </v>
      </c>
      <c r="AA838" s="131" t="str">
        <f>IFERROR(VLOOKUP(Y838,TD!$K$46:$L$64,2,0)," ")</f>
        <v xml:space="preserve"> </v>
      </c>
      <c r="AB838" s="57"/>
      <c r="AC838" s="132"/>
    </row>
    <row r="839" spans="2:29" s="28" customFormat="1">
      <c r="B839" s="85"/>
      <c r="C839" s="53"/>
      <c r="D839" s="129"/>
      <c r="E839" s="54"/>
      <c r="F839" s="129"/>
      <c r="G839" s="129"/>
      <c r="H839" s="55"/>
      <c r="I839" s="133"/>
      <c r="J839" s="130"/>
      <c r="K839" s="56"/>
      <c r="L839" s="57"/>
      <c r="M839" s="129"/>
      <c r="N839" s="57"/>
      <c r="O839" s="54"/>
      <c r="P839" s="131" t="str">
        <f>IFERROR(VLOOKUP(C839,TD!$B$32:$F$36,2,0)," ")</f>
        <v xml:space="preserve"> </v>
      </c>
      <c r="Q839" s="131" t="str">
        <f>IFERROR(VLOOKUP(C839,TD!$B$32:$F$36,3,0)," ")</f>
        <v xml:space="preserve"> </v>
      </c>
      <c r="R839" s="131" t="str">
        <f>IFERROR(VLOOKUP(C839,TD!$B$32:$F$36,4,0)," ")</f>
        <v xml:space="preserve"> </v>
      </c>
      <c r="S839" s="54"/>
      <c r="T839" s="131" t="str">
        <f>IFERROR(VLOOKUP(S839,TD!$J$33:$K$43,2,0)," ")</f>
        <v xml:space="preserve"> </v>
      </c>
      <c r="U839" s="54" t="str">
        <f t="shared" si="48"/>
        <v xml:space="preserve">- </v>
      </c>
      <c r="V839" s="54"/>
      <c r="W839" s="131" t="str">
        <f>IFERROR(VLOOKUP(V839,TD!$N$33:$O$45,2,0)," ")</f>
        <v xml:space="preserve"> </v>
      </c>
      <c r="X839" s="54" t="str">
        <f t="shared" si="49"/>
        <v xml:space="preserve">_ </v>
      </c>
      <c r="Y839" s="54" t="str">
        <f t="shared" si="50"/>
        <v xml:space="preserve">-  _ </v>
      </c>
      <c r="Z839" s="131" t="str">
        <f t="shared" si="51"/>
        <v xml:space="preserve">   </v>
      </c>
      <c r="AA839" s="131" t="str">
        <f>IFERROR(VLOOKUP(Y839,TD!$K$46:$L$64,2,0)," ")</f>
        <v xml:space="preserve"> </v>
      </c>
      <c r="AB839" s="57"/>
      <c r="AC839" s="132"/>
    </row>
    <row r="840" spans="2:29" s="28" customFormat="1">
      <c r="B840" s="85"/>
      <c r="C840" s="53"/>
      <c r="D840" s="129"/>
      <c r="E840" s="54"/>
      <c r="F840" s="129"/>
      <c r="G840" s="129"/>
      <c r="H840" s="55"/>
      <c r="I840" s="133"/>
      <c r="J840" s="130"/>
      <c r="K840" s="56"/>
      <c r="L840" s="57"/>
      <c r="M840" s="129"/>
      <c r="N840" s="57"/>
      <c r="O840" s="54"/>
      <c r="P840" s="131" t="str">
        <f>IFERROR(VLOOKUP(C840,TD!$B$32:$F$36,2,0)," ")</f>
        <v xml:space="preserve"> </v>
      </c>
      <c r="Q840" s="131" t="str">
        <f>IFERROR(VLOOKUP(C840,TD!$B$32:$F$36,3,0)," ")</f>
        <v xml:space="preserve"> </v>
      </c>
      <c r="R840" s="131" t="str">
        <f>IFERROR(VLOOKUP(C840,TD!$B$32:$F$36,4,0)," ")</f>
        <v xml:space="preserve"> </v>
      </c>
      <c r="S840" s="54"/>
      <c r="T840" s="131" t="str">
        <f>IFERROR(VLOOKUP(S840,TD!$J$33:$K$43,2,0)," ")</f>
        <v xml:space="preserve"> </v>
      </c>
      <c r="U840" s="54" t="str">
        <f t="shared" si="48"/>
        <v xml:space="preserve">- </v>
      </c>
      <c r="V840" s="54"/>
      <c r="W840" s="131" t="str">
        <f>IFERROR(VLOOKUP(V840,TD!$N$33:$O$45,2,0)," ")</f>
        <v xml:space="preserve"> </v>
      </c>
      <c r="X840" s="54" t="str">
        <f t="shared" si="49"/>
        <v xml:space="preserve">_ </v>
      </c>
      <c r="Y840" s="54" t="str">
        <f t="shared" si="50"/>
        <v xml:space="preserve">-  _ </v>
      </c>
      <c r="Z840" s="131" t="str">
        <f t="shared" si="51"/>
        <v xml:space="preserve">   </v>
      </c>
      <c r="AA840" s="131" t="str">
        <f>IFERROR(VLOOKUP(Y840,TD!$K$46:$L$64,2,0)," ")</f>
        <v xml:space="preserve"> </v>
      </c>
      <c r="AB840" s="57"/>
      <c r="AC840" s="132"/>
    </row>
    <row r="841" spans="2:29" s="28" customFormat="1">
      <c r="B841" s="85"/>
      <c r="C841" s="53"/>
      <c r="D841" s="129"/>
      <c r="E841" s="54"/>
      <c r="F841" s="129"/>
      <c r="G841" s="129"/>
      <c r="H841" s="55"/>
      <c r="I841" s="133"/>
      <c r="J841" s="130"/>
      <c r="K841" s="56"/>
      <c r="L841" s="57"/>
      <c r="M841" s="129"/>
      <c r="N841" s="57"/>
      <c r="O841" s="54"/>
      <c r="P841" s="131" t="str">
        <f>IFERROR(VLOOKUP(C841,TD!$B$32:$F$36,2,0)," ")</f>
        <v xml:space="preserve"> </v>
      </c>
      <c r="Q841" s="131" t="str">
        <f>IFERROR(VLOOKUP(C841,TD!$B$32:$F$36,3,0)," ")</f>
        <v xml:space="preserve"> </v>
      </c>
      <c r="R841" s="131" t="str">
        <f>IFERROR(VLOOKUP(C841,TD!$B$32:$F$36,4,0)," ")</f>
        <v xml:space="preserve"> </v>
      </c>
      <c r="S841" s="54"/>
      <c r="T841" s="131" t="str">
        <f>IFERROR(VLOOKUP(S841,TD!$J$33:$K$43,2,0)," ")</f>
        <v xml:space="preserve"> </v>
      </c>
      <c r="U841" s="54" t="str">
        <f t="shared" si="48"/>
        <v xml:space="preserve">- </v>
      </c>
      <c r="V841" s="54"/>
      <c r="W841" s="131" t="str">
        <f>IFERROR(VLOOKUP(V841,TD!$N$33:$O$45,2,0)," ")</f>
        <v xml:space="preserve"> </v>
      </c>
      <c r="X841" s="54" t="str">
        <f t="shared" si="49"/>
        <v xml:space="preserve">_ </v>
      </c>
      <c r="Y841" s="54" t="str">
        <f t="shared" si="50"/>
        <v xml:space="preserve">-  _ </v>
      </c>
      <c r="Z841" s="131" t="str">
        <f t="shared" si="51"/>
        <v xml:space="preserve">   </v>
      </c>
      <c r="AA841" s="131" t="str">
        <f>IFERROR(VLOOKUP(Y841,TD!$K$46:$L$64,2,0)," ")</f>
        <v xml:space="preserve"> </v>
      </c>
      <c r="AB841" s="57"/>
      <c r="AC841" s="132"/>
    </row>
    <row r="842" spans="2:29" s="28" customFormat="1">
      <c r="B842" s="85"/>
      <c r="C842" s="53"/>
      <c r="D842" s="129"/>
      <c r="E842" s="54"/>
      <c r="F842" s="129"/>
      <c r="G842" s="129"/>
      <c r="H842" s="55"/>
      <c r="I842" s="133"/>
      <c r="J842" s="130"/>
      <c r="K842" s="56"/>
      <c r="L842" s="57"/>
      <c r="M842" s="129"/>
      <c r="N842" s="57"/>
      <c r="O842" s="54"/>
      <c r="P842" s="131" t="str">
        <f>IFERROR(VLOOKUP(C842,TD!$B$32:$F$36,2,0)," ")</f>
        <v xml:space="preserve"> </v>
      </c>
      <c r="Q842" s="131" t="str">
        <f>IFERROR(VLOOKUP(C842,TD!$B$32:$F$36,3,0)," ")</f>
        <v xml:space="preserve"> </v>
      </c>
      <c r="R842" s="131" t="str">
        <f>IFERROR(VLOOKUP(C842,TD!$B$32:$F$36,4,0)," ")</f>
        <v xml:space="preserve"> </v>
      </c>
      <c r="S842" s="54"/>
      <c r="T842" s="131" t="str">
        <f>IFERROR(VLOOKUP(S842,TD!$J$33:$K$43,2,0)," ")</f>
        <v xml:space="preserve"> </v>
      </c>
      <c r="U842" s="54" t="str">
        <f t="shared" si="48"/>
        <v xml:space="preserve">- </v>
      </c>
      <c r="V842" s="54"/>
      <c r="W842" s="131" t="str">
        <f>IFERROR(VLOOKUP(V842,TD!$N$33:$O$45,2,0)," ")</f>
        <v xml:space="preserve"> </v>
      </c>
      <c r="X842" s="54" t="str">
        <f t="shared" si="49"/>
        <v xml:space="preserve">_ </v>
      </c>
      <c r="Y842" s="54" t="str">
        <f t="shared" si="50"/>
        <v xml:space="preserve">-  _ </v>
      </c>
      <c r="Z842" s="131" t="str">
        <f t="shared" si="51"/>
        <v xml:space="preserve">   </v>
      </c>
      <c r="AA842" s="131" t="str">
        <f>IFERROR(VLOOKUP(Y842,TD!$K$46:$L$64,2,0)," ")</f>
        <v xml:space="preserve"> </v>
      </c>
      <c r="AB842" s="57"/>
      <c r="AC842" s="132"/>
    </row>
    <row r="843" spans="2:29" s="28" customFormat="1">
      <c r="B843" s="85"/>
      <c r="C843" s="53"/>
      <c r="D843" s="129"/>
      <c r="E843" s="54"/>
      <c r="F843" s="129"/>
      <c r="G843" s="129"/>
      <c r="H843" s="55"/>
      <c r="I843" s="133"/>
      <c r="J843" s="130"/>
      <c r="K843" s="56"/>
      <c r="L843" s="57"/>
      <c r="M843" s="129"/>
      <c r="N843" s="57"/>
      <c r="O843" s="54"/>
      <c r="P843" s="131" t="str">
        <f>IFERROR(VLOOKUP(C843,TD!$B$32:$F$36,2,0)," ")</f>
        <v xml:space="preserve"> </v>
      </c>
      <c r="Q843" s="131" t="str">
        <f>IFERROR(VLOOKUP(C843,TD!$B$32:$F$36,3,0)," ")</f>
        <v xml:space="preserve"> </v>
      </c>
      <c r="R843" s="131" t="str">
        <f>IFERROR(VLOOKUP(C843,TD!$B$32:$F$36,4,0)," ")</f>
        <v xml:space="preserve"> </v>
      </c>
      <c r="S843" s="54"/>
      <c r="T843" s="131" t="str">
        <f>IFERROR(VLOOKUP(S843,TD!$J$33:$K$43,2,0)," ")</f>
        <v xml:space="preserve"> </v>
      </c>
      <c r="U843" s="54" t="str">
        <f t="shared" ref="U843:U906" si="52">CONCATENATE(S843,"-",T843)</f>
        <v xml:space="preserve">- </v>
      </c>
      <c r="V843" s="54"/>
      <c r="W843" s="131" t="str">
        <f>IFERROR(VLOOKUP(V843,TD!$N$33:$O$45,2,0)," ")</f>
        <v xml:space="preserve"> </v>
      </c>
      <c r="X843" s="54" t="str">
        <f t="shared" ref="X843:X906" si="53">CONCATENATE(V843,"_",W843)</f>
        <v xml:space="preserve">_ </v>
      </c>
      <c r="Y843" s="54" t="str">
        <f t="shared" ref="Y843:Y906" si="54">CONCATENATE(U843," ",X843)</f>
        <v xml:space="preserve">-  _ </v>
      </c>
      <c r="Z843" s="131" t="str">
        <f t="shared" ref="Z843:Z906" si="55">CONCATENATE(P843,Q843,R843,S843,V843)</f>
        <v xml:space="preserve">   </v>
      </c>
      <c r="AA843" s="131" t="str">
        <f>IFERROR(VLOOKUP(Y843,TD!$K$46:$L$64,2,0)," ")</f>
        <v xml:space="preserve"> </v>
      </c>
      <c r="AB843" s="57"/>
      <c r="AC843" s="132"/>
    </row>
    <row r="844" spans="2:29" s="28" customFormat="1">
      <c r="B844" s="85"/>
      <c r="C844" s="53"/>
      <c r="D844" s="129"/>
      <c r="E844" s="54"/>
      <c r="F844" s="129"/>
      <c r="G844" s="129"/>
      <c r="H844" s="55"/>
      <c r="I844" s="133"/>
      <c r="J844" s="130"/>
      <c r="K844" s="56"/>
      <c r="L844" s="57"/>
      <c r="M844" s="129"/>
      <c r="N844" s="57"/>
      <c r="O844" s="54"/>
      <c r="P844" s="131" t="str">
        <f>IFERROR(VLOOKUP(C844,TD!$B$32:$F$36,2,0)," ")</f>
        <v xml:space="preserve"> </v>
      </c>
      <c r="Q844" s="131" t="str">
        <f>IFERROR(VLOOKUP(C844,TD!$B$32:$F$36,3,0)," ")</f>
        <v xml:space="preserve"> </v>
      </c>
      <c r="R844" s="131" t="str">
        <f>IFERROR(VLOOKUP(C844,TD!$B$32:$F$36,4,0)," ")</f>
        <v xml:space="preserve"> </v>
      </c>
      <c r="S844" s="54"/>
      <c r="T844" s="131" t="str">
        <f>IFERROR(VLOOKUP(S844,TD!$J$33:$K$43,2,0)," ")</f>
        <v xml:space="preserve"> </v>
      </c>
      <c r="U844" s="54" t="str">
        <f t="shared" si="52"/>
        <v xml:space="preserve">- </v>
      </c>
      <c r="V844" s="54"/>
      <c r="W844" s="131" t="str">
        <f>IFERROR(VLOOKUP(V844,TD!$N$33:$O$45,2,0)," ")</f>
        <v xml:space="preserve"> </v>
      </c>
      <c r="X844" s="54" t="str">
        <f t="shared" si="53"/>
        <v xml:space="preserve">_ </v>
      </c>
      <c r="Y844" s="54" t="str">
        <f t="shared" si="54"/>
        <v xml:space="preserve">-  _ </v>
      </c>
      <c r="Z844" s="131" t="str">
        <f t="shared" si="55"/>
        <v xml:space="preserve">   </v>
      </c>
      <c r="AA844" s="131" t="str">
        <f>IFERROR(VLOOKUP(Y844,TD!$K$46:$L$64,2,0)," ")</f>
        <v xml:space="preserve"> </v>
      </c>
      <c r="AB844" s="57"/>
      <c r="AC844" s="132"/>
    </row>
    <row r="845" spans="2:29" s="28" customFormat="1">
      <c r="B845" s="85"/>
      <c r="C845" s="53"/>
      <c r="D845" s="129"/>
      <c r="E845" s="54"/>
      <c r="F845" s="129"/>
      <c r="G845" s="129"/>
      <c r="H845" s="55"/>
      <c r="I845" s="133"/>
      <c r="J845" s="130"/>
      <c r="K845" s="56"/>
      <c r="L845" s="57"/>
      <c r="M845" s="129"/>
      <c r="N845" s="57"/>
      <c r="O845" s="54"/>
      <c r="P845" s="131" t="str">
        <f>IFERROR(VLOOKUP(C845,TD!$B$32:$F$36,2,0)," ")</f>
        <v xml:space="preserve"> </v>
      </c>
      <c r="Q845" s="131" t="str">
        <f>IFERROR(VLOOKUP(C845,TD!$B$32:$F$36,3,0)," ")</f>
        <v xml:space="preserve"> </v>
      </c>
      <c r="R845" s="131" t="str">
        <f>IFERROR(VLOOKUP(C845,TD!$B$32:$F$36,4,0)," ")</f>
        <v xml:space="preserve"> </v>
      </c>
      <c r="S845" s="54"/>
      <c r="T845" s="131" t="str">
        <f>IFERROR(VLOOKUP(S845,TD!$J$33:$K$43,2,0)," ")</f>
        <v xml:space="preserve"> </v>
      </c>
      <c r="U845" s="54" t="str">
        <f t="shared" si="52"/>
        <v xml:space="preserve">- </v>
      </c>
      <c r="V845" s="54"/>
      <c r="W845" s="131" t="str">
        <f>IFERROR(VLOOKUP(V845,TD!$N$33:$O$45,2,0)," ")</f>
        <v xml:space="preserve"> </v>
      </c>
      <c r="X845" s="54" t="str">
        <f t="shared" si="53"/>
        <v xml:space="preserve">_ </v>
      </c>
      <c r="Y845" s="54" t="str">
        <f t="shared" si="54"/>
        <v xml:space="preserve">-  _ </v>
      </c>
      <c r="Z845" s="131" t="str">
        <f t="shared" si="55"/>
        <v xml:space="preserve">   </v>
      </c>
      <c r="AA845" s="131" t="str">
        <f>IFERROR(VLOOKUP(Y845,TD!$K$46:$L$64,2,0)," ")</f>
        <v xml:space="preserve"> </v>
      </c>
      <c r="AB845" s="57"/>
      <c r="AC845" s="132"/>
    </row>
    <row r="846" spans="2:29" s="28" customFormat="1">
      <c r="B846" s="85"/>
      <c r="C846" s="53"/>
      <c r="D846" s="129"/>
      <c r="E846" s="54"/>
      <c r="F846" s="129"/>
      <c r="G846" s="129"/>
      <c r="H846" s="55"/>
      <c r="I846" s="133"/>
      <c r="J846" s="130"/>
      <c r="K846" s="56"/>
      <c r="L846" s="57"/>
      <c r="M846" s="129"/>
      <c r="N846" s="57"/>
      <c r="O846" s="54"/>
      <c r="P846" s="131" t="str">
        <f>IFERROR(VLOOKUP(C846,TD!$B$32:$F$36,2,0)," ")</f>
        <v xml:space="preserve"> </v>
      </c>
      <c r="Q846" s="131" t="str">
        <f>IFERROR(VLOOKUP(C846,TD!$B$32:$F$36,3,0)," ")</f>
        <v xml:space="preserve"> </v>
      </c>
      <c r="R846" s="131" t="str">
        <f>IFERROR(VLOOKUP(C846,TD!$B$32:$F$36,4,0)," ")</f>
        <v xml:space="preserve"> </v>
      </c>
      <c r="S846" s="54"/>
      <c r="T846" s="131" t="str">
        <f>IFERROR(VLOOKUP(S846,TD!$J$33:$K$43,2,0)," ")</f>
        <v xml:space="preserve"> </v>
      </c>
      <c r="U846" s="54" t="str">
        <f t="shared" si="52"/>
        <v xml:space="preserve">- </v>
      </c>
      <c r="V846" s="54"/>
      <c r="W846" s="131" t="str">
        <f>IFERROR(VLOOKUP(V846,TD!$N$33:$O$45,2,0)," ")</f>
        <v xml:space="preserve"> </v>
      </c>
      <c r="X846" s="54" t="str">
        <f t="shared" si="53"/>
        <v xml:space="preserve">_ </v>
      </c>
      <c r="Y846" s="54" t="str">
        <f t="shared" si="54"/>
        <v xml:space="preserve">-  _ </v>
      </c>
      <c r="Z846" s="131" t="str">
        <f t="shared" si="55"/>
        <v xml:space="preserve">   </v>
      </c>
      <c r="AA846" s="131" t="str">
        <f>IFERROR(VLOOKUP(Y846,TD!$K$46:$L$64,2,0)," ")</f>
        <v xml:space="preserve"> </v>
      </c>
      <c r="AB846" s="57"/>
      <c r="AC846" s="132"/>
    </row>
    <row r="847" spans="2:29" s="28" customFormat="1">
      <c r="B847" s="85"/>
      <c r="C847" s="53"/>
      <c r="D847" s="129"/>
      <c r="E847" s="54"/>
      <c r="F847" s="129"/>
      <c r="G847" s="129"/>
      <c r="H847" s="55"/>
      <c r="I847" s="133"/>
      <c r="J847" s="130"/>
      <c r="K847" s="56"/>
      <c r="L847" s="57"/>
      <c r="M847" s="129"/>
      <c r="N847" s="57"/>
      <c r="O847" s="54"/>
      <c r="P847" s="131" t="str">
        <f>IFERROR(VLOOKUP(C847,TD!$B$32:$F$36,2,0)," ")</f>
        <v xml:space="preserve"> </v>
      </c>
      <c r="Q847" s="131" t="str">
        <f>IFERROR(VLOOKUP(C847,TD!$B$32:$F$36,3,0)," ")</f>
        <v xml:space="preserve"> </v>
      </c>
      <c r="R847" s="131" t="str">
        <f>IFERROR(VLOOKUP(C847,TD!$B$32:$F$36,4,0)," ")</f>
        <v xml:space="preserve"> </v>
      </c>
      <c r="S847" s="54"/>
      <c r="T847" s="131" t="str">
        <f>IFERROR(VLOOKUP(S847,TD!$J$33:$K$43,2,0)," ")</f>
        <v xml:space="preserve"> </v>
      </c>
      <c r="U847" s="54" t="str">
        <f t="shared" si="52"/>
        <v xml:space="preserve">- </v>
      </c>
      <c r="V847" s="54"/>
      <c r="W847" s="131" t="str">
        <f>IFERROR(VLOOKUP(V847,TD!$N$33:$O$45,2,0)," ")</f>
        <v xml:space="preserve"> </v>
      </c>
      <c r="X847" s="54" t="str">
        <f t="shared" si="53"/>
        <v xml:space="preserve">_ </v>
      </c>
      <c r="Y847" s="54" t="str">
        <f t="shared" si="54"/>
        <v xml:space="preserve">-  _ </v>
      </c>
      <c r="Z847" s="131" t="str">
        <f t="shared" si="55"/>
        <v xml:space="preserve">   </v>
      </c>
      <c r="AA847" s="131" t="str">
        <f>IFERROR(VLOOKUP(Y847,TD!$K$46:$L$64,2,0)," ")</f>
        <v xml:space="preserve"> </v>
      </c>
      <c r="AB847" s="57"/>
      <c r="AC847" s="132"/>
    </row>
    <row r="848" spans="2:29" s="28" customFormat="1">
      <c r="B848" s="85"/>
      <c r="C848" s="53"/>
      <c r="D848" s="129"/>
      <c r="E848" s="54"/>
      <c r="F848" s="129"/>
      <c r="G848" s="129"/>
      <c r="H848" s="55"/>
      <c r="I848" s="133"/>
      <c r="J848" s="130"/>
      <c r="K848" s="56"/>
      <c r="L848" s="57"/>
      <c r="M848" s="129"/>
      <c r="N848" s="57"/>
      <c r="O848" s="54"/>
      <c r="P848" s="131" t="str">
        <f>IFERROR(VLOOKUP(C848,TD!$B$32:$F$36,2,0)," ")</f>
        <v xml:space="preserve"> </v>
      </c>
      <c r="Q848" s="131" t="str">
        <f>IFERROR(VLOOKUP(C848,TD!$B$32:$F$36,3,0)," ")</f>
        <v xml:space="preserve"> </v>
      </c>
      <c r="R848" s="131" t="str">
        <f>IFERROR(VLOOKUP(C848,TD!$B$32:$F$36,4,0)," ")</f>
        <v xml:space="preserve"> </v>
      </c>
      <c r="S848" s="54"/>
      <c r="T848" s="131" t="str">
        <f>IFERROR(VLOOKUP(S848,TD!$J$33:$K$43,2,0)," ")</f>
        <v xml:space="preserve"> </v>
      </c>
      <c r="U848" s="54" t="str">
        <f t="shared" si="52"/>
        <v xml:space="preserve">- </v>
      </c>
      <c r="V848" s="54"/>
      <c r="W848" s="131" t="str">
        <f>IFERROR(VLOOKUP(V848,TD!$N$33:$O$45,2,0)," ")</f>
        <v xml:space="preserve"> </v>
      </c>
      <c r="X848" s="54" t="str">
        <f t="shared" si="53"/>
        <v xml:space="preserve">_ </v>
      </c>
      <c r="Y848" s="54" t="str">
        <f t="shared" si="54"/>
        <v xml:space="preserve">-  _ </v>
      </c>
      <c r="Z848" s="131" t="str">
        <f t="shared" si="55"/>
        <v xml:space="preserve">   </v>
      </c>
      <c r="AA848" s="131" t="str">
        <f>IFERROR(VLOOKUP(Y848,TD!$K$46:$L$64,2,0)," ")</f>
        <v xml:space="preserve"> </v>
      </c>
      <c r="AB848" s="57"/>
      <c r="AC848" s="132"/>
    </row>
    <row r="849" spans="2:29" s="28" customFormat="1">
      <c r="B849" s="85"/>
      <c r="C849" s="53"/>
      <c r="D849" s="129"/>
      <c r="E849" s="54"/>
      <c r="F849" s="129"/>
      <c r="G849" s="129"/>
      <c r="H849" s="55"/>
      <c r="I849" s="133"/>
      <c r="J849" s="130"/>
      <c r="K849" s="56"/>
      <c r="L849" s="57"/>
      <c r="M849" s="129"/>
      <c r="N849" s="57"/>
      <c r="O849" s="54"/>
      <c r="P849" s="131" t="str">
        <f>IFERROR(VLOOKUP(C849,TD!$B$32:$F$36,2,0)," ")</f>
        <v xml:space="preserve"> </v>
      </c>
      <c r="Q849" s="131" t="str">
        <f>IFERROR(VLOOKUP(C849,TD!$B$32:$F$36,3,0)," ")</f>
        <v xml:space="preserve"> </v>
      </c>
      <c r="R849" s="131" t="str">
        <f>IFERROR(VLOOKUP(C849,TD!$B$32:$F$36,4,0)," ")</f>
        <v xml:space="preserve"> </v>
      </c>
      <c r="S849" s="54"/>
      <c r="T849" s="131" t="str">
        <f>IFERROR(VLOOKUP(S849,TD!$J$33:$K$43,2,0)," ")</f>
        <v xml:space="preserve"> </v>
      </c>
      <c r="U849" s="54" t="str">
        <f t="shared" si="52"/>
        <v xml:space="preserve">- </v>
      </c>
      <c r="V849" s="54"/>
      <c r="W849" s="131" t="str">
        <f>IFERROR(VLOOKUP(V849,TD!$N$33:$O$45,2,0)," ")</f>
        <v xml:space="preserve"> </v>
      </c>
      <c r="X849" s="54" t="str">
        <f t="shared" si="53"/>
        <v xml:space="preserve">_ </v>
      </c>
      <c r="Y849" s="54" t="str">
        <f t="shared" si="54"/>
        <v xml:space="preserve">-  _ </v>
      </c>
      <c r="Z849" s="131" t="str">
        <f t="shared" si="55"/>
        <v xml:space="preserve">   </v>
      </c>
      <c r="AA849" s="131" t="str">
        <f>IFERROR(VLOOKUP(Y849,TD!$K$46:$L$64,2,0)," ")</f>
        <v xml:space="preserve"> </v>
      </c>
      <c r="AB849" s="57"/>
      <c r="AC849" s="132"/>
    </row>
    <row r="850" spans="2:29" s="28" customFormat="1">
      <c r="B850" s="85"/>
      <c r="C850" s="53"/>
      <c r="D850" s="129"/>
      <c r="E850" s="54"/>
      <c r="F850" s="129"/>
      <c r="G850" s="129"/>
      <c r="H850" s="55"/>
      <c r="I850" s="133"/>
      <c r="J850" s="130"/>
      <c r="K850" s="56"/>
      <c r="L850" s="57"/>
      <c r="M850" s="129"/>
      <c r="N850" s="57"/>
      <c r="O850" s="54"/>
      <c r="P850" s="131" t="str">
        <f>IFERROR(VLOOKUP(C850,TD!$B$32:$F$36,2,0)," ")</f>
        <v xml:space="preserve"> </v>
      </c>
      <c r="Q850" s="131" t="str">
        <f>IFERROR(VLOOKUP(C850,TD!$B$32:$F$36,3,0)," ")</f>
        <v xml:space="preserve"> </v>
      </c>
      <c r="R850" s="131" t="str">
        <f>IFERROR(VLOOKUP(C850,TD!$B$32:$F$36,4,0)," ")</f>
        <v xml:space="preserve"> </v>
      </c>
      <c r="S850" s="54"/>
      <c r="T850" s="131" t="str">
        <f>IFERROR(VLOOKUP(S850,TD!$J$33:$K$43,2,0)," ")</f>
        <v xml:space="preserve"> </v>
      </c>
      <c r="U850" s="54" t="str">
        <f t="shared" si="52"/>
        <v xml:space="preserve">- </v>
      </c>
      <c r="V850" s="54"/>
      <c r="W850" s="131" t="str">
        <f>IFERROR(VLOOKUP(V850,TD!$N$33:$O$45,2,0)," ")</f>
        <v xml:space="preserve"> </v>
      </c>
      <c r="X850" s="54" t="str">
        <f t="shared" si="53"/>
        <v xml:space="preserve">_ </v>
      </c>
      <c r="Y850" s="54" t="str">
        <f t="shared" si="54"/>
        <v xml:space="preserve">-  _ </v>
      </c>
      <c r="Z850" s="131" t="str">
        <f t="shared" si="55"/>
        <v xml:space="preserve">   </v>
      </c>
      <c r="AA850" s="131" t="str">
        <f>IFERROR(VLOOKUP(Y850,TD!$K$46:$L$64,2,0)," ")</f>
        <v xml:space="preserve"> </v>
      </c>
      <c r="AB850" s="57"/>
      <c r="AC850" s="132"/>
    </row>
    <row r="851" spans="2:29" s="28" customFormat="1">
      <c r="B851" s="85"/>
      <c r="C851" s="53"/>
      <c r="D851" s="129"/>
      <c r="E851" s="54"/>
      <c r="F851" s="129"/>
      <c r="G851" s="129"/>
      <c r="H851" s="55"/>
      <c r="I851" s="133"/>
      <c r="J851" s="130"/>
      <c r="K851" s="56"/>
      <c r="L851" s="57"/>
      <c r="M851" s="129"/>
      <c r="N851" s="57"/>
      <c r="O851" s="54"/>
      <c r="P851" s="131" t="str">
        <f>IFERROR(VLOOKUP(C851,TD!$B$32:$F$36,2,0)," ")</f>
        <v xml:space="preserve"> </v>
      </c>
      <c r="Q851" s="131" t="str">
        <f>IFERROR(VLOOKUP(C851,TD!$B$32:$F$36,3,0)," ")</f>
        <v xml:space="preserve"> </v>
      </c>
      <c r="R851" s="131" t="str">
        <f>IFERROR(VLOOKUP(C851,TD!$B$32:$F$36,4,0)," ")</f>
        <v xml:space="preserve"> </v>
      </c>
      <c r="S851" s="54"/>
      <c r="T851" s="131" t="str">
        <f>IFERROR(VLOOKUP(S851,TD!$J$33:$K$43,2,0)," ")</f>
        <v xml:space="preserve"> </v>
      </c>
      <c r="U851" s="54" t="str">
        <f t="shared" si="52"/>
        <v xml:space="preserve">- </v>
      </c>
      <c r="V851" s="54"/>
      <c r="W851" s="131" t="str">
        <f>IFERROR(VLOOKUP(V851,TD!$N$33:$O$45,2,0)," ")</f>
        <v xml:space="preserve"> </v>
      </c>
      <c r="X851" s="54" t="str">
        <f t="shared" si="53"/>
        <v xml:space="preserve">_ </v>
      </c>
      <c r="Y851" s="54" t="str">
        <f t="shared" si="54"/>
        <v xml:space="preserve">-  _ </v>
      </c>
      <c r="Z851" s="131" t="str">
        <f t="shared" si="55"/>
        <v xml:space="preserve">   </v>
      </c>
      <c r="AA851" s="131" t="str">
        <f>IFERROR(VLOOKUP(Y851,TD!$K$46:$L$64,2,0)," ")</f>
        <v xml:space="preserve"> </v>
      </c>
      <c r="AB851" s="57"/>
      <c r="AC851" s="132"/>
    </row>
    <row r="852" spans="2:29" s="28" customFormat="1">
      <c r="B852" s="85"/>
      <c r="C852" s="53"/>
      <c r="D852" s="129"/>
      <c r="E852" s="54"/>
      <c r="F852" s="129"/>
      <c r="G852" s="129"/>
      <c r="H852" s="55"/>
      <c r="I852" s="133"/>
      <c r="J852" s="130"/>
      <c r="K852" s="56"/>
      <c r="L852" s="57"/>
      <c r="M852" s="129"/>
      <c r="N852" s="57"/>
      <c r="O852" s="54"/>
      <c r="P852" s="131" t="str">
        <f>IFERROR(VLOOKUP(C852,TD!$B$32:$F$36,2,0)," ")</f>
        <v xml:space="preserve"> </v>
      </c>
      <c r="Q852" s="131" t="str">
        <f>IFERROR(VLOOKUP(C852,TD!$B$32:$F$36,3,0)," ")</f>
        <v xml:space="preserve"> </v>
      </c>
      <c r="R852" s="131" t="str">
        <f>IFERROR(VLOOKUP(C852,TD!$B$32:$F$36,4,0)," ")</f>
        <v xml:space="preserve"> </v>
      </c>
      <c r="S852" s="54"/>
      <c r="T852" s="131" t="str">
        <f>IFERROR(VLOOKUP(S852,TD!$J$33:$K$43,2,0)," ")</f>
        <v xml:space="preserve"> </v>
      </c>
      <c r="U852" s="54" t="str">
        <f t="shared" si="52"/>
        <v xml:space="preserve">- </v>
      </c>
      <c r="V852" s="54"/>
      <c r="W852" s="131" t="str">
        <f>IFERROR(VLOOKUP(V852,TD!$N$33:$O$45,2,0)," ")</f>
        <v xml:space="preserve"> </v>
      </c>
      <c r="X852" s="54" t="str">
        <f t="shared" si="53"/>
        <v xml:space="preserve">_ </v>
      </c>
      <c r="Y852" s="54" t="str">
        <f t="shared" si="54"/>
        <v xml:space="preserve">-  _ </v>
      </c>
      <c r="Z852" s="131" t="str">
        <f t="shared" si="55"/>
        <v xml:space="preserve">   </v>
      </c>
      <c r="AA852" s="131" t="str">
        <f>IFERROR(VLOOKUP(Y852,TD!$K$46:$L$64,2,0)," ")</f>
        <v xml:space="preserve"> </v>
      </c>
      <c r="AB852" s="57"/>
      <c r="AC852" s="132"/>
    </row>
    <row r="853" spans="2:29" s="28" customFormat="1">
      <c r="B853" s="85"/>
      <c r="C853" s="53"/>
      <c r="D853" s="129"/>
      <c r="E853" s="54"/>
      <c r="F853" s="129"/>
      <c r="G853" s="129"/>
      <c r="H853" s="55"/>
      <c r="I853" s="133"/>
      <c r="J853" s="130"/>
      <c r="K853" s="56"/>
      <c r="L853" s="57"/>
      <c r="M853" s="129"/>
      <c r="N853" s="57"/>
      <c r="O853" s="54"/>
      <c r="P853" s="131" t="str">
        <f>IFERROR(VLOOKUP(C853,TD!$B$32:$F$36,2,0)," ")</f>
        <v xml:space="preserve"> </v>
      </c>
      <c r="Q853" s="131" t="str">
        <f>IFERROR(VLOOKUP(C853,TD!$B$32:$F$36,3,0)," ")</f>
        <v xml:space="preserve"> </v>
      </c>
      <c r="R853" s="131" t="str">
        <f>IFERROR(VLOOKUP(C853,TD!$B$32:$F$36,4,0)," ")</f>
        <v xml:space="preserve"> </v>
      </c>
      <c r="S853" s="54"/>
      <c r="T853" s="131" t="str">
        <f>IFERROR(VLOOKUP(S853,TD!$J$33:$K$43,2,0)," ")</f>
        <v xml:space="preserve"> </v>
      </c>
      <c r="U853" s="54" t="str">
        <f t="shared" si="52"/>
        <v xml:space="preserve">- </v>
      </c>
      <c r="V853" s="54"/>
      <c r="W853" s="131" t="str">
        <f>IFERROR(VLOOKUP(V853,TD!$N$33:$O$45,2,0)," ")</f>
        <v xml:space="preserve"> </v>
      </c>
      <c r="X853" s="54" t="str">
        <f t="shared" si="53"/>
        <v xml:space="preserve">_ </v>
      </c>
      <c r="Y853" s="54" t="str">
        <f t="shared" si="54"/>
        <v xml:space="preserve">-  _ </v>
      </c>
      <c r="Z853" s="131" t="str">
        <f t="shared" si="55"/>
        <v xml:space="preserve">   </v>
      </c>
      <c r="AA853" s="131" t="str">
        <f>IFERROR(VLOOKUP(Y853,TD!$K$46:$L$64,2,0)," ")</f>
        <v xml:space="preserve"> </v>
      </c>
      <c r="AB853" s="57"/>
      <c r="AC853" s="132"/>
    </row>
    <row r="854" spans="2:29" s="28" customFormat="1">
      <c r="B854" s="85"/>
      <c r="C854" s="53"/>
      <c r="D854" s="129"/>
      <c r="E854" s="54"/>
      <c r="F854" s="129"/>
      <c r="G854" s="129"/>
      <c r="H854" s="55"/>
      <c r="I854" s="133"/>
      <c r="J854" s="130"/>
      <c r="K854" s="56"/>
      <c r="L854" s="57"/>
      <c r="M854" s="129"/>
      <c r="N854" s="57"/>
      <c r="O854" s="54"/>
      <c r="P854" s="131" t="str">
        <f>IFERROR(VLOOKUP(C854,TD!$B$32:$F$36,2,0)," ")</f>
        <v xml:space="preserve"> </v>
      </c>
      <c r="Q854" s="131" t="str">
        <f>IFERROR(VLOOKUP(C854,TD!$B$32:$F$36,3,0)," ")</f>
        <v xml:space="preserve"> </v>
      </c>
      <c r="R854" s="131" t="str">
        <f>IFERROR(VLOOKUP(C854,TD!$B$32:$F$36,4,0)," ")</f>
        <v xml:space="preserve"> </v>
      </c>
      <c r="S854" s="54"/>
      <c r="T854" s="131" t="str">
        <f>IFERROR(VLOOKUP(S854,TD!$J$33:$K$43,2,0)," ")</f>
        <v xml:space="preserve"> </v>
      </c>
      <c r="U854" s="54" t="str">
        <f t="shared" si="52"/>
        <v xml:space="preserve">- </v>
      </c>
      <c r="V854" s="54"/>
      <c r="W854" s="131" t="str">
        <f>IFERROR(VLOOKUP(V854,TD!$N$33:$O$45,2,0)," ")</f>
        <v xml:space="preserve"> </v>
      </c>
      <c r="X854" s="54" t="str">
        <f t="shared" si="53"/>
        <v xml:space="preserve">_ </v>
      </c>
      <c r="Y854" s="54" t="str">
        <f t="shared" si="54"/>
        <v xml:space="preserve">-  _ </v>
      </c>
      <c r="Z854" s="131" t="str">
        <f t="shared" si="55"/>
        <v xml:space="preserve">   </v>
      </c>
      <c r="AA854" s="131" t="str">
        <f>IFERROR(VLOOKUP(Y854,TD!$K$46:$L$64,2,0)," ")</f>
        <v xml:space="preserve"> </v>
      </c>
      <c r="AB854" s="57"/>
      <c r="AC854" s="132"/>
    </row>
    <row r="855" spans="2:29" s="28" customFormat="1">
      <c r="B855" s="85"/>
      <c r="C855" s="53"/>
      <c r="D855" s="129"/>
      <c r="E855" s="54"/>
      <c r="F855" s="129"/>
      <c r="G855" s="129"/>
      <c r="H855" s="55"/>
      <c r="I855" s="133"/>
      <c r="J855" s="130"/>
      <c r="K855" s="56"/>
      <c r="L855" s="57"/>
      <c r="M855" s="129"/>
      <c r="N855" s="57"/>
      <c r="O855" s="54"/>
      <c r="P855" s="131" t="str">
        <f>IFERROR(VLOOKUP(C855,TD!$B$32:$F$36,2,0)," ")</f>
        <v xml:space="preserve"> </v>
      </c>
      <c r="Q855" s="131" t="str">
        <f>IFERROR(VLOOKUP(C855,TD!$B$32:$F$36,3,0)," ")</f>
        <v xml:space="preserve"> </v>
      </c>
      <c r="R855" s="131" t="str">
        <f>IFERROR(VLOOKUP(C855,TD!$B$32:$F$36,4,0)," ")</f>
        <v xml:space="preserve"> </v>
      </c>
      <c r="S855" s="54"/>
      <c r="T855" s="131" t="str">
        <f>IFERROR(VLOOKUP(S855,TD!$J$33:$K$43,2,0)," ")</f>
        <v xml:space="preserve"> </v>
      </c>
      <c r="U855" s="54" t="str">
        <f t="shared" si="52"/>
        <v xml:space="preserve">- </v>
      </c>
      <c r="V855" s="54"/>
      <c r="W855" s="131" t="str">
        <f>IFERROR(VLOOKUP(V855,TD!$N$33:$O$45,2,0)," ")</f>
        <v xml:space="preserve"> </v>
      </c>
      <c r="X855" s="54" t="str">
        <f t="shared" si="53"/>
        <v xml:space="preserve">_ </v>
      </c>
      <c r="Y855" s="54" t="str">
        <f t="shared" si="54"/>
        <v xml:space="preserve">-  _ </v>
      </c>
      <c r="Z855" s="131" t="str">
        <f t="shared" si="55"/>
        <v xml:space="preserve">   </v>
      </c>
      <c r="AA855" s="131" t="str">
        <f>IFERROR(VLOOKUP(Y855,TD!$K$46:$L$64,2,0)," ")</f>
        <v xml:space="preserve"> </v>
      </c>
      <c r="AB855" s="57"/>
      <c r="AC855" s="132"/>
    </row>
    <row r="856" spans="2:29" s="28" customFormat="1">
      <c r="B856" s="85"/>
      <c r="C856" s="53"/>
      <c r="D856" s="129"/>
      <c r="E856" s="54"/>
      <c r="F856" s="129"/>
      <c r="G856" s="129"/>
      <c r="H856" s="55"/>
      <c r="I856" s="133"/>
      <c r="J856" s="130"/>
      <c r="K856" s="56"/>
      <c r="L856" s="57"/>
      <c r="M856" s="129"/>
      <c r="N856" s="57"/>
      <c r="O856" s="54"/>
      <c r="P856" s="131" t="str">
        <f>IFERROR(VLOOKUP(C856,TD!$B$32:$F$36,2,0)," ")</f>
        <v xml:space="preserve"> </v>
      </c>
      <c r="Q856" s="131" t="str">
        <f>IFERROR(VLOOKUP(C856,TD!$B$32:$F$36,3,0)," ")</f>
        <v xml:space="preserve"> </v>
      </c>
      <c r="R856" s="131" t="str">
        <f>IFERROR(VLOOKUP(C856,TD!$B$32:$F$36,4,0)," ")</f>
        <v xml:space="preserve"> </v>
      </c>
      <c r="S856" s="54"/>
      <c r="T856" s="131" t="str">
        <f>IFERROR(VLOOKUP(S856,TD!$J$33:$K$43,2,0)," ")</f>
        <v xml:space="preserve"> </v>
      </c>
      <c r="U856" s="54" t="str">
        <f t="shared" si="52"/>
        <v xml:space="preserve">- </v>
      </c>
      <c r="V856" s="54"/>
      <c r="W856" s="131" t="str">
        <f>IFERROR(VLOOKUP(V856,TD!$N$33:$O$45,2,0)," ")</f>
        <v xml:space="preserve"> </v>
      </c>
      <c r="X856" s="54" t="str">
        <f t="shared" si="53"/>
        <v xml:space="preserve">_ </v>
      </c>
      <c r="Y856" s="54" t="str">
        <f t="shared" si="54"/>
        <v xml:space="preserve">-  _ </v>
      </c>
      <c r="Z856" s="131" t="str">
        <f t="shared" si="55"/>
        <v xml:space="preserve">   </v>
      </c>
      <c r="AA856" s="131" t="str">
        <f>IFERROR(VLOOKUP(Y856,TD!$K$46:$L$64,2,0)," ")</f>
        <v xml:space="preserve"> </v>
      </c>
      <c r="AB856" s="57"/>
      <c r="AC856" s="132"/>
    </row>
    <row r="857" spans="2:29" s="28" customFormat="1">
      <c r="B857" s="85"/>
      <c r="C857" s="53"/>
      <c r="D857" s="129"/>
      <c r="E857" s="54"/>
      <c r="F857" s="129"/>
      <c r="G857" s="129"/>
      <c r="H857" s="55"/>
      <c r="I857" s="133"/>
      <c r="J857" s="130"/>
      <c r="K857" s="56"/>
      <c r="L857" s="57"/>
      <c r="M857" s="129"/>
      <c r="N857" s="57"/>
      <c r="O857" s="54"/>
      <c r="P857" s="131" t="str">
        <f>IFERROR(VLOOKUP(C857,TD!$B$32:$F$36,2,0)," ")</f>
        <v xml:space="preserve"> </v>
      </c>
      <c r="Q857" s="131" t="str">
        <f>IFERROR(VLOOKUP(C857,TD!$B$32:$F$36,3,0)," ")</f>
        <v xml:space="preserve"> </v>
      </c>
      <c r="R857" s="131" t="str">
        <f>IFERROR(VLOOKUP(C857,TD!$B$32:$F$36,4,0)," ")</f>
        <v xml:space="preserve"> </v>
      </c>
      <c r="S857" s="54"/>
      <c r="T857" s="131" t="str">
        <f>IFERROR(VLOOKUP(S857,TD!$J$33:$K$43,2,0)," ")</f>
        <v xml:space="preserve"> </v>
      </c>
      <c r="U857" s="54" t="str">
        <f t="shared" si="52"/>
        <v xml:space="preserve">- </v>
      </c>
      <c r="V857" s="54"/>
      <c r="W857" s="131" t="str">
        <f>IFERROR(VLOOKUP(V857,TD!$N$33:$O$45,2,0)," ")</f>
        <v xml:space="preserve"> </v>
      </c>
      <c r="X857" s="54" t="str">
        <f t="shared" si="53"/>
        <v xml:space="preserve">_ </v>
      </c>
      <c r="Y857" s="54" t="str">
        <f t="shared" si="54"/>
        <v xml:space="preserve">-  _ </v>
      </c>
      <c r="Z857" s="131" t="str">
        <f t="shared" si="55"/>
        <v xml:space="preserve">   </v>
      </c>
      <c r="AA857" s="131" t="str">
        <f>IFERROR(VLOOKUP(Y857,TD!$K$46:$L$64,2,0)," ")</f>
        <v xml:space="preserve"> </v>
      </c>
      <c r="AB857" s="57"/>
      <c r="AC857" s="132"/>
    </row>
    <row r="858" spans="2:29" s="28" customFormat="1">
      <c r="B858" s="85"/>
      <c r="C858" s="53"/>
      <c r="D858" s="129"/>
      <c r="E858" s="54"/>
      <c r="F858" s="129"/>
      <c r="G858" s="129"/>
      <c r="H858" s="55"/>
      <c r="I858" s="133"/>
      <c r="J858" s="130"/>
      <c r="K858" s="56"/>
      <c r="L858" s="57"/>
      <c r="M858" s="129"/>
      <c r="N858" s="57"/>
      <c r="O858" s="54"/>
      <c r="P858" s="131" t="str">
        <f>IFERROR(VLOOKUP(C858,TD!$B$32:$F$36,2,0)," ")</f>
        <v xml:space="preserve"> </v>
      </c>
      <c r="Q858" s="131" t="str">
        <f>IFERROR(VLOOKUP(C858,TD!$B$32:$F$36,3,0)," ")</f>
        <v xml:space="preserve"> </v>
      </c>
      <c r="R858" s="131" t="str">
        <f>IFERROR(VLOOKUP(C858,TD!$B$32:$F$36,4,0)," ")</f>
        <v xml:space="preserve"> </v>
      </c>
      <c r="S858" s="54"/>
      <c r="T858" s="131" t="str">
        <f>IFERROR(VLOOKUP(S858,TD!$J$33:$K$43,2,0)," ")</f>
        <v xml:space="preserve"> </v>
      </c>
      <c r="U858" s="54" t="str">
        <f t="shared" si="52"/>
        <v xml:space="preserve">- </v>
      </c>
      <c r="V858" s="54"/>
      <c r="W858" s="131" t="str">
        <f>IFERROR(VLOOKUP(V858,TD!$N$33:$O$45,2,0)," ")</f>
        <v xml:space="preserve"> </v>
      </c>
      <c r="X858" s="54" t="str">
        <f t="shared" si="53"/>
        <v xml:space="preserve">_ </v>
      </c>
      <c r="Y858" s="54" t="str">
        <f t="shared" si="54"/>
        <v xml:space="preserve">-  _ </v>
      </c>
      <c r="Z858" s="131" t="str">
        <f t="shared" si="55"/>
        <v xml:space="preserve">   </v>
      </c>
      <c r="AA858" s="131" t="str">
        <f>IFERROR(VLOOKUP(Y858,TD!$K$46:$L$64,2,0)," ")</f>
        <v xml:space="preserve"> </v>
      </c>
      <c r="AB858" s="57"/>
      <c r="AC858" s="132"/>
    </row>
    <row r="859" spans="2:29" s="28" customFormat="1">
      <c r="B859" s="85"/>
      <c r="C859" s="53"/>
      <c r="D859" s="129"/>
      <c r="E859" s="54"/>
      <c r="F859" s="129"/>
      <c r="G859" s="129"/>
      <c r="H859" s="55"/>
      <c r="I859" s="133"/>
      <c r="J859" s="130"/>
      <c r="K859" s="56"/>
      <c r="L859" s="57"/>
      <c r="M859" s="129"/>
      <c r="N859" s="57"/>
      <c r="O859" s="54"/>
      <c r="P859" s="131" t="str">
        <f>IFERROR(VLOOKUP(C859,TD!$B$32:$F$36,2,0)," ")</f>
        <v xml:space="preserve"> </v>
      </c>
      <c r="Q859" s="131" t="str">
        <f>IFERROR(VLOOKUP(C859,TD!$B$32:$F$36,3,0)," ")</f>
        <v xml:space="preserve"> </v>
      </c>
      <c r="R859" s="131" t="str">
        <f>IFERROR(VLOOKUP(C859,TD!$B$32:$F$36,4,0)," ")</f>
        <v xml:space="preserve"> </v>
      </c>
      <c r="S859" s="54"/>
      <c r="T859" s="131" t="str">
        <f>IFERROR(VLOOKUP(S859,TD!$J$33:$K$43,2,0)," ")</f>
        <v xml:space="preserve"> </v>
      </c>
      <c r="U859" s="54" t="str">
        <f t="shared" si="52"/>
        <v xml:space="preserve">- </v>
      </c>
      <c r="V859" s="54"/>
      <c r="W859" s="131" t="str">
        <f>IFERROR(VLOOKUP(V859,TD!$N$33:$O$45,2,0)," ")</f>
        <v xml:space="preserve"> </v>
      </c>
      <c r="X859" s="54" t="str">
        <f t="shared" si="53"/>
        <v xml:space="preserve">_ </v>
      </c>
      <c r="Y859" s="54" t="str">
        <f t="shared" si="54"/>
        <v xml:space="preserve">-  _ </v>
      </c>
      <c r="Z859" s="131" t="str">
        <f t="shared" si="55"/>
        <v xml:space="preserve">   </v>
      </c>
      <c r="AA859" s="131" t="str">
        <f>IFERROR(VLOOKUP(Y859,TD!$K$46:$L$64,2,0)," ")</f>
        <v xml:space="preserve"> </v>
      </c>
      <c r="AB859" s="57"/>
      <c r="AC859" s="132"/>
    </row>
    <row r="860" spans="2:29" s="28" customFormat="1">
      <c r="B860" s="85"/>
      <c r="C860" s="53"/>
      <c r="D860" s="129"/>
      <c r="E860" s="54"/>
      <c r="F860" s="129"/>
      <c r="G860" s="129"/>
      <c r="H860" s="55"/>
      <c r="I860" s="133"/>
      <c r="J860" s="130"/>
      <c r="K860" s="56"/>
      <c r="L860" s="57"/>
      <c r="M860" s="129"/>
      <c r="N860" s="57"/>
      <c r="O860" s="54"/>
      <c r="P860" s="131" t="str">
        <f>IFERROR(VLOOKUP(C860,TD!$B$32:$F$36,2,0)," ")</f>
        <v xml:space="preserve"> </v>
      </c>
      <c r="Q860" s="131" t="str">
        <f>IFERROR(VLOOKUP(C860,TD!$B$32:$F$36,3,0)," ")</f>
        <v xml:space="preserve"> </v>
      </c>
      <c r="R860" s="131" t="str">
        <f>IFERROR(VLOOKUP(C860,TD!$B$32:$F$36,4,0)," ")</f>
        <v xml:space="preserve"> </v>
      </c>
      <c r="S860" s="54"/>
      <c r="T860" s="131" t="str">
        <f>IFERROR(VLOOKUP(S860,TD!$J$33:$K$43,2,0)," ")</f>
        <v xml:space="preserve"> </v>
      </c>
      <c r="U860" s="54" t="str">
        <f t="shared" si="52"/>
        <v xml:space="preserve">- </v>
      </c>
      <c r="V860" s="54"/>
      <c r="W860" s="131" t="str">
        <f>IFERROR(VLOOKUP(V860,TD!$N$33:$O$45,2,0)," ")</f>
        <v xml:space="preserve"> </v>
      </c>
      <c r="X860" s="54" t="str">
        <f t="shared" si="53"/>
        <v xml:space="preserve">_ </v>
      </c>
      <c r="Y860" s="54" t="str">
        <f t="shared" si="54"/>
        <v xml:space="preserve">-  _ </v>
      </c>
      <c r="Z860" s="131" t="str">
        <f t="shared" si="55"/>
        <v xml:space="preserve">   </v>
      </c>
      <c r="AA860" s="131" t="str">
        <f>IFERROR(VLOOKUP(Y860,TD!$K$46:$L$64,2,0)," ")</f>
        <v xml:space="preserve"> </v>
      </c>
      <c r="AB860" s="57"/>
      <c r="AC860" s="132"/>
    </row>
    <row r="861" spans="2:29" s="28" customFormat="1">
      <c r="B861" s="85"/>
      <c r="C861" s="53"/>
      <c r="D861" s="129"/>
      <c r="E861" s="54"/>
      <c r="F861" s="129"/>
      <c r="G861" s="129"/>
      <c r="H861" s="55"/>
      <c r="I861" s="133"/>
      <c r="J861" s="130"/>
      <c r="K861" s="56"/>
      <c r="L861" s="57"/>
      <c r="M861" s="129"/>
      <c r="N861" s="57"/>
      <c r="O861" s="54"/>
      <c r="P861" s="131" t="str">
        <f>IFERROR(VLOOKUP(C861,TD!$B$32:$F$36,2,0)," ")</f>
        <v xml:space="preserve"> </v>
      </c>
      <c r="Q861" s="131" t="str">
        <f>IFERROR(VLOOKUP(C861,TD!$B$32:$F$36,3,0)," ")</f>
        <v xml:space="preserve"> </v>
      </c>
      <c r="R861" s="131" t="str">
        <f>IFERROR(VLOOKUP(C861,TD!$B$32:$F$36,4,0)," ")</f>
        <v xml:space="preserve"> </v>
      </c>
      <c r="S861" s="54"/>
      <c r="T861" s="131" t="str">
        <f>IFERROR(VLOOKUP(S861,TD!$J$33:$K$43,2,0)," ")</f>
        <v xml:space="preserve"> </v>
      </c>
      <c r="U861" s="54" t="str">
        <f t="shared" si="52"/>
        <v xml:space="preserve">- </v>
      </c>
      <c r="V861" s="54"/>
      <c r="W861" s="131" t="str">
        <f>IFERROR(VLOOKUP(V861,TD!$N$33:$O$45,2,0)," ")</f>
        <v xml:space="preserve"> </v>
      </c>
      <c r="X861" s="54" t="str">
        <f t="shared" si="53"/>
        <v xml:space="preserve">_ </v>
      </c>
      <c r="Y861" s="54" t="str">
        <f t="shared" si="54"/>
        <v xml:space="preserve">-  _ </v>
      </c>
      <c r="Z861" s="131" t="str">
        <f t="shared" si="55"/>
        <v xml:space="preserve">   </v>
      </c>
      <c r="AA861" s="131" t="str">
        <f>IFERROR(VLOOKUP(Y861,TD!$K$46:$L$64,2,0)," ")</f>
        <v xml:space="preserve"> </v>
      </c>
      <c r="AB861" s="57"/>
      <c r="AC861" s="132"/>
    </row>
    <row r="862" spans="2:29" s="28" customFormat="1">
      <c r="B862" s="85"/>
      <c r="C862" s="53"/>
      <c r="D862" s="129"/>
      <c r="E862" s="54"/>
      <c r="F862" s="129"/>
      <c r="G862" s="129"/>
      <c r="H862" s="55"/>
      <c r="I862" s="133"/>
      <c r="J862" s="130"/>
      <c r="K862" s="56"/>
      <c r="L862" s="57"/>
      <c r="M862" s="129"/>
      <c r="N862" s="57"/>
      <c r="O862" s="54"/>
      <c r="P862" s="131" t="str">
        <f>IFERROR(VLOOKUP(C862,TD!$B$32:$F$36,2,0)," ")</f>
        <v xml:space="preserve"> </v>
      </c>
      <c r="Q862" s="131" t="str">
        <f>IFERROR(VLOOKUP(C862,TD!$B$32:$F$36,3,0)," ")</f>
        <v xml:space="preserve"> </v>
      </c>
      <c r="R862" s="131" t="str">
        <f>IFERROR(VLOOKUP(C862,TD!$B$32:$F$36,4,0)," ")</f>
        <v xml:space="preserve"> </v>
      </c>
      <c r="S862" s="54"/>
      <c r="T862" s="131" t="str">
        <f>IFERROR(VLOOKUP(S862,TD!$J$33:$K$43,2,0)," ")</f>
        <v xml:space="preserve"> </v>
      </c>
      <c r="U862" s="54" t="str">
        <f t="shared" si="52"/>
        <v xml:space="preserve">- </v>
      </c>
      <c r="V862" s="54"/>
      <c r="W862" s="131" t="str">
        <f>IFERROR(VLOOKUP(V862,TD!$N$33:$O$45,2,0)," ")</f>
        <v xml:space="preserve"> </v>
      </c>
      <c r="X862" s="54" t="str">
        <f t="shared" si="53"/>
        <v xml:space="preserve">_ </v>
      </c>
      <c r="Y862" s="54" t="str">
        <f t="shared" si="54"/>
        <v xml:space="preserve">-  _ </v>
      </c>
      <c r="Z862" s="131" t="str">
        <f t="shared" si="55"/>
        <v xml:space="preserve">   </v>
      </c>
      <c r="AA862" s="131" t="str">
        <f>IFERROR(VLOOKUP(Y862,TD!$K$46:$L$64,2,0)," ")</f>
        <v xml:space="preserve"> </v>
      </c>
      <c r="AB862" s="57"/>
      <c r="AC862" s="132"/>
    </row>
    <row r="863" spans="2:29" s="28" customFormat="1">
      <c r="B863" s="85"/>
      <c r="C863" s="53"/>
      <c r="D863" s="129"/>
      <c r="E863" s="54"/>
      <c r="F863" s="129"/>
      <c r="G863" s="129"/>
      <c r="H863" s="55"/>
      <c r="I863" s="133"/>
      <c r="J863" s="130"/>
      <c r="K863" s="56"/>
      <c r="L863" s="57"/>
      <c r="M863" s="129"/>
      <c r="N863" s="57"/>
      <c r="O863" s="54"/>
      <c r="P863" s="131" t="str">
        <f>IFERROR(VLOOKUP(C863,TD!$B$32:$F$36,2,0)," ")</f>
        <v xml:space="preserve"> </v>
      </c>
      <c r="Q863" s="131" t="str">
        <f>IFERROR(VLOOKUP(C863,TD!$B$32:$F$36,3,0)," ")</f>
        <v xml:space="preserve"> </v>
      </c>
      <c r="R863" s="131" t="str">
        <f>IFERROR(VLOOKUP(C863,TD!$B$32:$F$36,4,0)," ")</f>
        <v xml:space="preserve"> </v>
      </c>
      <c r="S863" s="54"/>
      <c r="T863" s="131" t="str">
        <f>IFERROR(VLOOKUP(S863,TD!$J$33:$K$43,2,0)," ")</f>
        <v xml:space="preserve"> </v>
      </c>
      <c r="U863" s="54" t="str">
        <f t="shared" si="52"/>
        <v xml:space="preserve">- </v>
      </c>
      <c r="V863" s="54"/>
      <c r="W863" s="131" t="str">
        <f>IFERROR(VLOOKUP(V863,TD!$N$33:$O$45,2,0)," ")</f>
        <v xml:space="preserve"> </v>
      </c>
      <c r="X863" s="54" t="str">
        <f t="shared" si="53"/>
        <v xml:space="preserve">_ </v>
      </c>
      <c r="Y863" s="54" t="str">
        <f t="shared" si="54"/>
        <v xml:space="preserve">-  _ </v>
      </c>
      <c r="Z863" s="131" t="str">
        <f t="shared" si="55"/>
        <v xml:space="preserve">   </v>
      </c>
      <c r="AA863" s="131" t="str">
        <f>IFERROR(VLOOKUP(Y863,TD!$K$46:$L$64,2,0)," ")</f>
        <v xml:space="preserve"> </v>
      </c>
      <c r="AB863" s="57"/>
      <c r="AC863" s="132"/>
    </row>
    <row r="864" spans="2:29" s="28" customFormat="1">
      <c r="B864" s="85"/>
      <c r="C864" s="53"/>
      <c r="D864" s="129"/>
      <c r="E864" s="54"/>
      <c r="F864" s="129"/>
      <c r="G864" s="129"/>
      <c r="H864" s="55"/>
      <c r="I864" s="133"/>
      <c r="J864" s="130"/>
      <c r="K864" s="56"/>
      <c r="L864" s="57"/>
      <c r="M864" s="129"/>
      <c r="N864" s="57"/>
      <c r="O864" s="54"/>
      <c r="P864" s="131" t="str">
        <f>IFERROR(VLOOKUP(C864,TD!$B$32:$F$36,2,0)," ")</f>
        <v xml:space="preserve"> </v>
      </c>
      <c r="Q864" s="131" t="str">
        <f>IFERROR(VLOOKUP(C864,TD!$B$32:$F$36,3,0)," ")</f>
        <v xml:space="preserve"> </v>
      </c>
      <c r="R864" s="131" t="str">
        <f>IFERROR(VLOOKUP(C864,TD!$B$32:$F$36,4,0)," ")</f>
        <v xml:space="preserve"> </v>
      </c>
      <c r="S864" s="54"/>
      <c r="T864" s="131" t="str">
        <f>IFERROR(VLOOKUP(S864,TD!$J$33:$K$43,2,0)," ")</f>
        <v xml:space="preserve"> </v>
      </c>
      <c r="U864" s="54" t="str">
        <f t="shared" si="52"/>
        <v xml:space="preserve">- </v>
      </c>
      <c r="V864" s="54"/>
      <c r="W864" s="131" t="str">
        <f>IFERROR(VLOOKUP(V864,TD!$N$33:$O$45,2,0)," ")</f>
        <v xml:space="preserve"> </v>
      </c>
      <c r="X864" s="54" t="str">
        <f t="shared" si="53"/>
        <v xml:space="preserve">_ </v>
      </c>
      <c r="Y864" s="54" t="str">
        <f t="shared" si="54"/>
        <v xml:space="preserve">-  _ </v>
      </c>
      <c r="Z864" s="131" t="str">
        <f t="shared" si="55"/>
        <v xml:space="preserve">   </v>
      </c>
      <c r="AA864" s="131" t="str">
        <f>IFERROR(VLOOKUP(Y864,TD!$K$46:$L$64,2,0)," ")</f>
        <v xml:space="preserve"> </v>
      </c>
      <c r="AB864" s="57"/>
      <c r="AC864" s="132"/>
    </row>
    <row r="865" spans="2:29" s="28" customFormat="1">
      <c r="B865" s="85"/>
      <c r="C865" s="53"/>
      <c r="D865" s="129"/>
      <c r="E865" s="54"/>
      <c r="F865" s="129"/>
      <c r="G865" s="129"/>
      <c r="H865" s="55"/>
      <c r="I865" s="133"/>
      <c r="J865" s="130"/>
      <c r="K865" s="56"/>
      <c r="L865" s="57"/>
      <c r="M865" s="129"/>
      <c r="N865" s="57"/>
      <c r="O865" s="54"/>
      <c r="P865" s="131" t="str">
        <f>IFERROR(VLOOKUP(C865,TD!$B$32:$F$36,2,0)," ")</f>
        <v xml:space="preserve"> </v>
      </c>
      <c r="Q865" s="131" t="str">
        <f>IFERROR(VLOOKUP(C865,TD!$B$32:$F$36,3,0)," ")</f>
        <v xml:space="preserve"> </v>
      </c>
      <c r="R865" s="131" t="str">
        <f>IFERROR(VLOOKUP(C865,TD!$B$32:$F$36,4,0)," ")</f>
        <v xml:space="preserve"> </v>
      </c>
      <c r="S865" s="54"/>
      <c r="T865" s="131" t="str">
        <f>IFERROR(VLOOKUP(S865,TD!$J$33:$K$43,2,0)," ")</f>
        <v xml:space="preserve"> </v>
      </c>
      <c r="U865" s="54" t="str">
        <f t="shared" si="52"/>
        <v xml:space="preserve">- </v>
      </c>
      <c r="V865" s="54"/>
      <c r="W865" s="131" t="str">
        <f>IFERROR(VLOOKUP(V865,TD!$N$33:$O$45,2,0)," ")</f>
        <v xml:space="preserve"> </v>
      </c>
      <c r="X865" s="54" t="str">
        <f t="shared" si="53"/>
        <v xml:space="preserve">_ </v>
      </c>
      <c r="Y865" s="54" t="str">
        <f t="shared" si="54"/>
        <v xml:space="preserve">-  _ </v>
      </c>
      <c r="Z865" s="131" t="str">
        <f t="shared" si="55"/>
        <v xml:space="preserve">   </v>
      </c>
      <c r="AA865" s="131" t="str">
        <f>IFERROR(VLOOKUP(Y865,TD!$K$46:$L$64,2,0)," ")</f>
        <v xml:space="preserve"> </v>
      </c>
      <c r="AB865" s="57"/>
      <c r="AC865" s="132"/>
    </row>
    <row r="866" spans="2:29" s="28" customFormat="1">
      <c r="B866" s="85"/>
      <c r="C866" s="53"/>
      <c r="D866" s="129"/>
      <c r="E866" s="54"/>
      <c r="F866" s="129"/>
      <c r="G866" s="129"/>
      <c r="H866" s="55"/>
      <c r="I866" s="133"/>
      <c r="J866" s="130"/>
      <c r="K866" s="56"/>
      <c r="L866" s="57"/>
      <c r="M866" s="129"/>
      <c r="N866" s="57"/>
      <c r="O866" s="54"/>
      <c r="P866" s="131" t="str">
        <f>IFERROR(VLOOKUP(C866,TD!$B$32:$F$36,2,0)," ")</f>
        <v xml:space="preserve"> </v>
      </c>
      <c r="Q866" s="131" t="str">
        <f>IFERROR(VLOOKUP(C866,TD!$B$32:$F$36,3,0)," ")</f>
        <v xml:space="preserve"> </v>
      </c>
      <c r="R866" s="131" t="str">
        <f>IFERROR(VLOOKUP(C866,TD!$B$32:$F$36,4,0)," ")</f>
        <v xml:space="preserve"> </v>
      </c>
      <c r="S866" s="54"/>
      <c r="T866" s="131" t="str">
        <f>IFERROR(VLOOKUP(S866,TD!$J$33:$K$43,2,0)," ")</f>
        <v xml:space="preserve"> </v>
      </c>
      <c r="U866" s="54" t="str">
        <f t="shared" si="52"/>
        <v xml:space="preserve">- </v>
      </c>
      <c r="V866" s="54"/>
      <c r="W866" s="131" t="str">
        <f>IFERROR(VLOOKUP(V866,TD!$N$33:$O$45,2,0)," ")</f>
        <v xml:space="preserve"> </v>
      </c>
      <c r="X866" s="54" t="str">
        <f t="shared" si="53"/>
        <v xml:space="preserve">_ </v>
      </c>
      <c r="Y866" s="54" t="str">
        <f t="shared" si="54"/>
        <v xml:space="preserve">-  _ </v>
      </c>
      <c r="Z866" s="131" t="str">
        <f t="shared" si="55"/>
        <v xml:space="preserve">   </v>
      </c>
      <c r="AA866" s="131" t="str">
        <f>IFERROR(VLOOKUP(Y866,TD!$K$46:$L$64,2,0)," ")</f>
        <v xml:space="preserve"> </v>
      </c>
      <c r="AB866" s="57"/>
      <c r="AC866" s="132"/>
    </row>
    <row r="867" spans="2:29" s="28" customFormat="1">
      <c r="B867" s="85"/>
      <c r="C867" s="53"/>
      <c r="D867" s="129"/>
      <c r="E867" s="54"/>
      <c r="F867" s="129"/>
      <c r="G867" s="129"/>
      <c r="H867" s="55"/>
      <c r="I867" s="133"/>
      <c r="J867" s="130"/>
      <c r="K867" s="56"/>
      <c r="L867" s="57"/>
      <c r="M867" s="129"/>
      <c r="N867" s="57"/>
      <c r="O867" s="54"/>
      <c r="P867" s="131" t="str">
        <f>IFERROR(VLOOKUP(C867,TD!$B$32:$F$36,2,0)," ")</f>
        <v xml:space="preserve"> </v>
      </c>
      <c r="Q867" s="131" t="str">
        <f>IFERROR(VLOOKUP(C867,TD!$B$32:$F$36,3,0)," ")</f>
        <v xml:space="preserve"> </v>
      </c>
      <c r="R867" s="131" t="str">
        <f>IFERROR(VLOOKUP(C867,TD!$B$32:$F$36,4,0)," ")</f>
        <v xml:space="preserve"> </v>
      </c>
      <c r="S867" s="54"/>
      <c r="T867" s="131" t="str">
        <f>IFERROR(VLOOKUP(S867,TD!$J$33:$K$43,2,0)," ")</f>
        <v xml:space="preserve"> </v>
      </c>
      <c r="U867" s="54" t="str">
        <f t="shared" si="52"/>
        <v xml:space="preserve">- </v>
      </c>
      <c r="V867" s="54"/>
      <c r="W867" s="131" t="str">
        <f>IFERROR(VLOOKUP(V867,TD!$N$33:$O$45,2,0)," ")</f>
        <v xml:space="preserve"> </v>
      </c>
      <c r="X867" s="54" t="str">
        <f t="shared" si="53"/>
        <v xml:space="preserve">_ </v>
      </c>
      <c r="Y867" s="54" t="str">
        <f t="shared" si="54"/>
        <v xml:space="preserve">-  _ </v>
      </c>
      <c r="Z867" s="131" t="str">
        <f t="shared" si="55"/>
        <v xml:space="preserve">   </v>
      </c>
      <c r="AA867" s="131" t="str">
        <f>IFERROR(VLOOKUP(Y867,TD!$K$46:$L$64,2,0)," ")</f>
        <v xml:space="preserve"> </v>
      </c>
      <c r="AB867" s="57"/>
      <c r="AC867" s="132"/>
    </row>
    <row r="868" spans="2:29" s="28" customFormat="1">
      <c r="B868" s="85"/>
      <c r="C868" s="53"/>
      <c r="D868" s="129"/>
      <c r="E868" s="54"/>
      <c r="F868" s="129"/>
      <c r="G868" s="129"/>
      <c r="H868" s="55"/>
      <c r="I868" s="133"/>
      <c r="J868" s="130"/>
      <c r="K868" s="56"/>
      <c r="L868" s="57"/>
      <c r="M868" s="129"/>
      <c r="N868" s="57"/>
      <c r="O868" s="54"/>
      <c r="P868" s="131" t="str">
        <f>IFERROR(VLOOKUP(C868,TD!$B$32:$F$36,2,0)," ")</f>
        <v xml:space="preserve"> </v>
      </c>
      <c r="Q868" s="131" t="str">
        <f>IFERROR(VLOOKUP(C868,TD!$B$32:$F$36,3,0)," ")</f>
        <v xml:space="preserve"> </v>
      </c>
      <c r="R868" s="131" t="str">
        <f>IFERROR(VLOOKUP(C868,TD!$B$32:$F$36,4,0)," ")</f>
        <v xml:space="preserve"> </v>
      </c>
      <c r="S868" s="54"/>
      <c r="T868" s="131" t="str">
        <f>IFERROR(VLOOKUP(S868,TD!$J$33:$K$43,2,0)," ")</f>
        <v xml:space="preserve"> </v>
      </c>
      <c r="U868" s="54" t="str">
        <f t="shared" si="52"/>
        <v xml:space="preserve">- </v>
      </c>
      <c r="V868" s="54"/>
      <c r="W868" s="131" t="str">
        <f>IFERROR(VLOOKUP(V868,TD!$N$33:$O$45,2,0)," ")</f>
        <v xml:space="preserve"> </v>
      </c>
      <c r="X868" s="54" t="str">
        <f t="shared" si="53"/>
        <v xml:space="preserve">_ </v>
      </c>
      <c r="Y868" s="54" t="str">
        <f t="shared" si="54"/>
        <v xml:space="preserve">-  _ </v>
      </c>
      <c r="Z868" s="131" t="str">
        <f t="shared" si="55"/>
        <v xml:space="preserve">   </v>
      </c>
      <c r="AA868" s="131" t="str">
        <f>IFERROR(VLOOKUP(Y868,TD!$K$46:$L$64,2,0)," ")</f>
        <v xml:space="preserve"> </v>
      </c>
      <c r="AB868" s="57"/>
      <c r="AC868" s="132"/>
    </row>
    <row r="869" spans="2:29" s="28" customFormat="1">
      <c r="B869" s="85"/>
      <c r="C869" s="53"/>
      <c r="D869" s="129"/>
      <c r="E869" s="54"/>
      <c r="F869" s="129"/>
      <c r="G869" s="129"/>
      <c r="H869" s="55"/>
      <c r="I869" s="133"/>
      <c r="J869" s="130"/>
      <c r="K869" s="56"/>
      <c r="L869" s="57"/>
      <c r="M869" s="129"/>
      <c r="N869" s="57"/>
      <c r="O869" s="54"/>
      <c r="P869" s="131" t="str">
        <f>IFERROR(VLOOKUP(C869,TD!$B$32:$F$36,2,0)," ")</f>
        <v xml:space="preserve"> </v>
      </c>
      <c r="Q869" s="131" t="str">
        <f>IFERROR(VLOOKUP(C869,TD!$B$32:$F$36,3,0)," ")</f>
        <v xml:space="preserve"> </v>
      </c>
      <c r="R869" s="131" t="str">
        <f>IFERROR(VLOOKUP(C869,TD!$B$32:$F$36,4,0)," ")</f>
        <v xml:space="preserve"> </v>
      </c>
      <c r="S869" s="54"/>
      <c r="T869" s="131" t="str">
        <f>IFERROR(VLOOKUP(S869,TD!$J$33:$K$43,2,0)," ")</f>
        <v xml:space="preserve"> </v>
      </c>
      <c r="U869" s="54" t="str">
        <f t="shared" si="52"/>
        <v xml:space="preserve">- </v>
      </c>
      <c r="V869" s="54"/>
      <c r="W869" s="131" t="str">
        <f>IFERROR(VLOOKUP(V869,TD!$N$33:$O$45,2,0)," ")</f>
        <v xml:space="preserve"> </v>
      </c>
      <c r="X869" s="54" t="str">
        <f t="shared" si="53"/>
        <v xml:space="preserve">_ </v>
      </c>
      <c r="Y869" s="54" t="str">
        <f t="shared" si="54"/>
        <v xml:space="preserve">-  _ </v>
      </c>
      <c r="Z869" s="131" t="str">
        <f t="shared" si="55"/>
        <v xml:space="preserve">   </v>
      </c>
      <c r="AA869" s="131" t="str">
        <f>IFERROR(VLOOKUP(Y869,TD!$K$46:$L$64,2,0)," ")</f>
        <v xml:space="preserve"> </v>
      </c>
      <c r="AB869" s="57"/>
      <c r="AC869" s="132"/>
    </row>
    <row r="870" spans="2:29" s="28" customFormat="1">
      <c r="B870" s="85"/>
      <c r="C870" s="53"/>
      <c r="D870" s="129"/>
      <c r="E870" s="54"/>
      <c r="F870" s="129"/>
      <c r="G870" s="129"/>
      <c r="H870" s="55"/>
      <c r="I870" s="133"/>
      <c r="J870" s="130"/>
      <c r="K870" s="56"/>
      <c r="L870" s="57"/>
      <c r="M870" s="129"/>
      <c r="N870" s="57"/>
      <c r="O870" s="54"/>
      <c r="P870" s="131" t="str">
        <f>IFERROR(VLOOKUP(C870,TD!$B$32:$F$36,2,0)," ")</f>
        <v xml:space="preserve"> </v>
      </c>
      <c r="Q870" s="131" t="str">
        <f>IFERROR(VLOOKUP(C870,TD!$B$32:$F$36,3,0)," ")</f>
        <v xml:space="preserve"> </v>
      </c>
      <c r="R870" s="131" t="str">
        <f>IFERROR(VLOOKUP(C870,TD!$B$32:$F$36,4,0)," ")</f>
        <v xml:space="preserve"> </v>
      </c>
      <c r="S870" s="54"/>
      <c r="T870" s="131" t="str">
        <f>IFERROR(VLOOKUP(S870,TD!$J$33:$K$43,2,0)," ")</f>
        <v xml:space="preserve"> </v>
      </c>
      <c r="U870" s="54" t="str">
        <f t="shared" si="52"/>
        <v xml:space="preserve">- </v>
      </c>
      <c r="V870" s="54"/>
      <c r="W870" s="131" t="str">
        <f>IFERROR(VLOOKUP(V870,TD!$N$33:$O$45,2,0)," ")</f>
        <v xml:space="preserve"> </v>
      </c>
      <c r="X870" s="54" t="str">
        <f t="shared" si="53"/>
        <v xml:space="preserve">_ </v>
      </c>
      <c r="Y870" s="54" t="str">
        <f t="shared" si="54"/>
        <v xml:space="preserve">-  _ </v>
      </c>
      <c r="Z870" s="131" t="str">
        <f t="shared" si="55"/>
        <v xml:space="preserve">   </v>
      </c>
      <c r="AA870" s="131" t="str">
        <f>IFERROR(VLOOKUP(Y870,TD!$K$46:$L$64,2,0)," ")</f>
        <v xml:space="preserve"> </v>
      </c>
      <c r="AB870" s="57"/>
      <c r="AC870" s="132"/>
    </row>
    <row r="871" spans="2:29" s="28" customFormat="1">
      <c r="B871" s="85"/>
      <c r="C871" s="53"/>
      <c r="D871" s="129"/>
      <c r="E871" s="54"/>
      <c r="F871" s="129"/>
      <c r="G871" s="129"/>
      <c r="H871" s="55"/>
      <c r="I871" s="133"/>
      <c r="J871" s="130"/>
      <c r="K871" s="56"/>
      <c r="L871" s="57"/>
      <c r="M871" s="129"/>
      <c r="N871" s="57"/>
      <c r="O871" s="54"/>
      <c r="P871" s="131" t="str">
        <f>IFERROR(VLOOKUP(C871,TD!$B$32:$F$36,2,0)," ")</f>
        <v xml:space="preserve"> </v>
      </c>
      <c r="Q871" s="131" t="str">
        <f>IFERROR(VLOOKUP(C871,TD!$B$32:$F$36,3,0)," ")</f>
        <v xml:space="preserve"> </v>
      </c>
      <c r="R871" s="131" t="str">
        <f>IFERROR(VLOOKUP(C871,TD!$B$32:$F$36,4,0)," ")</f>
        <v xml:space="preserve"> </v>
      </c>
      <c r="S871" s="54"/>
      <c r="T871" s="131" t="str">
        <f>IFERROR(VLOOKUP(S871,TD!$J$33:$K$43,2,0)," ")</f>
        <v xml:space="preserve"> </v>
      </c>
      <c r="U871" s="54" t="str">
        <f t="shared" si="52"/>
        <v xml:space="preserve">- </v>
      </c>
      <c r="V871" s="54"/>
      <c r="W871" s="131" t="str">
        <f>IFERROR(VLOOKUP(V871,TD!$N$33:$O$45,2,0)," ")</f>
        <v xml:space="preserve"> </v>
      </c>
      <c r="X871" s="54" t="str">
        <f t="shared" si="53"/>
        <v xml:space="preserve">_ </v>
      </c>
      <c r="Y871" s="54" t="str">
        <f t="shared" si="54"/>
        <v xml:space="preserve">-  _ </v>
      </c>
      <c r="Z871" s="131" t="str">
        <f t="shared" si="55"/>
        <v xml:space="preserve">   </v>
      </c>
      <c r="AA871" s="131" t="str">
        <f>IFERROR(VLOOKUP(Y871,TD!$K$46:$L$64,2,0)," ")</f>
        <v xml:space="preserve"> </v>
      </c>
      <c r="AB871" s="57"/>
      <c r="AC871" s="132"/>
    </row>
    <row r="872" spans="2:29" s="28" customFormat="1">
      <c r="B872" s="85"/>
      <c r="C872" s="53"/>
      <c r="D872" s="129"/>
      <c r="E872" s="54"/>
      <c r="F872" s="129"/>
      <c r="G872" s="129"/>
      <c r="H872" s="55"/>
      <c r="I872" s="133"/>
      <c r="J872" s="130"/>
      <c r="K872" s="56"/>
      <c r="L872" s="57"/>
      <c r="M872" s="129"/>
      <c r="N872" s="57"/>
      <c r="O872" s="54"/>
      <c r="P872" s="131" t="str">
        <f>IFERROR(VLOOKUP(C872,TD!$B$32:$F$36,2,0)," ")</f>
        <v xml:space="preserve"> </v>
      </c>
      <c r="Q872" s="131" t="str">
        <f>IFERROR(VLOOKUP(C872,TD!$B$32:$F$36,3,0)," ")</f>
        <v xml:space="preserve"> </v>
      </c>
      <c r="R872" s="131" t="str">
        <f>IFERROR(VLOOKUP(C872,TD!$B$32:$F$36,4,0)," ")</f>
        <v xml:space="preserve"> </v>
      </c>
      <c r="S872" s="54"/>
      <c r="T872" s="131" t="str">
        <f>IFERROR(VLOOKUP(S872,TD!$J$33:$K$43,2,0)," ")</f>
        <v xml:space="preserve"> </v>
      </c>
      <c r="U872" s="54" t="str">
        <f t="shared" si="52"/>
        <v xml:space="preserve">- </v>
      </c>
      <c r="V872" s="54"/>
      <c r="W872" s="131" t="str">
        <f>IFERROR(VLOOKUP(V872,TD!$N$33:$O$45,2,0)," ")</f>
        <v xml:space="preserve"> </v>
      </c>
      <c r="X872" s="54" t="str">
        <f t="shared" si="53"/>
        <v xml:space="preserve">_ </v>
      </c>
      <c r="Y872" s="54" t="str">
        <f t="shared" si="54"/>
        <v xml:space="preserve">-  _ </v>
      </c>
      <c r="Z872" s="131" t="str">
        <f t="shared" si="55"/>
        <v xml:space="preserve">   </v>
      </c>
      <c r="AA872" s="131" t="str">
        <f>IFERROR(VLOOKUP(Y872,TD!$K$46:$L$64,2,0)," ")</f>
        <v xml:space="preserve"> </v>
      </c>
      <c r="AB872" s="57"/>
      <c r="AC872" s="132"/>
    </row>
    <row r="873" spans="2:29" s="28" customFormat="1">
      <c r="B873" s="85"/>
      <c r="C873" s="53"/>
      <c r="D873" s="129"/>
      <c r="E873" s="54"/>
      <c r="F873" s="129"/>
      <c r="G873" s="129"/>
      <c r="H873" s="55"/>
      <c r="I873" s="133"/>
      <c r="J873" s="130"/>
      <c r="K873" s="56"/>
      <c r="L873" s="57"/>
      <c r="M873" s="129"/>
      <c r="N873" s="57"/>
      <c r="O873" s="54"/>
      <c r="P873" s="131" t="str">
        <f>IFERROR(VLOOKUP(C873,TD!$B$32:$F$36,2,0)," ")</f>
        <v xml:space="preserve"> </v>
      </c>
      <c r="Q873" s="131" t="str">
        <f>IFERROR(VLOOKUP(C873,TD!$B$32:$F$36,3,0)," ")</f>
        <v xml:space="preserve"> </v>
      </c>
      <c r="R873" s="131" t="str">
        <f>IFERROR(VLOOKUP(C873,TD!$B$32:$F$36,4,0)," ")</f>
        <v xml:space="preserve"> </v>
      </c>
      <c r="S873" s="54"/>
      <c r="T873" s="131" t="str">
        <f>IFERROR(VLOOKUP(S873,TD!$J$33:$K$43,2,0)," ")</f>
        <v xml:space="preserve"> </v>
      </c>
      <c r="U873" s="54" t="str">
        <f t="shared" si="52"/>
        <v xml:space="preserve">- </v>
      </c>
      <c r="V873" s="54"/>
      <c r="W873" s="131" t="str">
        <f>IFERROR(VLOOKUP(V873,TD!$N$33:$O$45,2,0)," ")</f>
        <v xml:space="preserve"> </v>
      </c>
      <c r="X873" s="54" t="str">
        <f t="shared" si="53"/>
        <v xml:space="preserve">_ </v>
      </c>
      <c r="Y873" s="54" t="str">
        <f t="shared" si="54"/>
        <v xml:space="preserve">-  _ </v>
      </c>
      <c r="Z873" s="131" t="str">
        <f t="shared" si="55"/>
        <v xml:space="preserve">   </v>
      </c>
      <c r="AA873" s="131" t="str">
        <f>IFERROR(VLOOKUP(Y873,TD!$K$46:$L$64,2,0)," ")</f>
        <v xml:space="preserve"> </v>
      </c>
      <c r="AB873" s="57"/>
      <c r="AC873" s="132"/>
    </row>
    <row r="874" spans="2:29" s="28" customFormat="1">
      <c r="B874" s="85"/>
      <c r="C874" s="53"/>
      <c r="D874" s="129"/>
      <c r="E874" s="54"/>
      <c r="F874" s="129"/>
      <c r="G874" s="129"/>
      <c r="H874" s="55"/>
      <c r="I874" s="133"/>
      <c r="J874" s="130"/>
      <c r="K874" s="56"/>
      <c r="L874" s="57"/>
      <c r="M874" s="129"/>
      <c r="N874" s="57"/>
      <c r="O874" s="54"/>
      <c r="P874" s="131" t="str">
        <f>IFERROR(VLOOKUP(C874,TD!$B$32:$F$36,2,0)," ")</f>
        <v xml:space="preserve"> </v>
      </c>
      <c r="Q874" s="131" t="str">
        <f>IFERROR(VLOOKUP(C874,TD!$B$32:$F$36,3,0)," ")</f>
        <v xml:space="preserve"> </v>
      </c>
      <c r="R874" s="131" t="str">
        <f>IFERROR(VLOOKUP(C874,TD!$B$32:$F$36,4,0)," ")</f>
        <v xml:space="preserve"> </v>
      </c>
      <c r="S874" s="54"/>
      <c r="T874" s="131" t="str">
        <f>IFERROR(VLOOKUP(S874,TD!$J$33:$K$43,2,0)," ")</f>
        <v xml:space="preserve"> </v>
      </c>
      <c r="U874" s="54" t="str">
        <f t="shared" si="52"/>
        <v xml:space="preserve">- </v>
      </c>
      <c r="V874" s="54"/>
      <c r="W874" s="131" t="str">
        <f>IFERROR(VLOOKUP(V874,TD!$N$33:$O$45,2,0)," ")</f>
        <v xml:space="preserve"> </v>
      </c>
      <c r="X874" s="54" t="str">
        <f t="shared" si="53"/>
        <v xml:space="preserve">_ </v>
      </c>
      <c r="Y874" s="54" t="str">
        <f t="shared" si="54"/>
        <v xml:space="preserve">-  _ </v>
      </c>
      <c r="Z874" s="131" t="str">
        <f t="shared" si="55"/>
        <v xml:space="preserve">   </v>
      </c>
      <c r="AA874" s="131" t="str">
        <f>IFERROR(VLOOKUP(Y874,TD!$K$46:$L$64,2,0)," ")</f>
        <v xml:space="preserve"> </v>
      </c>
      <c r="AB874" s="57"/>
      <c r="AC874" s="132"/>
    </row>
    <row r="875" spans="2:29" s="28" customFormat="1">
      <c r="B875" s="85"/>
      <c r="C875" s="53"/>
      <c r="D875" s="129"/>
      <c r="E875" s="54"/>
      <c r="F875" s="129"/>
      <c r="G875" s="129"/>
      <c r="H875" s="55"/>
      <c r="I875" s="133"/>
      <c r="J875" s="130"/>
      <c r="K875" s="56"/>
      <c r="L875" s="57"/>
      <c r="M875" s="129"/>
      <c r="N875" s="57"/>
      <c r="O875" s="54"/>
      <c r="P875" s="131" t="str">
        <f>IFERROR(VLOOKUP(C875,TD!$B$32:$F$36,2,0)," ")</f>
        <v xml:space="preserve"> </v>
      </c>
      <c r="Q875" s="131" t="str">
        <f>IFERROR(VLOOKUP(C875,TD!$B$32:$F$36,3,0)," ")</f>
        <v xml:space="preserve"> </v>
      </c>
      <c r="R875" s="131" t="str">
        <f>IFERROR(VLOOKUP(C875,TD!$B$32:$F$36,4,0)," ")</f>
        <v xml:space="preserve"> </v>
      </c>
      <c r="S875" s="54"/>
      <c r="T875" s="131" t="str">
        <f>IFERROR(VLOOKUP(S875,TD!$J$33:$K$43,2,0)," ")</f>
        <v xml:space="preserve"> </v>
      </c>
      <c r="U875" s="54" t="str">
        <f t="shared" si="52"/>
        <v xml:space="preserve">- </v>
      </c>
      <c r="V875" s="54"/>
      <c r="W875" s="131" t="str">
        <f>IFERROR(VLOOKUP(V875,TD!$N$33:$O$45,2,0)," ")</f>
        <v xml:space="preserve"> </v>
      </c>
      <c r="X875" s="54" t="str">
        <f t="shared" si="53"/>
        <v xml:space="preserve">_ </v>
      </c>
      <c r="Y875" s="54" t="str">
        <f t="shared" si="54"/>
        <v xml:space="preserve">-  _ </v>
      </c>
      <c r="Z875" s="131" t="str">
        <f t="shared" si="55"/>
        <v xml:space="preserve">   </v>
      </c>
      <c r="AA875" s="131" t="str">
        <f>IFERROR(VLOOKUP(Y875,TD!$K$46:$L$64,2,0)," ")</f>
        <v xml:space="preserve"> </v>
      </c>
      <c r="AB875" s="57"/>
      <c r="AC875" s="132"/>
    </row>
    <row r="876" spans="2:29" s="28" customFormat="1">
      <c r="B876" s="85"/>
      <c r="C876" s="53"/>
      <c r="D876" s="129"/>
      <c r="E876" s="54"/>
      <c r="F876" s="129"/>
      <c r="G876" s="129"/>
      <c r="H876" s="55"/>
      <c r="I876" s="133"/>
      <c r="J876" s="130"/>
      <c r="K876" s="56"/>
      <c r="L876" s="57"/>
      <c r="M876" s="129"/>
      <c r="N876" s="57"/>
      <c r="O876" s="54"/>
      <c r="P876" s="131" t="str">
        <f>IFERROR(VLOOKUP(C876,TD!$B$32:$F$36,2,0)," ")</f>
        <v xml:space="preserve"> </v>
      </c>
      <c r="Q876" s="131" t="str">
        <f>IFERROR(VLOOKUP(C876,TD!$B$32:$F$36,3,0)," ")</f>
        <v xml:space="preserve"> </v>
      </c>
      <c r="R876" s="131" t="str">
        <f>IFERROR(VLOOKUP(C876,TD!$B$32:$F$36,4,0)," ")</f>
        <v xml:space="preserve"> </v>
      </c>
      <c r="S876" s="54"/>
      <c r="T876" s="131" t="str">
        <f>IFERROR(VLOOKUP(S876,TD!$J$33:$K$43,2,0)," ")</f>
        <v xml:space="preserve"> </v>
      </c>
      <c r="U876" s="54" t="str">
        <f t="shared" si="52"/>
        <v xml:space="preserve">- </v>
      </c>
      <c r="V876" s="54"/>
      <c r="W876" s="131" t="str">
        <f>IFERROR(VLOOKUP(V876,TD!$N$33:$O$45,2,0)," ")</f>
        <v xml:space="preserve"> </v>
      </c>
      <c r="X876" s="54" t="str">
        <f t="shared" si="53"/>
        <v xml:space="preserve">_ </v>
      </c>
      <c r="Y876" s="54" t="str">
        <f t="shared" si="54"/>
        <v xml:space="preserve">-  _ </v>
      </c>
      <c r="Z876" s="131" t="str">
        <f t="shared" si="55"/>
        <v xml:space="preserve">   </v>
      </c>
      <c r="AA876" s="131" t="str">
        <f>IFERROR(VLOOKUP(Y876,TD!$K$46:$L$64,2,0)," ")</f>
        <v xml:space="preserve"> </v>
      </c>
      <c r="AB876" s="57"/>
      <c r="AC876" s="132"/>
    </row>
    <row r="877" spans="2:29" s="28" customFormat="1">
      <c r="B877" s="85"/>
      <c r="C877" s="53"/>
      <c r="D877" s="129"/>
      <c r="E877" s="54"/>
      <c r="F877" s="129"/>
      <c r="G877" s="129"/>
      <c r="H877" s="55"/>
      <c r="I877" s="133"/>
      <c r="J877" s="130"/>
      <c r="K877" s="56"/>
      <c r="L877" s="57"/>
      <c r="M877" s="129"/>
      <c r="N877" s="57"/>
      <c r="O877" s="54"/>
      <c r="P877" s="131" t="str">
        <f>IFERROR(VLOOKUP(C877,TD!$B$32:$F$36,2,0)," ")</f>
        <v xml:space="preserve"> </v>
      </c>
      <c r="Q877" s="131" t="str">
        <f>IFERROR(VLOOKUP(C877,TD!$B$32:$F$36,3,0)," ")</f>
        <v xml:space="preserve"> </v>
      </c>
      <c r="R877" s="131" t="str">
        <f>IFERROR(VLOOKUP(C877,TD!$B$32:$F$36,4,0)," ")</f>
        <v xml:space="preserve"> </v>
      </c>
      <c r="S877" s="54"/>
      <c r="T877" s="131" t="str">
        <f>IFERROR(VLOOKUP(S877,TD!$J$33:$K$43,2,0)," ")</f>
        <v xml:space="preserve"> </v>
      </c>
      <c r="U877" s="54" t="str">
        <f t="shared" si="52"/>
        <v xml:space="preserve">- </v>
      </c>
      <c r="V877" s="54"/>
      <c r="W877" s="131" t="str">
        <f>IFERROR(VLOOKUP(V877,TD!$N$33:$O$45,2,0)," ")</f>
        <v xml:space="preserve"> </v>
      </c>
      <c r="X877" s="54" t="str">
        <f t="shared" si="53"/>
        <v xml:space="preserve">_ </v>
      </c>
      <c r="Y877" s="54" t="str">
        <f t="shared" si="54"/>
        <v xml:space="preserve">-  _ </v>
      </c>
      <c r="Z877" s="131" t="str">
        <f t="shared" si="55"/>
        <v xml:space="preserve">   </v>
      </c>
      <c r="AA877" s="131" t="str">
        <f>IFERROR(VLOOKUP(Y877,TD!$K$46:$L$64,2,0)," ")</f>
        <v xml:space="preserve"> </v>
      </c>
      <c r="AB877" s="57"/>
      <c r="AC877" s="132"/>
    </row>
    <row r="878" spans="2:29" s="28" customFormat="1">
      <c r="B878" s="85"/>
      <c r="C878" s="53"/>
      <c r="D878" s="129"/>
      <c r="E878" s="54"/>
      <c r="F878" s="129"/>
      <c r="G878" s="129"/>
      <c r="H878" s="55"/>
      <c r="I878" s="133"/>
      <c r="J878" s="130"/>
      <c r="K878" s="56"/>
      <c r="L878" s="57"/>
      <c r="M878" s="129"/>
      <c r="N878" s="57"/>
      <c r="O878" s="54"/>
      <c r="P878" s="131" t="str">
        <f>IFERROR(VLOOKUP(C878,TD!$B$32:$F$36,2,0)," ")</f>
        <v xml:space="preserve"> </v>
      </c>
      <c r="Q878" s="131" t="str">
        <f>IFERROR(VLOOKUP(C878,TD!$B$32:$F$36,3,0)," ")</f>
        <v xml:space="preserve"> </v>
      </c>
      <c r="R878" s="131" t="str">
        <f>IFERROR(VLOOKUP(C878,TD!$B$32:$F$36,4,0)," ")</f>
        <v xml:space="preserve"> </v>
      </c>
      <c r="S878" s="54"/>
      <c r="T878" s="131" t="str">
        <f>IFERROR(VLOOKUP(S878,TD!$J$33:$K$43,2,0)," ")</f>
        <v xml:space="preserve"> </v>
      </c>
      <c r="U878" s="54" t="str">
        <f t="shared" si="52"/>
        <v xml:space="preserve">- </v>
      </c>
      <c r="V878" s="54"/>
      <c r="W878" s="131" t="str">
        <f>IFERROR(VLOOKUP(V878,TD!$N$33:$O$45,2,0)," ")</f>
        <v xml:space="preserve"> </v>
      </c>
      <c r="X878" s="54" t="str">
        <f t="shared" si="53"/>
        <v xml:space="preserve">_ </v>
      </c>
      <c r="Y878" s="54" t="str">
        <f t="shared" si="54"/>
        <v xml:space="preserve">-  _ </v>
      </c>
      <c r="Z878" s="131" t="str">
        <f t="shared" si="55"/>
        <v xml:space="preserve">   </v>
      </c>
      <c r="AA878" s="131" t="str">
        <f>IFERROR(VLOOKUP(Y878,TD!$K$46:$L$64,2,0)," ")</f>
        <v xml:space="preserve"> </v>
      </c>
      <c r="AB878" s="57"/>
      <c r="AC878" s="132"/>
    </row>
    <row r="879" spans="2:29" s="28" customFormat="1">
      <c r="B879" s="85"/>
      <c r="C879" s="53"/>
      <c r="D879" s="129"/>
      <c r="E879" s="54"/>
      <c r="F879" s="129"/>
      <c r="G879" s="129"/>
      <c r="H879" s="55"/>
      <c r="I879" s="133"/>
      <c r="J879" s="130"/>
      <c r="K879" s="56"/>
      <c r="L879" s="57"/>
      <c r="M879" s="129"/>
      <c r="N879" s="57"/>
      <c r="O879" s="54"/>
      <c r="P879" s="131" t="str">
        <f>IFERROR(VLOOKUP(C879,TD!$B$32:$F$36,2,0)," ")</f>
        <v xml:space="preserve"> </v>
      </c>
      <c r="Q879" s="131" t="str">
        <f>IFERROR(VLOOKUP(C879,TD!$B$32:$F$36,3,0)," ")</f>
        <v xml:space="preserve"> </v>
      </c>
      <c r="R879" s="131" t="str">
        <f>IFERROR(VLOOKUP(C879,TD!$B$32:$F$36,4,0)," ")</f>
        <v xml:space="preserve"> </v>
      </c>
      <c r="S879" s="54"/>
      <c r="T879" s="131" t="str">
        <f>IFERROR(VLOOKUP(S879,TD!$J$33:$K$43,2,0)," ")</f>
        <v xml:space="preserve"> </v>
      </c>
      <c r="U879" s="54" t="str">
        <f t="shared" si="52"/>
        <v xml:space="preserve">- </v>
      </c>
      <c r="V879" s="54"/>
      <c r="W879" s="131" t="str">
        <f>IFERROR(VLOOKUP(V879,TD!$N$33:$O$45,2,0)," ")</f>
        <v xml:space="preserve"> </v>
      </c>
      <c r="X879" s="54" t="str">
        <f t="shared" si="53"/>
        <v xml:space="preserve">_ </v>
      </c>
      <c r="Y879" s="54" t="str">
        <f t="shared" si="54"/>
        <v xml:space="preserve">-  _ </v>
      </c>
      <c r="Z879" s="131" t="str">
        <f t="shared" si="55"/>
        <v xml:space="preserve">   </v>
      </c>
      <c r="AA879" s="131" t="str">
        <f>IFERROR(VLOOKUP(Y879,TD!$K$46:$L$64,2,0)," ")</f>
        <v xml:space="preserve"> </v>
      </c>
      <c r="AB879" s="57"/>
      <c r="AC879" s="132"/>
    </row>
    <row r="880" spans="2:29" s="28" customFormat="1">
      <c r="B880" s="85"/>
      <c r="C880" s="53"/>
      <c r="D880" s="129"/>
      <c r="E880" s="54"/>
      <c r="F880" s="129"/>
      <c r="G880" s="129"/>
      <c r="H880" s="55"/>
      <c r="I880" s="133"/>
      <c r="J880" s="130"/>
      <c r="K880" s="56"/>
      <c r="L880" s="57"/>
      <c r="M880" s="129"/>
      <c r="N880" s="57"/>
      <c r="O880" s="54"/>
      <c r="P880" s="131" t="str">
        <f>IFERROR(VLOOKUP(C880,TD!$B$32:$F$36,2,0)," ")</f>
        <v xml:space="preserve"> </v>
      </c>
      <c r="Q880" s="131" t="str">
        <f>IFERROR(VLOOKUP(C880,TD!$B$32:$F$36,3,0)," ")</f>
        <v xml:space="preserve"> </v>
      </c>
      <c r="R880" s="131" t="str">
        <f>IFERROR(VLOOKUP(C880,TD!$B$32:$F$36,4,0)," ")</f>
        <v xml:space="preserve"> </v>
      </c>
      <c r="S880" s="54"/>
      <c r="T880" s="131" t="str">
        <f>IFERROR(VLOOKUP(S880,TD!$J$33:$K$43,2,0)," ")</f>
        <v xml:space="preserve"> </v>
      </c>
      <c r="U880" s="54" t="str">
        <f t="shared" si="52"/>
        <v xml:space="preserve">- </v>
      </c>
      <c r="V880" s="54"/>
      <c r="W880" s="131" t="str">
        <f>IFERROR(VLOOKUP(V880,TD!$N$33:$O$45,2,0)," ")</f>
        <v xml:space="preserve"> </v>
      </c>
      <c r="X880" s="54" t="str">
        <f t="shared" si="53"/>
        <v xml:space="preserve">_ </v>
      </c>
      <c r="Y880" s="54" t="str">
        <f t="shared" si="54"/>
        <v xml:space="preserve">-  _ </v>
      </c>
      <c r="Z880" s="131" t="str">
        <f t="shared" si="55"/>
        <v xml:space="preserve">   </v>
      </c>
      <c r="AA880" s="131" t="str">
        <f>IFERROR(VLOOKUP(Y880,TD!$K$46:$L$64,2,0)," ")</f>
        <v xml:space="preserve"> </v>
      </c>
      <c r="AB880" s="57"/>
      <c r="AC880" s="132"/>
    </row>
    <row r="881" spans="2:29" s="28" customFormat="1">
      <c r="B881" s="85"/>
      <c r="C881" s="53"/>
      <c r="D881" s="129"/>
      <c r="E881" s="54"/>
      <c r="F881" s="129"/>
      <c r="G881" s="129"/>
      <c r="H881" s="55"/>
      <c r="I881" s="133"/>
      <c r="J881" s="130"/>
      <c r="K881" s="56"/>
      <c r="L881" s="57"/>
      <c r="M881" s="129"/>
      <c r="N881" s="57"/>
      <c r="O881" s="54"/>
      <c r="P881" s="131" t="str">
        <f>IFERROR(VLOOKUP(C881,TD!$B$32:$F$36,2,0)," ")</f>
        <v xml:space="preserve"> </v>
      </c>
      <c r="Q881" s="131" t="str">
        <f>IFERROR(VLOOKUP(C881,TD!$B$32:$F$36,3,0)," ")</f>
        <v xml:space="preserve"> </v>
      </c>
      <c r="R881" s="131" t="str">
        <f>IFERROR(VLOOKUP(C881,TD!$B$32:$F$36,4,0)," ")</f>
        <v xml:space="preserve"> </v>
      </c>
      <c r="S881" s="54"/>
      <c r="T881" s="131" t="str">
        <f>IFERROR(VLOOKUP(S881,TD!$J$33:$K$43,2,0)," ")</f>
        <v xml:space="preserve"> </v>
      </c>
      <c r="U881" s="54" t="str">
        <f t="shared" si="52"/>
        <v xml:space="preserve">- </v>
      </c>
      <c r="V881" s="54"/>
      <c r="W881" s="131" t="str">
        <f>IFERROR(VLOOKUP(V881,TD!$N$33:$O$45,2,0)," ")</f>
        <v xml:space="preserve"> </v>
      </c>
      <c r="X881" s="54" t="str">
        <f t="shared" si="53"/>
        <v xml:space="preserve">_ </v>
      </c>
      <c r="Y881" s="54" t="str">
        <f t="shared" si="54"/>
        <v xml:space="preserve">-  _ </v>
      </c>
      <c r="Z881" s="131" t="str">
        <f t="shared" si="55"/>
        <v xml:space="preserve">   </v>
      </c>
      <c r="AA881" s="131" t="str">
        <f>IFERROR(VLOOKUP(Y881,TD!$K$46:$L$64,2,0)," ")</f>
        <v xml:space="preserve"> </v>
      </c>
      <c r="AB881" s="57"/>
      <c r="AC881" s="132"/>
    </row>
    <row r="882" spans="2:29" s="28" customFormat="1">
      <c r="B882" s="85"/>
      <c r="C882" s="53"/>
      <c r="D882" s="129"/>
      <c r="E882" s="54"/>
      <c r="F882" s="129"/>
      <c r="G882" s="129"/>
      <c r="H882" s="55"/>
      <c r="I882" s="133"/>
      <c r="J882" s="130"/>
      <c r="K882" s="56"/>
      <c r="L882" s="57"/>
      <c r="M882" s="129"/>
      <c r="N882" s="57"/>
      <c r="O882" s="54"/>
      <c r="P882" s="131" t="str">
        <f>IFERROR(VLOOKUP(C882,TD!$B$32:$F$36,2,0)," ")</f>
        <v xml:space="preserve"> </v>
      </c>
      <c r="Q882" s="131" t="str">
        <f>IFERROR(VLOOKUP(C882,TD!$B$32:$F$36,3,0)," ")</f>
        <v xml:space="preserve"> </v>
      </c>
      <c r="R882" s="131" t="str">
        <f>IFERROR(VLOOKUP(C882,TD!$B$32:$F$36,4,0)," ")</f>
        <v xml:space="preserve"> </v>
      </c>
      <c r="S882" s="54"/>
      <c r="T882" s="131" t="str">
        <f>IFERROR(VLOOKUP(S882,TD!$J$33:$K$43,2,0)," ")</f>
        <v xml:space="preserve"> </v>
      </c>
      <c r="U882" s="54" t="str">
        <f t="shared" si="52"/>
        <v xml:space="preserve">- </v>
      </c>
      <c r="V882" s="54"/>
      <c r="W882" s="131" t="str">
        <f>IFERROR(VLOOKUP(V882,TD!$N$33:$O$45,2,0)," ")</f>
        <v xml:space="preserve"> </v>
      </c>
      <c r="X882" s="54" t="str">
        <f t="shared" si="53"/>
        <v xml:space="preserve">_ </v>
      </c>
      <c r="Y882" s="54" t="str">
        <f t="shared" si="54"/>
        <v xml:space="preserve">-  _ </v>
      </c>
      <c r="Z882" s="131" t="str">
        <f t="shared" si="55"/>
        <v xml:space="preserve">   </v>
      </c>
      <c r="AA882" s="131" t="str">
        <f>IFERROR(VLOOKUP(Y882,TD!$K$46:$L$64,2,0)," ")</f>
        <v xml:space="preserve"> </v>
      </c>
      <c r="AB882" s="57"/>
      <c r="AC882" s="132"/>
    </row>
    <row r="883" spans="2:29" s="28" customFormat="1">
      <c r="B883" s="85"/>
      <c r="C883" s="53"/>
      <c r="D883" s="129"/>
      <c r="E883" s="54"/>
      <c r="F883" s="129"/>
      <c r="G883" s="129"/>
      <c r="H883" s="55"/>
      <c r="I883" s="133"/>
      <c r="J883" s="130"/>
      <c r="K883" s="56"/>
      <c r="L883" s="57"/>
      <c r="M883" s="129"/>
      <c r="N883" s="57"/>
      <c r="O883" s="54"/>
      <c r="P883" s="131" t="str">
        <f>IFERROR(VLOOKUP(C883,TD!$B$32:$F$36,2,0)," ")</f>
        <v xml:space="preserve"> </v>
      </c>
      <c r="Q883" s="131" t="str">
        <f>IFERROR(VLOOKUP(C883,TD!$B$32:$F$36,3,0)," ")</f>
        <v xml:space="preserve"> </v>
      </c>
      <c r="R883" s="131" t="str">
        <f>IFERROR(VLOOKUP(C883,TD!$B$32:$F$36,4,0)," ")</f>
        <v xml:space="preserve"> </v>
      </c>
      <c r="S883" s="54"/>
      <c r="T883" s="131" t="str">
        <f>IFERROR(VLOOKUP(S883,TD!$J$33:$K$43,2,0)," ")</f>
        <v xml:space="preserve"> </v>
      </c>
      <c r="U883" s="54" t="str">
        <f t="shared" si="52"/>
        <v xml:space="preserve">- </v>
      </c>
      <c r="V883" s="54"/>
      <c r="W883" s="131" t="str">
        <f>IFERROR(VLOOKUP(V883,TD!$N$33:$O$45,2,0)," ")</f>
        <v xml:space="preserve"> </v>
      </c>
      <c r="X883" s="54" t="str">
        <f t="shared" si="53"/>
        <v xml:space="preserve">_ </v>
      </c>
      <c r="Y883" s="54" t="str">
        <f t="shared" si="54"/>
        <v xml:space="preserve">-  _ </v>
      </c>
      <c r="Z883" s="131" t="str">
        <f t="shared" si="55"/>
        <v xml:space="preserve">   </v>
      </c>
      <c r="AA883" s="131" t="str">
        <f>IFERROR(VLOOKUP(Y883,TD!$K$46:$L$64,2,0)," ")</f>
        <v xml:space="preserve"> </v>
      </c>
      <c r="AB883" s="57"/>
      <c r="AC883" s="132"/>
    </row>
    <row r="884" spans="2:29" s="28" customFormat="1">
      <c r="B884" s="85"/>
      <c r="C884" s="53"/>
      <c r="D884" s="129"/>
      <c r="E884" s="54"/>
      <c r="F884" s="129"/>
      <c r="G884" s="129"/>
      <c r="H884" s="55"/>
      <c r="I884" s="133"/>
      <c r="J884" s="130"/>
      <c r="K884" s="56"/>
      <c r="L884" s="57"/>
      <c r="M884" s="129"/>
      <c r="N884" s="57"/>
      <c r="O884" s="54"/>
      <c r="P884" s="131" t="str">
        <f>IFERROR(VLOOKUP(C884,TD!$B$32:$F$36,2,0)," ")</f>
        <v xml:space="preserve"> </v>
      </c>
      <c r="Q884" s="131" t="str">
        <f>IFERROR(VLOOKUP(C884,TD!$B$32:$F$36,3,0)," ")</f>
        <v xml:space="preserve"> </v>
      </c>
      <c r="R884" s="131" t="str">
        <f>IFERROR(VLOOKUP(C884,TD!$B$32:$F$36,4,0)," ")</f>
        <v xml:space="preserve"> </v>
      </c>
      <c r="S884" s="54"/>
      <c r="T884" s="131" t="str">
        <f>IFERROR(VLOOKUP(S884,TD!$J$33:$K$43,2,0)," ")</f>
        <v xml:space="preserve"> </v>
      </c>
      <c r="U884" s="54" t="str">
        <f t="shared" si="52"/>
        <v xml:space="preserve">- </v>
      </c>
      <c r="V884" s="54"/>
      <c r="W884" s="131" t="str">
        <f>IFERROR(VLOOKUP(V884,TD!$N$33:$O$45,2,0)," ")</f>
        <v xml:space="preserve"> </v>
      </c>
      <c r="X884" s="54" t="str">
        <f t="shared" si="53"/>
        <v xml:space="preserve">_ </v>
      </c>
      <c r="Y884" s="54" t="str">
        <f t="shared" si="54"/>
        <v xml:space="preserve">-  _ </v>
      </c>
      <c r="Z884" s="131" t="str">
        <f t="shared" si="55"/>
        <v xml:space="preserve">   </v>
      </c>
      <c r="AA884" s="131" t="str">
        <f>IFERROR(VLOOKUP(Y884,TD!$K$46:$L$64,2,0)," ")</f>
        <v xml:space="preserve"> </v>
      </c>
      <c r="AB884" s="57"/>
      <c r="AC884" s="132"/>
    </row>
    <row r="885" spans="2:29" s="28" customFormat="1">
      <c r="B885" s="85"/>
      <c r="C885" s="53"/>
      <c r="D885" s="129"/>
      <c r="E885" s="54"/>
      <c r="F885" s="129"/>
      <c r="G885" s="129"/>
      <c r="H885" s="55"/>
      <c r="I885" s="133"/>
      <c r="J885" s="130"/>
      <c r="K885" s="56"/>
      <c r="L885" s="57"/>
      <c r="M885" s="129"/>
      <c r="N885" s="57"/>
      <c r="O885" s="54"/>
      <c r="P885" s="131" t="str">
        <f>IFERROR(VLOOKUP(C885,TD!$B$32:$F$36,2,0)," ")</f>
        <v xml:space="preserve"> </v>
      </c>
      <c r="Q885" s="131" t="str">
        <f>IFERROR(VLOOKUP(C885,TD!$B$32:$F$36,3,0)," ")</f>
        <v xml:space="preserve"> </v>
      </c>
      <c r="R885" s="131" t="str">
        <f>IFERROR(VLOOKUP(C885,TD!$B$32:$F$36,4,0)," ")</f>
        <v xml:space="preserve"> </v>
      </c>
      <c r="S885" s="54"/>
      <c r="T885" s="131" t="str">
        <f>IFERROR(VLOOKUP(S885,TD!$J$33:$K$43,2,0)," ")</f>
        <v xml:space="preserve"> </v>
      </c>
      <c r="U885" s="54" t="str">
        <f t="shared" si="52"/>
        <v xml:space="preserve">- </v>
      </c>
      <c r="V885" s="54"/>
      <c r="W885" s="131" t="str">
        <f>IFERROR(VLOOKUP(V885,TD!$N$33:$O$45,2,0)," ")</f>
        <v xml:space="preserve"> </v>
      </c>
      <c r="X885" s="54" t="str">
        <f t="shared" si="53"/>
        <v xml:space="preserve">_ </v>
      </c>
      <c r="Y885" s="54" t="str">
        <f t="shared" si="54"/>
        <v xml:space="preserve">-  _ </v>
      </c>
      <c r="Z885" s="131" t="str">
        <f t="shared" si="55"/>
        <v xml:space="preserve">   </v>
      </c>
      <c r="AA885" s="131" t="str">
        <f>IFERROR(VLOOKUP(Y885,TD!$K$46:$L$64,2,0)," ")</f>
        <v xml:space="preserve"> </v>
      </c>
      <c r="AB885" s="57"/>
      <c r="AC885" s="132"/>
    </row>
    <row r="886" spans="2:29" s="28" customFormat="1">
      <c r="B886" s="85"/>
      <c r="C886" s="53"/>
      <c r="D886" s="129"/>
      <c r="E886" s="54"/>
      <c r="F886" s="129"/>
      <c r="G886" s="129"/>
      <c r="H886" s="55"/>
      <c r="I886" s="133"/>
      <c r="J886" s="130"/>
      <c r="K886" s="56"/>
      <c r="L886" s="57"/>
      <c r="M886" s="129"/>
      <c r="N886" s="57"/>
      <c r="O886" s="54"/>
      <c r="P886" s="131" t="str">
        <f>IFERROR(VLOOKUP(C886,TD!$B$32:$F$36,2,0)," ")</f>
        <v xml:space="preserve"> </v>
      </c>
      <c r="Q886" s="131" t="str">
        <f>IFERROR(VLOOKUP(C886,TD!$B$32:$F$36,3,0)," ")</f>
        <v xml:space="preserve"> </v>
      </c>
      <c r="R886" s="131" t="str">
        <f>IFERROR(VLOOKUP(C886,TD!$B$32:$F$36,4,0)," ")</f>
        <v xml:space="preserve"> </v>
      </c>
      <c r="S886" s="54"/>
      <c r="T886" s="131" t="str">
        <f>IFERROR(VLOOKUP(S886,TD!$J$33:$K$43,2,0)," ")</f>
        <v xml:space="preserve"> </v>
      </c>
      <c r="U886" s="54" t="str">
        <f t="shared" si="52"/>
        <v xml:space="preserve">- </v>
      </c>
      <c r="V886" s="54"/>
      <c r="W886" s="131" t="str">
        <f>IFERROR(VLOOKUP(V886,TD!$N$33:$O$45,2,0)," ")</f>
        <v xml:space="preserve"> </v>
      </c>
      <c r="X886" s="54" t="str">
        <f t="shared" si="53"/>
        <v xml:space="preserve">_ </v>
      </c>
      <c r="Y886" s="54" t="str">
        <f t="shared" si="54"/>
        <v xml:space="preserve">-  _ </v>
      </c>
      <c r="Z886" s="131" t="str">
        <f t="shared" si="55"/>
        <v xml:space="preserve">   </v>
      </c>
      <c r="AA886" s="131" t="str">
        <f>IFERROR(VLOOKUP(Y886,TD!$K$46:$L$64,2,0)," ")</f>
        <v xml:space="preserve"> </v>
      </c>
      <c r="AB886" s="57"/>
      <c r="AC886" s="132"/>
    </row>
    <row r="887" spans="2:29" s="28" customFormat="1">
      <c r="B887" s="85"/>
      <c r="C887" s="53"/>
      <c r="D887" s="129"/>
      <c r="E887" s="54"/>
      <c r="F887" s="129"/>
      <c r="G887" s="129"/>
      <c r="H887" s="55"/>
      <c r="I887" s="133"/>
      <c r="J887" s="130"/>
      <c r="K887" s="56"/>
      <c r="L887" s="57"/>
      <c r="M887" s="129"/>
      <c r="N887" s="57"/>
      <c r="O887" s="54"/>
      <c r="P887" s="131" t="str">
        <f>IFERROR(VLOOKUP(C887,TD!$B$32:$F$36,2,0)," ")</f>
        <v xml:space="preserve"> </v>
      </c>
      <c r="Q887" s="131" t="str">
        <f>IFERROR(VLOOKUP(C887,TD!$B$32:$F$36,3,0)," ")</f>
        <v xml:space="preserve"> </v>
      </c>
      <c r="R887" s="131" t="str">
        <f>IFERROR(VLOOKUP(C887,TD!$B$32:$F$36,4,0)," ")</f>
        <v xml:space="preserve"> </v>
      </c>
      <c r="S887" s="54"/>
      <c r="T887" s="131" t="str">
        <f>IFERROR(VLOOKUP(S887,TD!$J$33:$K$43,2,0)," ")</f>
        <v xml:space="preserve"> </v>
      </c>
      <c r="U887" s="54" t="str">
        <f t="shared" si="52"/>
        <v xml:space="preserve">- </v>
      </c>
      <c r="V887" s="54"/>
      <c r="W887" s="131" t="str">
        <f>IFERROR(VLOOKUP(V887,TD!$N$33:$O$45,2,0)," ")</f>
        <v xml:space="preserve"> </v>
      </c>
      <c r="X887" s="54" t="str">
        <f t="shared" si="53"/>
        <v xml:space="preserve">_ </v>
      </c>
      <c r="Y887" s="54" t="str">
        <f t="shared" si="54"/>
        <v xml:space="preserve">-  _ </v>
      </c>
      <c r="Z887" s="131" t="str">
        <f t="shared" si="55"/>
        <v xml:space="preserve">   </v>
      </c>
      <c r="AA887" s="131" t="str">
        <f>IFERROR(VLOOKUP(Y887,TD!$K$46:$L$64,2,0)," ")</f>
        <v xml:space="preserve"> </v>
      </c>
      <c r="AB887" s="57"/>
      <c r="AC887" s="132"/>
    </row>
    <row r="888" spans="2:29" s="28" customFormat="1">
      <c r="B888" s="85"/>
      <c r="C888" s="53"/>
      <c r="D888" s="129"/>
      <c r="E888" s="54"/>
      <c r="F888" s="129"/>
      <c r="G888" s="129"/>
      <c r="H888" s="55"/>
      <c r="I888" s="133"/>
      <c r="J888" s="130"/>
      <c r="K888" s="56"/>
      <c r="L888" s="57"/>
      <c r="M888" s="129"/>
      <c r="N888" s="57"/>
      <c r="O888" s="54"/>
      <c r="P888" s="131" t="str">
        <f>IFERROR(VLOOKUP(C888,TD!$B$32:$F$36,2,0)," ")</f>
        <v xml:space="preserve"> </v>
      </c>
      <c r="Q888" s="131" t="str">
        <f>IFERROR(VLOOKUP(C888,TD!$B$32:$F$36,3,0)," ")</f>
        <v xml:space="preserve"> </v>
      </c>
      <c r="R888" s="131" t="str">
        <f>IFERROR(VLOOKUP(C888,TD!$B$32:$F$36,4,0)," ")</f>
        <v xml:space="preserve"> </v>
      </c>
      <c r="S888" s="54"/>
      <c r="T888" s="131" t="str">
        <f>IFERROR(VLOOKUP(S888,TD!$J$33:$K$43,2,0)," ")</f>
        <v xml:space="preserve"> </v>
      </c>
      <c r="U888" s="54" t="str">
        <f t="shared" si="52"/>
        <v xml:space="preserve">- </v>
      </c>
      <c r="V888" s="54"/>
      <c r="W888" s="131" t="str">
        <f>IFERROR(VLOOKUP(V888,TD!$N$33:$O$45,2,0)," ")</f>
        <v xml:space="preserve"> </v>
      </c>
      <c r="X888" s="54" t="str">
        <f t="shared" si="53"/>
        <v xml:space="preserve">_ </v>
      </c>
      <c r="Y888" s="54" t="str">
        <f t="shared" si="54"/>
        <v xml:space="preserve">-  _ </v>
      </c>
      <c r="Z888" s="131" t="str">
        <f t="shared" si="55"/>
        <v xml:space="preserve">   </v>
      </c>
      <c r="AA888" s="131" t="str">
        <f>IFERROR(VLOOKUP(Y888,TD!$K$46:$L$64,2,0)," ")</f>
        <v xml:space="preserve"> </v>
      </c>
      <c r="AB888" s="57"/>
      <c r="AC888" s="132"/>
    </row>
    <row r="889" spans="2:29" s="28" customFormat="1">
      <c r="B889" s="85"/>
      <c r="C889" s="53"/>
      <c r="D889" s="129"/>
      <c r="E889" s="54"/>
      <c r="F889" s="129"/>
      <c r="G889" s="129"/>
      <c r="H889" s="55"/>
      <c r="I889" s="133"/>
      <c r="J889" s="130"/>
      <c r="K889" s="56"/>
      <c r="L889" s="57"/>
      <c r="M889" s="129"/>
      <c r="N889" s="57"/>
      <c r="O889" s="54"/>
      <c r="P889" s="131" t="str">
        <f>IFERROR(VLOOKUP(C889,TD!$B$32:$F$36,2,0)," ")</f>
        <v xml:space="preserve"> </v>
      </c>
      <c r="Q889" s="131" t="str">
        <f>IFERROR(VLOOKUP(C889,TD!$B$32:$F$36,3,0)," ")</f>
        <v xml:space="preserve"> </v>
      </c>
      <c r="R889" s="131" t="str">
        <f>IFERROR(VLOOKUP(C889,TD!$B$32:$F$36,4,0)," ")</f>
        <v xml:space="preserve"> </v>
      </c>
      <c r="S889" s="54"/>
      <c r="T889" s="131" t="str">
        <f>IFERROR(VLOOKUP(S889,TD!$J$33:$K$43,2,0)," ")</f>
        <v xml:space="preserve"> </v>
      </c>
      <c r="U889" s="54" t="str">
        <f t="shared" si="52"/>
        <v xml:space="preserve">- </v>
      </c>
      <c r="V889" s="54"/>
      <c r="W889" s="131" t="str">
        <f>IFERROR(VLOOKUP(V889,TD!$N$33:$O$45,2,0)," ")</f>
        <v xml:space="preserve"> </v>
      </c>
      <c r="X889" s="54" t="str">
        <f t="shared" si="53"/>
        <v xml:space="preserve">_ </v>
      </c>
      <c r="Y889" s="54" t="str">
        <f t="shared" si="54"/>
        <v xml:space="preserve">-  _ </v>
      </c>
      <c r="Z889" s="131" t="str">
        <f t="shared" si="55"/>
        <v xml:space="preserve">   </v>
      </c>
      <c r="AA889" s="131" t="str">
        <f>IFERROR(VLOOKUP(Y889,TD!$K$46:$L$64,2,0)," ")</f>
        <v xml:space="preserve"> </v>
      </c>
      <c r="AB889" s="57"/>
      <c r="AC889" s="132"/>
    </row>
    <row r="890" spans="2:29" s="28" customFormat="1">
      <c r="B890" s="85"/>
      <c r="C890" s="53"/>
      <c r="D890" s="129"/>
      <c r="E890" s="54"/>
      <c r="F890" s="129"/>
      <c r="G890" s="129"/>
      <c r="H890" s="55"/>
      <c r="I890" s="133"/>
      <c r="J890" s="130"/>
      <c r="K890" s="56"/>
      <c r="L890" s="57"/>
      <c r="M890" s="129"/>
      <c r="N890" s="57"/>
      <c r="O890" s="54"/>
      <c r="P890" s="131" t="str">
        <f>IFERROR(VLOOKUP(C890,TD!$B$32:$F$36,2,0)," ")</f>
        <v xml:space="preserve"> </v>
      </c>
      <c r="Q890" s="131" t="str">
        <f>IFERROR(VLOOKUP(C890,TD!$B$32:$F$36,3,0)," ")</f>
        <v xml:space="preserve"> </v>
      </c>
      <c r="R890" s="131" t="str">
        <f>IFERROR(VLOOKUP(C890,TD!$B$32:$F$36,4,0)," ")</f>
        <v xml:space="preserve"> </v>
      </c>
      <c r="S890" s="54"/>
      <c r="T890" s="131" t="str">
        <f>IFERROR(VLOOKUP(S890,TD!$J$33:$K$43,2,0)," ")</f>
        <v xml:space="preserve"> </v>
      </c>
      <c r="U890" s="54" t="str">
        <f t="shared" si="52"/>
        <v xml:space="preserve">- </v>
      </c>
      <c r="V890" s="54"/>
      <c r="W890" s="131" t="str">
        <f>IFERROR(VLOOKUP(V890,TD!$N$33:$O$45,2,0)," ")</f>
        <v xml:space="preserve"> </v>
      </c>
      <c r="X890" s="54" t="str">
        <f t="shared" si="53"/>
        <v xml:space="preserve">_ </v>
      </c>
      <c r="Y890" s="54" t="str">
        <f t="shared" si="54"/>
        <v xml:space="preserve">-  _ </v>
      </c>
      <c r="Z890" s="131" t="str">
        <f t="shared" si="55"/>
        <v xml:space="preserve">   </v>
      </c>
      <c r="AA890" s="131" t="str">
        <f>IFERROR(VLOOKUP(Y890,TD!$K$46:$L$64,2,0)," ")</f>
        <v xml:space="preserve"> </v>
      </c>
      <c r="AB890" s="57"/>
      <c r="AC890" s="132"/>
    </row>
    <row r="891" spans="2:29" s="28" customFormat="1">
      <c r="B891" s="85"/>
      <c r="C891" s="53"/>
      <c r="D891" s="129"/>
      <c r="E891" s="54"/>
      <c r="F891" s="129"/>
      <c r="G891" s="129"/>
      <c r="H891" s="55"/>
      <c r="I891" s="133"/>
      <c r="J891" s="130"/>
      <c r="K891" s="56"/>
      <c r="L891" s="57"/>
      <c r="M891" s="129"/>
      <c r="N891" s="57"/>
      <c r="O891" s="54"/>
      <c r="P891" s="131" t="str">
        <f>IFERROR(VLOOKUP(C891,TD!$B$32:$F$36,2,0)," ")</f>
        <v xml:space="preserve"> </v>
      </c>
      <c r="Q891" s="131" t="str">
        <f>IFERROR(VLOOKUP(C891,TD!$B$32:$F$36,3,0)," ")</f>
        <v xml:space="preserve"> </v>
      </c>
      <c r="R891" s="131" t="str">
        <f>IFERROR(VLOOKUP(C891,TD!$B$32:$F$36,4,0)," ")</f>
        <v xml:space="preserve"> </v>
      </c>
      <c r="S891" s="54"/>
      <c r="T891" s="131" t="str">
        <f>IFERROR(VLOOKUP(S891,TD!$J$33:$K$43,2,0)," ")</f>
        <v xml:space="preserve"> </v>
      </c>
      <c r="U891" s="54" t="str">
        <f t="shared" si="52"/>
        <v xml:space="preserve">- </v>
      </c>
      <c r="V891" s="54"/>
      <c r="W891" s="131" t="str">
        <f>IFERROR(VLOOKUP(V891,TD!$N$33:$O$45,2,0)," ")</f>
        <v xml:space="preserve"> </v>
      </c>
      <c r="X891" s="54" t="str">
        <f t="shared" si="53"/>
        <v xml:space="preserve">_ </v>
      </c>
      <c r="Y891" s="54" t="str">
        <f t="shared" si="54"/>
        <v xml:space="preserve">-  _ </v>
      </c>
      <c r="Z891" s="131" t="str">
        <f t="shared" si="55"/>
        <v xml:space="preserve">   </v>
      </c>
      <c r="AA891" s="131" t="str">
        <f>IFERROR(VLOOKUP(Y891,TD!$K$46:$L$64,2,0)," ")</f>
        <v xml:space="preserve"> </v>
      </c>
      <c r="AB891" s="57"/>
      <c r="AC891" s="132"/>
    </row>
    <row r="892" spans="2:29" s="28" customFormat="1">
      <c r="B892" s="85"/>
      <c r="C892" s="53"/>
      <c r="D892" s="129"/>
      <c r="E892" s="54"/>
      <c r="F892" s="129"/>
      <c r="G892" s="129"/>
      <c r="H892" s="55"/>
      <c r="I892" s="133"/>
      <c r="J892" s="130"/>
      <c r="K892" s="56"/>
      <c r="L892" s="57"/>
      <c r="M892" s="129"/>
      <c r="N892" s="57"/>
      <c r="O892" s="54"/>
      <c r="P892" s="131" t="str">
        <f>IFERROR(VLOOKUP(C892,TD!$B$32:$F$36,2,0)," ")</f>
        <v xml:space="preserve"> </v>
      </c>
      <c r="Q892" s="131" t="str">
        <f>IFERROR(VLOOKUP(C892,TD!$B$32:$F$36,3,0)," ")</f>
        <v xml:space="preserve"> </v>
      </c>
      <c r="R892" s="131" t="str">
        <f>IFERROR(VLOOKUP(C892,TD!$B$32:$F$36,4,0)," ")</f>
        <v xml:space="preserve"> </v>
      </c>
      <c r="S892" s="54"/>
      <c r="T892" s="131" t="str">
        <f>IFERROR(VLOOKUP(S892,TD!$J$33:$K$43,2,0)," ")</f>
        <v xml:space="preserve"> </v>
      </c>
      <c r="U892" s="54" t="str">
        <f t="shared" si="52"/>
        <v xml:space="preserve">- </v>
      </c>
      <c r="V892" s="54"/>
      <c r="W892" s="131" t="str">
        <f>IFERROR(VLOOKUP(V892,TD!$N$33:$O$45,2,0)," ")</f>
        <v xml:space="preserve"> </v>
      </c>
      <c r="X892" s="54" t="str">
        <f t="shared" si="53"/>
        <v xml:space="preserve">_ </v>
      </c>
      <c r="Y892" s="54" t="str">
        <f t="shared" si="54"/>
        <v xml:space="preserve">-  _ </v>
      </c>
      <c r="Z892" s="131" t="str">
        <f t="shared" si="55"/>
        <v xml:space="preserve">   </v>
      </c>
      <c r="AA892" s="131" t="str">
        <f>IFERROR(VLOOKUP(Y892,TD!$K$46:$L$64,2,0)," ")</f>
        <v xml:space="preserve"> </v>
      </c>
      <c r="AB892" s="57"/>
      <c r="AC892" s="132"/>
    </row>
    <row r="893" spans="2:29" s="28" customFormat="1">
      <c r="B893" s="85"/>
      <c r="C893" s="53"/>
      <c r="D893" s="129"/>
      <c r="E893" s="54"/>
      <c r="F893" s="129"/>
      <c r="G893" s="129"/>
      <c r="H893" s="55"/>
      <c r="I893" s="133"/>
      <c r="J893" s="130"/>
      <c r="K893" s="56"/>
      <c r="L893" s="57"/>
      <c r="M893" s="129"/>
      <c r="N893" s="57"/>
      <c r="O893" s="54"/>
      <c r="P893" s="131" t="str">
        <f>IFERROR(VLOOKUP(C893,TD!$B$32:$F$36,2,0)," ")</f>
        <v xml:space="preserve"> </v>
      </c>
      <c r="Q893" s="131" t="str">
        <f>IFERROR(VLOOKUP(C893,TD!$B$32:$F$36,3,0)," ")</f>
        <v xml:space="preserve"> </v>
      </c>
      <c r="R893" s="131" t="str">
        <f>IFERROR(VLOOKUP(C893,TD!$B$32:$F$36,4,0)," ")</f>
        <v xml:space="preserve"> </v>
      </c>
      <c r="S893" s="54"/>
      <c r="T893" s="131" t="str">
        <f>IFERROR(VLOOKUP(S893,TD!$J$33:$K$43,2,0)," ")</f>
        <v xml:space="preserve"> </v>
      </c>
      <c r="U893" s="54" t="str">
        <f t="shared" si="52"/>
        <v xml:space="preserve">- </v>
      </c>
      <c r="V893" s="54"/>
      <c r="W893" s="131" t="str">
        <f>IFERROR(VLOOKUP(V893,TD!$N$33:$O$45,2,0)," ")</f>
        <v xml:space="preserve"> </v>
      </c>
      <c r="X893" s="54" t="str">
        <f t="shared" si="53"/>
        <v xml:space="preserve">_ </v>
      </c>
      <c r="Y893" s="54" t="str">
        <f t="shared" si="54"/>
        <v xml:space="preserve">-  _ </v>
      </c>
      <c r="Z893" s="131" t="str">
        <f t="shared" si="55"/>
        <v xml:space="preserve">   </v>
      </c>
      <c r="AA893" s="131" t="str">
        <f>IFERROR(VLOOKUP(Y893,TD!$K$46:$L$64,2,0)," ")</f>
        <v xml:space="preserve"> </v>
      </c>
      <c r="AB893" s="57"/>
      <c r="AC893" s="132"/>
    </row>
    <row r="894" spans="2:29" s="28" customFormat="1">
      <c r="B894" s="85"/>
      <c r="C894" s="53"/>
      <c r="D894" s="129"/>
      <c r="E894" s="54"/>
      <c r="F894" s="129"/>
      <c r="G894" s="129"/>
      <c r="H894" s="55"/>
      <c r="I894" s="133"/>
      <c r="J894" s="130"/>
      <c r="K894" s="56"/>
      <c r="L894" s="57"/>
      <c r="M894" s="129"/>
      <c r="N894" s="57"/>
      <c r="O894" s="54"/>
      <c r="P894" s="131" t="str">
        <f>IFERROR(VLOOKUP(C894,TD!$B$32:$F$36,2,0)," ")</f>
        <v xml:space="preserve"> </v>
      </c>
      <c r="Q894" s="131" t="str">
        <f>IFERROR(VLOOKUP(C894,TD!$B$32:$F$36,3,0)," ")</f>
        <v xml:space="preserve"> </v>
      </c>
      <c r="R894" s="131" t="str">
        <f>IFERROR(VLOOKUP(C894,TD!$B$32:$F$36,4,0)," ")</f>
        <v xml:space="preserve"> </v>
      </c>
      <c r="S894" s="54"/>
      <c r="T894" s="131" t="str">
        <f>IFERROR(VLOOKUP(S894,TD!$J$33:$K$43,2,0)," ")</f>
        <v xml:space="preserve"> </v>
      </c>
      <c r="U894" s="54" t="str">
        <f t="shared" si="52"/>
        <v xml:space="preserve">- </v>
      </c>
      <c r="V894" s="54"/>
      <c r="W894" s="131" t="str">
        <f>IFERROR(VLOOKUP(V894,TD!$N$33:$O$45,2,0)," ")</f>
        <v xml:space="preserve"> </v>
      </c>
      <c r="X894" s="54" t="str">
        <f t="shared" si="53"/>
        <v xml:space="preserve">_ </v>
      </c>
      <c r="Y894" s="54" t="str">
        <f t="shared" si="54"/>
        <v xml:space="preserve">-  _ </v>
      </c>
      <c r="Z894" s="131" t="str">
        <f t="shared" si="55"/>
        <v xml:space="preserve">   </v>
      </c>
      <c r="AA894" s="131" t="str">
        <f>IFERROR(VLOOKUP(Y894,TD!$K$46:$L$64,2,0)," ")</f>
        <v xml:space="preserve"> </v>
      </c>
      <c r="AB894" s="57"/>
      <c r="AC894" s="132"/>
    </row>
    <row r="895" spans="2:29" s="28" customFormat="1">
      <c r="B895" s="85"/>
      <c r="C895" s="53"/>
      <c r="D895" s="129"/>
      <c r="E895" s="54"/>
      <c r="F895" s="129"/>
      <c r="G895" s="129"/>
      <c r="H895" s="55"/>
      <c r="I895" s="133"/>
      <c r="J895" s="130"/>
      <c r="K895" s="56"/>
      <c r="L895" s="57"/>
      <c r="M895" s="129"/>
      <c r="N895" s="57"/>
      <c r="O895" s="54"/>
      <c r="P895" s="131" t="str">
        <f>IFERROR(VLOOKUP(C895,TD!$B$32:$F$36,2,0)," ")</f>
        <v xml:space="preserve"> </v>
      </c>
      <c r="Q895" s="131" t="str">
        <f>IFERROR(VLOOKUP(C895,TD!$B$32:$F$36,3,0)," ")</f>
        <v xml:space="preserve"> </v>
      </c>
      <c r="R895" s="131" t="str">
        <f>IFERROR(VLOOKUP(C895,TD!$B$32:$F$36,4,0)," ")</f>
        <v xml:space="preserve"> </v>
      </c>
      <c r="S895" s="54"/>
      <c r="T895" s="131" t="str">
        <f>IFERROR(VLOOKUP(S895,TD!$J$33:$K$43,2,0)," ")</f>
        <v xml:space="preserve"> </v>
      </c>
      <c r="U895" s="54" t="str">
        <f t="shared" si="52"/>
        <v xml:space="preserve">- </v>
      </c>
      <c r="V895" s="54"/>
      <c r="W895" s="131" t="str">
        <f>IFERROR(VLOOKUP(V895,TD!$N$33:$O$45,2,0)," ")</f>
        <v xml:space="preserve"> </v>
      </c>
      <c r="X895" s="54" t="str">
        <f t="shared" si="53"/>
        <v xml:space="preserve">_ </v>
      </c>
      <c r="Y895" s="54" t="str">
        <f t="shared" si="54"/>
        <v xml:space="preserve">-  _ </v>
      </c>
      <c r="Z895" s="131" t="str">
        <f t="shared" si="55"/>
        <v xml:space="preserve">   </v>
      </c>
      <c r="AA895" s="131" t="str">
        <f>IFERROR(VLOOKUP(Y895,TD!$K$46:$L$64,2,0)," ")</f>
        <v xml:space="preserve"> </v>
      </c>
      <c r="AB895" s="57"/>
      <c r="AC895" s="132"/>
    </row>
    <row r="896" spans="2:29" s="28" customFormat="1">
      <c r="B896" s="85"/>
      <c r="C896" s="53"/>
      <c r="D896" s="129"/>
      <c r="E896" s="54"/>
      <c r="F896" s="129"/>
      <c r="G896" s="129"/>
      <c r="H896" s="55"/>
      <c r="I896" s="133"/>
      <c r="J896" s="130"/>
      <c r="K896" s="56"/>
      <c r="L896" s="57"/>
      <c r="M896" s="129"/>
      <c r="N896" s="57"/>
      <c r="O896" s="54"/>
      <c r="P896" s="131" t="str">
        <f>IFERROR(VLOOKUP(C896,TD!$B$32:$F$36,2,0)," ")</f>
        <v xml:space="preserve"> </v>
      </c>
      <c r="Q896" s="131" t="str">
        <f>IFERROR(VLOOKUP(C896,TD!$B$32:$F$36,3,0)," ")</f>
        <v xml:space="preserve"> </v>
      </c>
      <c r="R896" s="131" t="str">
        <f>IFERROR(VLOOKUP(C896,TD!$B$32:$F$36,4,0)," ")</f>
        <v xml:space="preserve"> </v>
      </c>
      <c r="S896" s="54"/>
      <c r="T896" s="131" t="str">
        <f>IFERROR(VLOOKUP(S896,TD!$J$33:$K$43,2,0)," ")</f>
        <v xml:space="preserve"> </v>
      </c>
      <c r="U896" s="54" t="str">
        <f t="shared" si="52"/>
        <v xml:space="preserve">- </v>
      </c>
      <c r="V896" s="54"/>
      <c r="W896" s="131" t="str">
        <f>IFERROR(VLOOKUP(V896,TD!$N$33:$O$45,2,0)," ")</f>
        <v xml:space="preserve"> </v>
      </c>
      <c r="X896" s="54" t="str">
        <f t="shared" si="53"/>
        <v xml:space="preserve">_ </v>
      </c>
      <c r="Y896" s="54" t="str">
        <f t="shared" si="54"/>
        <v xml:space="preserve">-  _ </v>
      </c>
      <c r="Z896" s="131" t="str">
        <f t="shared" si="55"/>
        <v xml:space="preserve">   </v>
      </c>
      <c r="AA896" s="131" t="str">
        <f>IFERROR(VLOOKUP(Y896,TD!$K$46:$L$64,2,0)," ")</f>
        <v xml:space="preserve"> </v>
      </c>
      <c r="AB896" s="57"/>
      <c r="AC896" s="132"/>
    </row>
    <row r="897" spans="2:29" s="28" customFormat="1">
      <c r="B897" s="85"/>
      <c r="C897" s="53"/>
      <c r="D897" s="129"/>
      <c r="E897" s="54"/>
      <c r="F897" s="129"/>
      <c r="G897" s="129"/>
      <c r="H897" s="55"/>
      <c r="I897" s="133"/>
      <c r="J897" s="130"/>
      <c r="K897" s="56"/>
      <c r="L897" s="57"/>
      <c r="M897" s="129"/>
      <c r="N897" s="57"/>
      <c r="O897" s="54"/>
      <c r="P897" s="131" t="str">
        <f>IFERROR(VLOOKUP(C897,TD!$B$32:$F$36,2,0)," ")</f>
        <v xml:space="preserve"> </v>
      </c>
      <c r="Q897" s="131" t="str">
        <f>IFERROR(VLOOKUP(C897,TD!$B$32:$F$36,3,0)," ")</f>
        <v xml:space="preserve"> </v>
      </c>
      <c r="R897" s="131" t="str">
        <f>IFERROR(VLOOKUP(C897,TD!$B$32:$F$36,4,0)," ")</f>
        <v xml:space="preserve"> </v>
      </c>
      <c r="S897" s="54"/>
      <c r="T897" s="131" t="str">
        <f>IFERROR(VLOOKUP(S897,TD!$J$33:$K$43,2,0)," ")</f>
        <v xml:space="preserve"> </v>
      </c>
      <c r="U897" s="54" t="str">
        <f t="shared" si="52"/>
        <v xml:space="preserve">- </v>
      </c>
      <c r="V897" s="54"/>
      <c r="W897" s="131" t="str">
        <f>IFERROR(VLOOKUP(V897,TD!$N$33:$O$45,2,0)," ")</f>
        <v xml:space="preserve"> </v>
      </c>
      <c r="X897" s="54" t="str">
        <f t="shared" si="53"/>
        <v xml:space="preserve">_ </v>
      </c>
      <c r="Y897" s="54" t="str">
        <f t="shared" si="54"/>
        <v xml:space="preserve">-  _ </v>
      </c>
      <c r="Z897" s="131" t="str">
        <f t="shared" si="55"/>
        <v xml:space="preserve">   </v>
      </c>
      <c r="AA897" s="131" t="str">
        <f>IFERROR(VLOOKUP(Y897,TD!$K$46:$L$64,2,0)," ")</f>
        <v xml:space="preserve"> </v>
      </c>
      <c r="AB897" s="57"/>
      <c r="AC897" s="132"/>
    </row>
    <row r="898" spans="2:29" s="28" customFormat="1">
      <c r="B898" s="85"/>
      <c r="C898" s="53"/>
      <c r="D898" s="129"/>
      <c r="E898" s="54"/>
      <c r="F898" s="129"/>
      <c r="G898" s="129"/>
      <c r="H898" s="55"/>
      <c r="I898" s="133"/>
      <c r="J898" s="130"/>
      <c r="K898" s="56"/>
      <c r="L898" s="57"/>
      <c r="M898" s="129"/>
      <c r="N898" s="57"/>
      <c r="O898" s="54"/>
      <c r="P898" s="131" t="str">
        <f>IFERROR(VLOOKUP(C898,TD!$B$32:$F$36,2,0)," ")</f>
        <v xml:space="preserve"> </v>
      </c>
      <c r="Q898" s="131" t="str">
        <f>IFERROR(VLOOKUP(C898,TD!$B$32:$F$36,3,0)," ")</f>
        <v xml:space="preserve"> </v>
      </c>
      <c r="R898" s="131" t="str">
        <f>IFERROR(VLOOKUP(C898,TD!$B$32:$F$36,4,0)," ")</f>
        <v xml:space="preserve"> </v>
      </c>
      <c r="S898" s="54"/>
      <c r="T898" s="131" t="str">
        <f>IFERROR(VLOOKUP(S898,TD!$J$33:$K$43,2,0)," ")</f>
        <v xml:space="preserve"> </v>
      </c>
      <c r="U898" s="54" t="str">
        <f t="shared" si="52"/>
        <v xml:space="preserve">- </v>
      </c>
      <c r="V898" s="54"/>
      <c r="W898" s="131" t="str">
        <f>IFERROR(VLOOKUP(V898,TD!$N$33:$O$45,2,0)," ")</f>
        <v xml:space="preserve"> </v>
      </c>
      <c r="X898" s="54" t="str">
        <f t="shared" si="53"/>
        <v xml:space="preserve">_ </v>
      </c>
      <c r="Y898" s="54" t="str">
        <f t="shared" si="54"/>
        <v xml:space="preserve">-  _ </v>
      </c>
      <c r="Z898" s="131" t="str">
        <f t="shared" si="55"/>
        <v xml:space="preserve">   </v>
      </c>
      <c r="AA898" s="131" t="str">
        <f>IFERROR(VLOOKUP(Y898,TD!$K$46:$L$64,2,0)," ")</f>
        <v xml:space="preserve"> </v>
      </c>
      <c r="AB898" s="57"/>
      <c r="AC898" s="132"/>
    </row>
    <row r="899" spans="2:29" s="28" customFormat="1">
      <c r="B899" s="85"/>
      <c r="C899" s="53"/>
      <c r="D899" s="129"/>
      <c r="E899" s="54"/>
      <c r="F899" s="129"/>
      <c r="G899" s="129"/>
      <c r="H899" s="55"/>
      <c r="I899" s="133"/>
      <c r="J899" s="130"/>
      <c r="K899" s="56"/>
      <c r="L899" s="57"/>
      <c r="M899" s="129"/>
      <c r="N899" s="57"/>
      <c r="O899" s="54"/>
      <c r="P899" s="131" t="str">
        <f>IFERROR(VLOOKUP(C899,TD!$B$32:$F$36,2,0)," ")</f>
        <v xml:space="preserve"> </v>
      </c>
      <c r="Q899" s="131" t="str">
        <f>IFERROR(VLOOKUP(C899,TD!$B$32:$F$36,3,0)," ")</f>
        <v xml:space="preserve"> </v>
      </c>
      <c r="R899" s="131" t="str">
        <f>IFERROR(VLOOKUP(C899,TD!$B$32:$F$36,4,0)," ")</f>
        <v xml:space="preserve"> </v>
      </c>
      <c r="S899" s="54"/>
      <c r="T899" s="131" t="str">
        <f>IFERROR(VLOOKUP(S899,TD!$J$33:$K$43,2,0)," ")</f>
        <v xml:space="preserve"> </v>
      </c>
      <c r="U899" s="54" t="str">
        <f t="shared" si="52"/>
        <v xml:space="preserve">- </v>
      </c>
      <c r="V899" s="54"/>
      <c r="W899" s="131" t="str">
        <f>IFERROR(VLOOKUP(V899,TD!$N$33:$O$45,2,0)," ")</f>
        <v xml:space="preserve"> </v>
      </c>
      <c r="X899" s="54" t="str">
        <f t="shared" si="53"/>
        <v xml:space="preserve">_ </v>
      </c>
      <c r="Y899" s="54" t="str">
        <f t="shared" si="54"/>
        <v xml:space="preserve">-  _ </v>
      </c>
      <c r="Z899" s="131" t="str">
        <f t="shared" si="55"/>
        <v xml:space="preserve">   </v>
      </c>
      <c r="AA899" s="131" t="str">
        <f>IFERROR(VLOOKUP(Y899,TD!$K$46:$L$64,2,0)," ")</f>
        <v xml:space="preserve"> </v>
      </c>
      <c r="AB899" s="57"/>
      <c r="AC899" s="132"/>
    </row>
    <row r="900" spans="2:29" s="28" customFormat="1">
      <c r="B900" s="85"/>
      <c r="C900" s="53"/>
      <c r="D900" s="129"/>
      <c r="E900" s="54"/>
      <c r="F900" s="129"/>
      <c r="G900" s="129"/>
      <c r="H900" s="55"/>
      <c r="I900" s="133"/>
      <c r="J900" s="130"/>
      <c r="K900" s="56"/>
      <c r="L900" s="57"/>
      <c r="M900" s="129"/>
      <c r="N900" s="57"/>
      <c r="O900" s="54"/>
      <c r="P900" s="131" t="str">
        <f>IFERROR(VLOOKUP(C900,TD!$B$32:$F$36,2,0)," ")</f>
        <v xml:space="preserve"> </v>
      </c>
      <c r="Q900" s="131" t="str">
        <f>IFERROR(VLOOKUP(C900,TD!$B$32:$F$36,3,0)," ")</f>
        <v xml:space="preserve"> </v>
      </c>
      <c r="R900" s="131" t="str">
        <f>IFERROR(VLOOKUP(C900,TD!$B$32:$F$36,4,0)," ")</f>
        <v xml:space="preserve"> </v>
      </c>
      <c r="S900" s="54"/>
      <c r="T900" s="131" t="str">
        <f>IFERROR(VLOOKUP(S900,TD!$J$33:$K$43,2,0)," ")</f>
        <v xml:space="preserve"> </v>
      </c>
      <c r="U900" s="54" t="str">
        <f t="shared" si="52"/>
        <v xml:space="preserve">- </v>
      </c>
      <c r="V900" s="54"/>
      <c r="W900" s="131" t="str">
        <f>IFERROR(VLOOKUP(V900,TD!$N$33:$O$45,2,0)," ")</f>
        <v xml:space="preserve"> </v>
      </c>
      <c r="X900" s="54" t="str">
        <f t="shared" si="53"/>
        <v xml:space="preserve">_ </v>
      </c>
      <c r="Y900" s="54" t="str">
        <f t="shared" si="54"/>
        <v xml:space="preserve">-  _ </v>
      </c>
      <c r="Z900" s="131" t="str">
        <f t="shared" si="55"/>
        <v xml:space="preserve">   </v>
      </c>
      <c r="AA900" s="131" t="str">
        <f>IFERROR(VLOOKUP(Y900,TD!$K$46:$L$64,2,0)," ")</f>
        <v xml:space="preserve"> </v>
      </c>
      <c r="AB900" s="57"/>
      <c r="AC900" s="132"/>
    </row>
    <row r="901" spans="2:29" s="28" customFormat="1">
      <c r="B901" s="85"/>
      <c r="C901" s="53"/>
      <c r="D901" s="129"/>
      <c r="E901" s="54"/>
      <c r="F901" s="129"/>
      <c r="G901" s="129"/>
      <c r="H901" s="55"/>
      <c r="I901" s="133"/>
      <c r="J901" s="130"/>
      <c r="K901" s="56"/>
      <c r="L901" s="57"/>
      <c r="M901" s="129"/>
      <c r="N901" s="57"/>
      <c r="O901" s="54"/>
      <c r="P901" s="131" t="str">
        <f>IFERROR(VLOOKUP(C901,TD!$B$32:$F$36,2,0)," ")</f>
        <v xml:space="preserve"> </v>
      </c>
      <c r="Q901" s="131" t="str">
        <f>IFERROR(VLOOKUP(C901,TD!$B$32:$F$36,3,0)," ")</f>
        <v xml:space="preserve"> </v>
      </c>
      <c r="R901" s="131" t="str">
        <f>IFERROR(VLOOKUP(C901,TD!$B$32:$F$36,4,0)," ")</f>
        <v xml:space="preserve"> </v>
      </c>
      <c r="S901" s="54"/>
      <c r="T901" s="131" t="str">
        <f>IFERROR(VLOOKUP(S901,TD!$J$33:$K$43,2,0)," ")</f>
        <v xml:space="preserve"> </v>
      </c>
      <c r="U901" s="54" t="str">
        <f t="shared" si="52"/>
        <v xml:space="preserve">- </v>
      </c>
      <c r="V901" s="54"/>
      <c r="W901" s="131" t="str">
        <f>IFERROR(VLOOKUP(V901,TD!$N$33:$O$45,2,0)," ")</f>
        <v xml:space="preserve"> </v>
      </c>
      <c r="X901" s="54" t="str">
        <f t="shared" si="53"/>
        <v xml:space="preserve">_ </v>
      </c>
      <c r="Y901" s="54" t="str">
        <f t="shared" si="54"/>
        <v xml:space="preserve">-  _ </v>
      </c>
      <c r="Z901" s="131" t="str">
        <f t="shared" si="55"/>
        <v xml:space="preserve">   </v>
      </c>
      <c r="AA901" s="131" t="str">
        <f>IFERROR(VLOOKUP(Y901,TD!$K$46:$L$64,2,0)," ")</f>
        <v xml:space="preserve"> </v>
      </c>
      <c r="AB901" s="57"/>
      <c r="AC901" s="132"/>
    </row>
    <row r="902" spans="2:29" s="28" customFormat="1">
      <c r="B902" s="85"/>
      <c r="C902" s="53"/>
      <c r="D902" s="129"/>
      <c r="E902" s="54"/>
      <c r="F902" s="129"/>
      <c r="G902" s="129"/>
      <c r="H902" s="55"/>
      <c r="I902" s="133"/>
      <c r="J902" s="130"/>
      <c r="K902" s="56"/>
      <c r="L902" s="57"/>
      <c r="M902" s="129"/>
      <c r="N902" s="57"/>
      <c r="O902" s="54"/>
      <c r="P902" s="131" t="str">
        <f>IFERROR(VLOOKUP(C902,TD!$B$32:$F$36,2,0)," ")</f>
        <v xml:space="preserve"> </v>
      </c>
      <c r="Q902" s="131" t="str">
        <f>IFERROR(VLOOKUP(C902,TD!$B$32:$F$36,3,0)," ")</f>
        <v xml:space="preserve"> </v>
      </c>
      <c r="R902" s="131" t="str">
        <f>IFERROR(VLOOKUP(C902,TD!$B$32:$F$36,4,0)," ")</f>
        <v xml:space="preserve"> </v>
      </c>
      <c r="S902" s="54"/>
      <c r="T902" s="131" t="str">
        <f>IFERROR(VLOOKUP(S902,TD!$J$33:$K$43,2,0)," ")</f>
        <v xml:space="preserve"> </v>
      </c>
      <c r="U902" s="54" t="str">
        <f t="shared" si="52"/>
        <v xml:space="preserve">- </v>
      </c>
      <c r="V902" s="54"/>
      <c r="W902" s="131" t="str">
        <f>IFERROR(VLOOKUP(V902,TD!$N$33:$O$45,2,0)," ")</f>
        <v xml:space="preserve"> </v>
      </c>
      <c r="X902" s="54" t="str">
        <f t="shared" si="53"/>
        <v xml:space="preserve">_ </v>
      </c>
      <c r="Y902" s="54" t="str">
        <f t="shared" si="54"/>
        <v xml:space="preserve">-  _ </v>
      </c>
      <c r="Z902" s="131" t="str">
        <f t="shared" si="55"/>
        <v xml:space="preserve">   </v>
      </c>
      <c r="AA902" s="131" t="str">
        <f>IFERROR(VLOOKUP(Y902,TD!$K$46:$L$64,2,0)," ")</f>
        <v xml:space="preserve"> </v>
      </c>
      <c r="AB902" s="57"/>
      <c r="AC902" s="132"/>
    </row>
    <row r="903" spans="2:29" s="28" customFormat="1">
      <c r="B903" s="85"/>
      <c r="C903" s="53"/>
      <c r="D903" s="129"/>
      <c r="E903" s="54"/>
      <c r="F903" s="129"/>
      <c r="G903" s="129"/>
      <c r="H903" s="55"/>
      <c r="I903" s="133"/>
      <c r="J903" s="130"/>
      <c r="K903" s="56"/>
      <c r="L903" s="57"/>
      <c r="M903" s="129"/>
      <c r="N903" s="57"/>
      <c r="O903" s="54"/>
      <c r="P903" s="131" t="str">
        <f>IFERROR(VLOOKUP(C903,TD!$B$32:$F$36,2,0)," ")</f>
        <v xml:space="preserve"> </v>
      </c>
      <c r="Q903" s="131" t="str">
        <f>IFERROR(VLOOKUP(C903,TD!$B$32:$F$36,3,0)," ")</f>
        <v xml:space="preserve"> </v>
      </c>
      <c r="R903" s="131" t="str">
        <f>IFERROR(VLOOKUP(C903,TD!$B$32:$F$36,4,0)," ")</f>
        <v xml:space="preserve"> </v>
      </c>
      <c r="S903" s="54"/>
      <c r="T903" s="131" t="str">
        <f>IFERROR(VLOOKUP(S903,TD!$J$33:$K$43,2,0)," ")</f>
        <v xml:space="preserve"> </v>
      </c>
      <c r="U903" s="54" t="str">
        <f t="shared" si="52"/>
        <v xml:space="preserve">- </v>
      </c>
      <c r="V903" s="54"/>
      <c r="W903" s="131" t="str">
        <f>IFERROR(VLOOKUP(V903,TD!$N$33:$O$45,2,0)," ")</f>
        <v xml:space="preserve"> </v>
      </c>
      <c r="X903" s="54" t="str">
        <f t="shared" si="53"/>
        <v xml:space="preserve">_ </v>
      </c>
      <c r="Y903" s="54" t="str">
        <f t="shared" si="54"/>
        <v xml:space="preserve">-  _ </v>
      </c>
      <c r="Z903" s="131" t="str">
        <f t="shared" si="55"/>
        <v xml:space="preserve">   </v>
      </c>
      <c r="AA903" s="131" t="str">
        <f>IFERROR(VLOOKUP(Y903,TD!$K$46:$L$64,2,0)," ")</f>
        <v xml:space="preserve"> </v>
      </c>
      <c r="AB903" s="57"/>
      <c r="AC903" s="132"/>
    </row>
    <row r="904" spans="2:29" s="28" customFormat="1">
      <c r="B904" s="85"/>
      <c r="C904" s="53"/>
      <c r="D904" s="129"/>
      <c r="E904" s="54"/>
      <c r="F904" s="129"/>
      <c r="G904" s="129"/>
      <c r="H904" s="55"/>
      <c r="I904" s="133"/>
      <c r="J904" s="130"/>
      <c r="K904" s="56"/>
      <c r="L904" s="57"/>
      <c r="M904" s="129"/>
      <c r="N904" s="57"/>
      <c r="O904" s="54"/>
      <c r="P904" s="131" t="str">
        <f>IFERROR(VLOOKUP(C904,TD!$B$32:$F$36,2,0)," ")</f>
        <v xml:space="preserve"> </v>
      </c>
      <c r="Q904" s="131" t="str">
        <f>IFERROR(VLOOKUP(C904,TD!$B$32:$F$36,3,0)," ")</f>
        <v xml:space="preserve"> </v>
      </c>
      <c r="R904" s="131" t="str">
        <f>IFERROR(VLOOKUP(C904,TD!$B$32:$F$36,4,0)," ")</f>
        <v xml:space="preserve"> </v>
      </c>
      <c r="S904" s="54"/>
      <c r="T904" s="131" t="str">
        <f>IFERROR(VLOOKUP(S904,TD!$J$33:$K$43,2,0)," ")</f>
        <v xml:space="preserve"> </v>
      </c>
      <c r="U904" s="54" t="str">
        <f t="shared" si="52"/>
        <v xml:space="preserve">- </v>
      </c>
      <c r="V904" s="54"/>
      <c r="W904" s="131" t="str">
        <f>IFERROR(VLOOKUP(V904,TD!$N$33:$O$45,2,0)," ")</f>
        <v xml:space="preserve"> </v>
      </c>
      <c r="X904" s="54" t="str">
        <f t="shared" si="53"/>
        <v xml:space="preserve">_ </v>
      </c>
      <c r="Y904" s="54" t="str">
        <f t="shared" si="54"/>
        <v xml:space="preserve">-  _ </v>
      </c>
      <c r="Z904" s="131" t="str">
        <f t="shared" si="55"/>
        <v xml:space="preserve">   </v>
      </c>
      <c r="AA904" s="131" t="str">
        <f>IFERROR(VLOOKUP(Y904,TD!$K$46:$L$64,2,0)," ")</f>
        <v xml:space="preserve"> </v>
      </c>
      <c r="AB904" s="57"/>
      <c r="AC904" s="132"/>
    </row>
    <row r="905" spans="2:29" s="28" customFormat="1">
      <c r="B905" s="85"/>
      <c r="C905" s="53"/>
      <c r="D905" s="129"/>
      <c r="E905" s="54"/>
      <c r="F905" s="129"/>
      <c r="G905" s="129"/>
      <c r="H905" s="55"/>
      <c r="I905" s="133"/>
      <c r="J905" s="130"/>
      <c r="K905" s="56"/>
      <c r="L905" s="57"/>
      <c r="M905" s="129"/>
      <c r="N905" s="57"/>
      <c r="O905" s="54"/>
      <c r="P905" s="131" t="str">
        <f>IFERROR(VLOOKUP(C905,TD!$B$32:$F$36,2,0)," ")</f>
        <v xml:space="preserve"> </v>
      </c>
      <c r="Q905" s="131" t="str">
        <f>IFERROR(VLOOKUP(C905,TD!$B$32:$F$36,3,0)," ")</f>
        <v xml:space="preserve"> </v>
      </c>
      <c r="R905" s="131" t="str">
        <f>IFERROR(VLOOKUP(C905,TD!$B$32:$F$36,4,0)," ")</f>
        <v xml:space="preserve"> </v>
      </c>
      <c r="S905" s="54"/>
      <c r="T905" s="131" t="str">
        <f>IFERROR(VLOOKUP(S905,TD!$J$33:$K$43,2,0)," ")</f>
        <v xml:space="preserve"> </v>
      </c>
      <c r="U905" s="54" t="str">
        <f t="shared" si="52"/>
        <v xml:space="preserve">- </v>
      </c>
      <c r="V905" s="54"/>
      <c r="W905" s="131" t="str">
        <f>IFERROR(VLOOKUP(V905,TD!$N$33:$O$45,2,0)," ")</f>
        <v xml:space="preserve"> </v>
      </c>
      <c r="X905" s="54" t="str">
        <f t="shared" si="53"/>
        <v xml:space="preserve">_ </v>
      </c>
      <c r="Y905" s="54" t="str">
        <f t="shared" si="54"/>
        <v xml:space="preserve">-  _ </v>
      </c>
      <c r="Z905" s="131" t="str">
        <f t="shared" si="55"/>
        <v xml:space="preserve">   </v>
      </c>
      <c r="AA905" s="131" t="str">
        <f>IFERROR(VLOOKUP(Y905,TD!$K$46:$L$64,2,0)," ")</f>
        <v xml:space="preserve"> </v>
      </c>
      <c r="AB905" s="57"/>
      <c r="AC905" s="132"/>
    </row>
    <row r="906" spans="2:29" s="28" customFormat="1">
      <c r="B906" s="85"/>
      <c r="C906" s="53"/>
      <c r="D906" s="129"/>
      <c r="E906" s="54"/>
      <c r="F906" s="129"/>
      <c r="G906" s="129"/>
      <c r="H906" s="55"/>
      <c r="I906" s="133"/>
      <c r="J906" s="130"/>
      <c r="K906" s="56"/>
      <c r="L906" s="57"/>
      <c r="M906" s="129"/>
      <c r="N906" s="57"/>
      <c r="O906" s="54"/>
      <c r="P906" s="131" t="str">
        <f>IFERROR(VLOOKUP(C906,TD!$B$32:$F$36,2,0)," ")</f>
        <v xml:space="preserve"> </v>
      </c>
      <c r="Q906" s="131" t="str">
        <f>IFERROR(VLOOKUP(C906,TD!$B$32:$F$36,3,0)," ")</f>
        <v xml:space="preserve"> </v>
      </c>
      <c r="R906" s="131" t="str">
        <f>IFERROR(VLOOKUP(C906,TD!$B$32:$F$36,4,0)," ")</f>
        <v xml:space="preserve"> </v>
      </c>
      <c r="S906" s="54"/>
      <c r="T906" s="131" t="str">
        <f>IFERROR(VLOOKUP(S906,TD!$J$33:$K$43,2,0)," ")</f>
        <v xml:space="preserve"> </v>
      </c>
      <c r="U906" s="54" t="str">
        <f t="shared" si="52"/>
        <v xml:space="preserve">- </v>
      </c>
      <c r="V906" s="54"/>
      <c r="W906" s="131" t="str">
        <f>IFERROR(VLOOKUP(V906,TD!$N$33:$O$45,2,0)," ")</f>
        <v xml:space="preserve"> </v>
      </c>
      <c r="X906" s="54" t="str">
        <f t="shared" si="53"/>
        <v xml:space="preserve">_ </v>
      </c>
      <c r="Y906" s="54" t="str">
        <f t="shared" si="54"/>
        <v xml:space="preserve">-  _ </v>
      </c>
      <c r="Z906" s="131" t="str">
        <f t="shared" si="55"/>
        <v xml:space="preserve">   </v>
      </c>
      <c r="AA906" s="131" t="str">
        <f>IFERROR(VLOOKUP(Y906,TD!$K$46:$L$64,2,0)," ")</f>
        <v xml:space="preserve"> </v>
      </c>
      <c r="AB906" s="57"/>
      <c r="AC906" s="132"/>
    </row>
    <row r="907" spans="2:29" s="28" customFormat="1">
      <c r="B907" s="85"/>
      <c r="C907" s="53"/>
      <c r="D907" s="129"/>
      <c r="E907" s="54"/>
      <c r="F907" s="129"/>
      <c r="G907" s="129"/>
      <c r="H907" s="55"/>
      <c r="I907" s="133"/>
      <c r="J907" s="130"/>
      <c r="K907" s="56"/>
      <c r="L907" s="57"/>
      <c r="M907" s="129"/>
      <c r="N907" s="57"/>
      <c r="O907" s="54"/>
      <c r="P907" s="131" t="str">
        <f>IFERROR(VLOOKUP(C907,TD!$B$32:$F$36,2,0)," ")</f>
        <v xml:space="preserve"> </v>
      </c>
      <c r="Q907" s="131" t="str">
        <f>IFERROR(VLOOKUP(C907,TD!$B$32:$F$36,3,0)," ")</f>
        <v xml:space="preserve"> </v>
      </c>
      <c r="R907" s="131" t="str">
        <f>IFERROR(VLOOKUP(C907,TD!$B$32:$F$36,4,0)," ")</f>
        <v xml:space="preserve"> </v>
      </c>
      <c r="S907" s="54"/>
      <c r="T907" s="131" t="str">
        <f>IFERROR(VLOOKUP(S907,TD!$J$33:$K$43,2,0)," ")</f>
        <v xml:space="preserve"> </v>
      </c>
      <c r="U907" s="54" t="str">
        <f t="shared" ref="U907:U951" si="56">CONCATENATE(S907,"-",T907)</f>
        <v xml:space="preserve">- </v>
      </c>
      <c r="V907" s="54"/>
      <c r="W907" s="131" t="str">
        <f>IFERROR(VLOOKUP(V907,TD!$N$33:$O$45,2,0)," ")</f>
        <v xml:space="preserve"> </v>
      </c>
      <c r="X907" s="54" t="str">
        <f t="shared" ref="X907:X951" si="57">CONCATENATE(V907,"_",W907)</f>
        <v xml:space="preserve">_ </v>
      </c>
      <c r="Y907" s="54" t="str">
        <f t="shared" ref="Y907:Y951" si="58">CONCATENATE(U907," ",X907)</f>
        <v xml:space="preserve">-  _ </v>
      </c>
      <c r="Z907" s="131" t="str">
        <f t="shared" ref="Z907:Z951" si="59">CONCATENATE(P907,Q907,R907,S907,V907)</f>
        <v xml:space="preserve">   </v>
      </c>
      <c r="AA907" s="131" t="str">
        <f>IFERROR(VLOOKUP(Y907,TD!$K$46:$L$64,2,0)," ")</f>
        <v xml:space="preserve"> </v>
      </c>
      <c r="AB907" s="57"/>
      <c r="AC907" s="132"/>
    </row>
    <row r="908" spans="2:29" s="28" customFormat="1">
      <c r="B908" s="85"/>
      <c r="C908" s="53"/>
      <c r="D908" s="129"/>
      <c r="E908" s="54"/>
      <c r="F908" s="129"/>
      <c r="G908" s="129"/>
      <c r="H908" s="55"/>
      <c r="I908" s="133"/>
      <c r="J908" s="130"/>
      <c r="K908" s="56"/>
      <c r="L908" s="57"/>
      <c r="M908" s="129"/>
      <c r="N908" s="57"/>
      <c r="O908" s="54"/>
      <c r="P908" s="131" t="str">
        <f>IFERROR(VLOOKUP(C908,TD!$B$32:$F$36,2,0)," ")</f>
        <v xml:space="preserve"> </v>
      </c>
      <c r="Q908" s="131" t="str">
        <f>IFERROR(VLOOKUP(C908,TD!$B$32:$F$36,3,0)," ")</f>
        <v xml:space="preserve"> </v>
      </c>
      <c r="R908" s="131" t="str">
        <f>IFERROR(VLOOKUP(C908,TD!$B$32:$F$36,4,0)," ")</f>
        <v xml:space="preserve"> </v>
      </c>
      <c r="S908" s="54"/>
      <c r="T908" s="131" t="str">
        <f>IFERROR(VLOOKUP(S908,TD!$J$33:$K$43,2,0)," ")</f>
        <v xml:space="preserve"> </v>
      </c>
      <c r="U908" s="54" t="str">
        <f t="shared" si="56"/>
        <v xml:space="preserve">- </v>
      </c>
      <c r="V908" s="54"/>
      <c r="W908" s="131" t="str">
        <f>IFERROR(VLOOKUP(V908,TD!$N$33:$O$45,2,0)," ")</f>
        <v xml:space="preserve"> </v>
      </c>
      <c r="X908" s="54" t="str">
        <f t="shared" si="57"/>
        <v xml:space="preserve">_ </v>
      </c>
      <c r="Y908" s="54" t="str">
        <f t="shared" si="58"/>
        <v xml:space="preserve">-  _ </v>
      </c>
      <c r="Z908" s="131" t="str">
        <f t="shared" si="59"/>
        <v xml:space="preserve">   </v>
      </c>
      <c r="AA908" s="131" t="str">
        <f>IFERROR(VLOOKUP(Y908,TD!$K$46:$L$64,2,0)," ")</f>
        <v xml:space="preserve"> </v>
      </c>
      <c r="AB908" s="57"/>
      <c r="AC908" s="132"/>
    </row>
    <row r="909" spans="2:29" s="28" customFormat="1">
      <c r="B909" s="85"/>
      <c r="C909" s="53"/>
      <c r="D909" s="129"/>
      <c r="E909" s="54"/>
      <c r="F909" s="129"/>
      <c r="G909" s="129"/>
      <c r="H909" s="55"/>
      <c r="I909" s="133"/>
      <c r="J909" s="130"/>
      <c r="K909" s="56"/>
      <c r="L909" s="57"/>
      <c r="M909" s="129"/>
      <c r="N909" s="57"/>
      <c r="O909" s="54"/>
      <c r="P909" s="131" t="str">
        <f>IFERROR(VLOOKUP(C909,TD!$B$32:$F$36,2,0)," ")</f>
        <v xml:space="preserve"> </v>
      </c>
      <c r="Q909" s="131" t="str">
        <f>IFERROR(VLOOKUP(C909,TD!$B$32:$F$36,3,0)," ")</f>
        <v xml:space="preserve"> </v>
      </c>
      <c r="R909" s="131" t="str">
        <f>IFERROR(VLOOKUP(C909,TD!$B$32:$F$36,4,0)," ")</f>
        <v xml:space="preserve"> </v>
      </c>
      <c r="S909" s="54"/>
      <c r="T909" s="131" t="str">
        <f>IFERROR(VLOOKUP(S909,TD!$J$33:$K$43,2,0)," ")</f>
        <v xml:space="preserve"> </v>
      </c>
      <c r="U909" s="54" t="str">
        <f t="shared" si="56"/>
        <v xml:space="preserve">- </v>
      </c>
      <c r="V909" s="54"/>
      <c r="W909" s="131" t="str">
        <f>IFERROR(VLOOKUP(V909,TD!$N$33:$O$45,2,0)," ")</f>
        <v xml:space="preserve"> </v>
      </c>
      <c r="X909" s="54" t="str">
        <f t="shared" si="57"/>
        <v xml:space="preserve">_ </v>
      </c>
      <c r="Y909" s="54" t="str">
        <f t="shared" si="58"/>
        <v xml:space="preserve">-  _ </v>
      </c>
      <c r="Z909" s="131" t="str">
        <f t="shared" si="59"/>
        <v xml:space="preserve">   </v>
      </c>
      <c r="AA909" s="131" t="str">
        <f>IFERROR(VLOOKUP(Y909,TD!$K$46:$L$64,2,0)," ")</f>
        <v xml:space="preserve"> </v>
      </c>
      <c r="AB909" s="57"/>
      <c r="AC909" s="132"/>
    </row>
    <row r="910" spans="2:29" s="28" customFormat="1">
      <c r="B910" s="85"/>
      <c r="C910" s="53"/>
      <c r="D910" s="129"/>
      <c r="E910" s="54"/>
      <c r="F910" s="129"/>
      <c r="G910" s="129"/>
      <c r="H910" s="55"/>
      <c r="I910" s="133"/>
      <c r="J910" s="130"/>
      <c r="K910" s="56"/>
      <c r="L910" s="57"/>
      <c r="M910" s="129"/>
      <c r="N910" s="57"/>
      <c r="O910" s="54"/>
      <c r="P910" s="131" t="str">
        <f>IFERROR(VLOOKUP(C910,TD!$B$32:$F$36,2,0)," ")</f>
        <v xml:space="preserve"> </v>
      </c>
      <c r="Q910" s="131" t="str">
        <f>IFERROR(VLOOKUP(C910,TD!$B$32:$F$36,3,0)," ")</f>
        <v xml:space="preserve"> </v>
      </c>
      <c r="R910" s="131" t="str">
        <f>IFERROR(VLOOKUP(C910,TD!$B$32:$F$36,4,0)," ")</f>
        <v xml:space="preserve"> </v>
      </c>
      <c r="S910" s="54"/>
      <c r="T910" s="131" t="str">
        <f>IFERROR(VLOOKUP(S910,TD!$J$33:$K$43,2,0)," ")</f>
        <v xml:space="preserve"> </v>
      </c>
      <c r="U910" s="54" t="str">
        <f t="shared" si="56"/>
        <v xml:space="preserve">- </v>
      </c>
      <c r="V910" s="54"/>
      <c r="W910" s="131" t="str">
        <f>IFERROR(VLOOKUP(V910,TD!$N$33:$O$45,2,0)," ")</f>
        <v xml:space="preserve"> </v>
      </c>
      <c r="X910" s="54" t="str">
        <f t="shared" si="57"/>
        <v xml:space="preserve">_ </v>
      </c>
      <c r="Y910" s="54" t="str">
        <f t="shared" si="58"/>
        <v xml:space="preserve">-  _ </v>
      </c>
      <c r="Z910" s="131" t="str">
        <f t="shared" si="59"/>
        <v xml:space="preserve">   </v>
      </c>
      <c r="AA910" s="131" t="str">
        <f>IFERROR(VLOOKUP(Y910,TD!$K$46:$L$64,2,0)," ")</f>
        <v xml:space="preserve"> </v>
      </c>
      <c r="AB910" s="57"/>
      <c r="AC910" s="132"/>
    </row>
    <row r="911" spans="2:29" s="28" customFormat="1">
      <c r="B911" s="85"/>
      <c r="C911" s="53"/>
      <c r="D911" s="129"/>
      <c r="E911" s="54"/>
      <c r="F911" s="129"/>
      <c r="G911" s="129"/>
      <c r="H911" s="55"/>
      <c r="I911" s="133"/>
      <c r="J911" s="130"/>
      <c r="K911" s="56"/>
      <c r="L911" s="57"/>
      <c r="M911" s="129"/>
      <c r="N911" s="57"/>
      <c r="O911" s="54"/>
      <c r="P911" s="131" t="str">
        <f>IFERROR(VLOOKUP(C911,TD!$B$32:$F$36,2,0)," ")</f>
        <v xml:space="preserve"> </v>
      </c>
      <c r="Q911" s="131" t="str">
        <f>IFERROR(VLOOKUP(C911,TD!$B$32:$F$36,3,0)," ")</f>
        <v xml:space="preserve"> </v>
      </c>
      <c r="R911" s="131" t="str">
        <f>IFERROR(VLOOKUP(C911,TD!$B$32:$F$36,4,0)," ")</f>
        <v xml:space="preserve"> </v>
      </c>
      <c r="S911" s="54"/>
      <c r="T911" s="131" t="str">
        <f>IFERROR(VLOOKUP(S911,TD!$J$33:$K$43,2,0)," ")</f>
        <v xml:space="preserve"> </v>
      </c>
      <c r="U911" s="54" t="str">
        <f t="shared" si="56"/>
        <v xml:space="preserve">- </v>
      </c>
      <c r="V911" s="54"/>
      <c r="W911" s="131" t="str">
        <f>IFERROR(VLOOKUP(V911,TD!$N$33:$O$45,2,0)," ")</f>
        <v xml:space="preserve"> </v>
      </c>
      <c r="X911" s="54" t="str">
        <f t="shared" si="57"/>
        <v xml:space="preserve">_ </v>
      </c>
      <c r="Y911" s="54" t="str">
        <f t="shared" si="58"/>
        <v xml:space="preserve">-  _ </v>
      </c>
      <c r="Z911" s="131" t="str">
        <f t="shared" si="59"/>
        <v xml:space="preserve">   </v>
      </c>
      <c r="AA911" s="131" t="str">
        <f>IFERROR(VLOOKUP(Y911,TD!$K$46:$L$64,2,0)," ")</f>
        <v xml:space="preserve"> </v>
      </c>
      <c r="AB911" s="57"/>
      <c r="AC911" s="132"/>
    </row>
    <row r="912" spans="2:29" s="28" customFormat="1">
      <c r="B912" s="85"/>
      <c r="C912" s="53"/>
      <c r="D912" s="129"/>
      <c r="E912" s="54"/>
      <c r="F912" s="129"/>
      <c r="G912" s="129"/>
      <c r="H912" s="55"/>
      <c r="I912" s="133"/>
      <c r="J912" s="130"/>
      <c r="K912" s="56"/>
      <c r="L912" s="57"/>
      <c r="M912" s="129"/>
      <c r="N912" s="57"/>
      <c r="O912" s="54"/>
      <c r="P912" s="131" t="str">
        <f>IFERROR(VLOOKUP(C912,TD!$B$32:$F$36,2,0)," ")</f>
        <v xml:space="preserve"> </v>
      </c>
      <c r="Q912" s="131" t="str">
        <f>IFERROR(VLOOKUP(C912,TD!$B$32:$F$36,3,0)," ")</f>
        <v xml:space="preserve"> </v>
      </c>
      <c r="R912" s="131" t="str">
        <f>IFERROR(VLOOKUP(C912,TD!$B$32:$F$36,4,0)," ")</f>
        <v xml:space="preserve"> </v>
      </c>
      <c r="S912" s="54"/>
      <c r="T912" s="131" t="str">
        <f>IFERROR(VLOOKUP(S912,TD!$J$33:$K$43,2,0)," ")</f>
        <v xml:space="preserve"> </v>
      </c>
      <c r="U912" s="54" t="str">
        <f t="shared" si="56"/>
        <v xml:space="preserve">- </v>
      </c>
      <c r="V912" s="54"/>
      <c r="W912" s="131" t="str">
        <f>IFERROR(VLOOKUP(V912,TD!$N$33:$O$45,2,0)," ")</f>
        <v xml:space="preserve"> </v>
      </c>
      <c r="X912" s="54" t="str">
        <f t="shared" si="57"/>
        <v xml:space="preserve">_ </v>
      </c>
      <c r="Y912" s="54" t="str">
        <f t="shared" si="58"/>
        <v xml:space="preserve">-  _ </v>
      </c>
      <c r="Z912" s="131" t="str">
        <f t="shared" si="59"/>
        <v xml:space="preserve">   </v>
      </c>
      <c r="AA912" s="131" t="str">
        <f>IFERROR(VLOOKUP(Y912,TD!$K$46:$L$64,2,0)," ")</f>
        <v xml:space="preserve"> </v>
      </c>
      <c r="AB912" s="57"/>
      <c r="AC912" s="132"/>
    </row>
    <row r="913" spans="2:29" s="28" customFormat="1">
      <c r="B913" s="85"/>
      <c r="C913" s="53"/>
      <c r="D913" s="129"/>
      <c r="E913" s="54"/>
      <c r="F913" s="129"/>
      <c r="G913" s="129"/>
      <c r="H913" s="55"/>
      <c r="I913" s="133"/>
      <c r="J913" s="130"/>
      <c r="K913" s="56"/>
      <c r="L913" s="57"/>
      <c r="M913" s="129"/>
      <c r="N913" s="57"/>
      <c r="O913" s="54"/>
      <c r="P913" s="131" t="str">
        <f>IFERROR(VLOOKUP(C913,TD!$B$32:$F$36,2,0)," ")</f>
        <v xml:space="preserve"> </v>
      </c>
      <c r="Q913" s="131" t="str">
        <f>IFERROR(VLOOKUP(C913,TD!$B$32:$F$36,3,0)," ")</f>
        <v xml:space="preserve"> </v>
      </c>
      <c r="R913" s="131" t="str">
        <f>IFERROR(VLOOKUP(C913,TD!$B$32:$F$36,4,0)," ")</f>
        <v xml:space="preserve"> </v>
      </c>
      <c r="S913" s="54"/>
      <c r="T913" s="131" t="str">
        <f>IFERROR(VLOOKUP(S913,TD!$J$33:$K$43,2,0)," ")</f>
        <v xml:space="preserve"> </v>
      </c>
      <c r="U913" s="54" t="str">
        <f t="shared" si="56"/>
        <v xml:space="preserve">- </v>
      </c>
      <c r="V913" s="54"/>
      <c r="W913" s="131" t="str">
        <f>IFERROR(VLOOKUP(V913,TD!$N$33:$O$45,2,0)," ")</f>
        <v xml:space="preserve"> </v>
      </c>
      <c r="X913" s="54" t="str">
        <f t="shared" si="57"/>
        <v xml:space="preserve">_ </v>
      </c>
      <c r="Y913" s="54" t="str">
        <f t="shared" si="58"/>
        <v xml:space="preserve">-  _ </v>
      </c>
      <c r="Z913" s="131" t="str">
        <f t="shared" si="59"/>
        <v xml:space="preserve">   </v>
      </c>
      <c r="AA913" s="131" t="str">
        <f>IFERROR(VLOOKUP(Y913,TD!$K$46:$L$64,2,0)," ")</f>
        <v xml:space="preserve"> </v>
      </c>
      <c r="AB913" s="57"/>
      <c r="AC913" s="132"/>
    </row>
    <row r="914" spans="2:29" s="28" customFormat="1">
      <c r="B914" s="85"/>
      <c r="C914" s="53"/>
      <c r="D914" s="129"/>
      <c r="E914" s="54"/>
      <c r="F914" s="129"/>
      <c r="G914" s="129"/>
      <c r="H914" s="55"/>
      <c r="I914" s="133"/>
      <c r="J914" s="130"/>
      <c r="K914" s="56"/>
      <c r="L914" s="57"/>
      <c r="M914" s="129"/>
      <c r="N914" s="57"/>
      <c r="O914" s="54"/>
      <c r="P914" s="131" t="str">
        <f>IFERROR(VLOOKUP(C914,TD!$B$32:$F$36,2,0)," ")</f>
        <v xml:space="preserve"> </v>
      </c>
      <c r="Q914" s="131" t="str">
        <f>IFERROR(VLOOKUP(C914,TD!$B$32:$F$36,3,0)," ")</f>
        <v xml:space="preserve"> </v>
      </c>
      <c r="R914" s="131" t="str">
        <f>IFERROR(VLOOKUP(C914,TD!$B$32:$F$36,4,0)," ")</f>
        <v xml:space="preserve"> </v>
      </c>
      <c r="S914" s="54"/>
      <c r="T914" s="131" t="str">
        <f>IFERROR(VLOOKUP(S914,TD!$J$33:$K$43,2,0)," ")</f>
        <v xml:space="preserve"> </v>
      </c>
      <c r="U914" s="54" t="str">
        <f t="shared" si="56"/>
        <v xml:space="preserve">- </v>
      </c>
      <c r="V914" s="54"/>
      <c r="W914" s="131" t="str">
        <f>IFERROR(VLOOKUP(V914,TD!$N$33:$O$45,2,0)," ")</f>
        <v xml:space="preserve"> </v>
      </c>
      <c r="X914" s="54" t="str">
        <f t="shared" si="57"/>
        <v xml:space="preserve">_ </v>
      </c>
      <c r="Y914" s="54" t="str">
        <f t="shared" si="58"/>
        <v xml:space="preserve">-  _ </v>
      </c>
      <c r="Z914" s="131" t="str">
        <f t="shared" si="59"/>
        <v xml:space="preserve">   </v>
      </c>
      <c r="AA914" s="131" t="str">
        <f>IFERROR(VLOOKUP(Y914,TD!$K$46:$L$64,2,0)," ")</f>
        <v xml:space="preserve"> </v>
      </c>
      <c r="AB914" s="57"/>
      <c r="AC914" s="132"/>
    </row>
    <row r="915" spans="2:29" s="28" customFormat="1">
      <c r="B915" s="85"/>
      <c r="C915" s="53"/>
      <c r="D915" s="129"/>
      <c r="E915" s="54"/>
      <c r="F915" s="129"/>
      <c r="G915" s="129"/>
      <c r="H915" s="55"/>
      <c r="I915" s="133"/>
      <c r="J915" s="130"/>
      <c r="K915" s="56"/>
      <c r="L915" s="57"/>
      <c r="M915" s="129"/>
      <c r="N915" s="57"/>
      <c r="O915" s="54"/>
      <c r="P915" s="131" t="str">
        <f>IFERROR(VLOOKUP(C915,TD!$B$32:$F$36,2,0)," ")</f>
        <v xml:space="preserve"> </v>
      </c>
      <c r="Q915" s="131" t="str">
        <f>IFERROR(VLOOKUP(C915,TD!$B$32:$F$36,3,0)," ")</f>
        <v xml:space="preserve"> </v>
      </c>
      <c r="R915" s="131" t="str">
        <f>IFERROR(VLOOKUP(C915,TD!$B$32:$F$36,4,0)," ")</f>
        <v xml:space="preserve"> </v>
      </c>
      <c r="S915" s="54"/>
      <c r="T915" s="131" t="str">
        <f>IFERROR(VLOOKUP(S915,TD!$J$33:$K$43,2,0)," ")</f>
        <v xml:space="preserve"> </v>
      </c>
      <c r="U915" s="54" t="str">
        <f t="shared" si="56"/>
        <v xml:space="preserve">- </v>
      </c>
      <c r="V915" s="54"/>
      <c r="W915" s="131" t="str">
        <f>IFERROR(VLOOKUP(V915,TD!$N$33:$O$45,2,0)," ")</f>
        <v xml:space="preserve"> </v>
      </c>
      <c r="X915" s="54" t="str">
        <f t="shared" si="57"/>
        <v xml:space="preserve">_ </v>
      </c>
      <c r="Y915" s="54" t="str">
        <f t="shared" si="58"/>
        <v xml:space="preserve">-  _ </v>
      </c>
      <c r="Z915" s="131" t="str">
        <f t="shared" si="59"/>
        <v xml:space="preserve">   </v>
      </c>
      <c r="AA915" s="131" t="str">
        <f>IFERROR(VLOOKUP(Y915,TD!$K$46:$L$64,2,0)," ")</f>
        <v xml:space="preserve"> </v>
      </c>
      <c r="AB915" s="57"/>
      <c r="AC915" s="132"/>
    </row>
    <row r="916" spans="2:29" s="28" customFormat="1">
      <c r="B916" s="85"/>
      <c r="C916" s="53"/>
      <c r="D916" s="129"/>
      <c r="E916" s="54"/>
      <c r="F916" s="129"/>
      <c r="G916" s="129"/>
      <c r="H916" s="55"/>
      <c r="I916" s="133"/>
      <c r="J916" s="130"/>
      <c r="K916" s="56"/>
      <c r="L916" s="57"/>
      <c r="M916" s="129"/>
      <c r="N916" s="57"/>
      <c r="O916" s="54"/>
      <c r="P916" s="131" t="str">
        <f>IFERROR(VLOOKUP(C916,TD!$B$32:$F$36,2,0)," ")</f>
        <v xml:space="preserve"> </v>
      </c>
      <c r="Q916" s="131" t="str">
        <f>IFERROR(VLOOKUP(C916,TD!$B$32:$F$36,3,0)," ")</f>
        <v xml:space="preserve"> </v>
      </c>
      <c r="R916" s="131" t="str">
        <f>IFERROR(VLOOKUP(C916,TD!$B$32:$F$36,4,0)," ")</f>
        <v xml:space="preserve"> </v>
      </c>
      <c r="S916" s="54"/>
      <c r="T916" s="131" t="str">
        <f>IFERROR(VLOOKUP(S916,TD!$J$33:$K$43,2,0)," ")</f>
        <v xml:space="preserve"> </v>
      </c>
      <c r="U916" s="54" t="str">
        <f t="shared" si="56"/>
        <v xml:space="preserve">- </v>
      </c>
      <c r="V916" s="54"/>
      <c r="W916" s="131" t="str">
        <f>IFERROR(VLOOKUP(V916,TD!$N$33:$O$45,2,0)," ")</f>
        <v xml:space="preserve"> </v>
      </c>
      <c r="X916" s="54" t="str">
        <f t="shared" si="57"/>
        <v xml:space="preserve">_ </v>
      </c>
      <c r="Y916" s="54" t="str">
        <f t="shared" si="58"/>
        <v xml:space="preserve">-  _ </v>
      </c>
      <c r="Z916" s="131" t="str">
        <f t="shared" si="59"/>
        <v xml:space="preserve">   </v>
      </c>
      <c r="AA916" s="131" t="str">
        <f>IFERROR(VLOOKUP(Y916,TD!$K$46:$L$64,2,0)," ")</f>
        <v xml:space="preserve"> </v>
      </c>
      <c r="AB916" s="57"/>
      <c r="AC916" s="132"/>
    </row>
    <row r="917" spans="2:29" s="28" customFormat="1">
      <c r="B917" s="85"/>
      <c r="C917" s="53"/>
      <c r="D917" s="129"/>
      <c r="E917" s="54"/>
      <c r="F917" s="129"/>
      <c r="G917" s="129"/>
      <c r="H917" s="55"/>
      <c r="I917" s="133"/>
      <c r="J917" s="130"/>
      <c r="K917" s="56"/>
      <c r="L917" s="57"/>
      <c r="M917" s="129"/>
      <c r="N917" s="57"/>
      <c r="O917" s="54"/>
      <c r="P917" s="131" t="str">
        <f>IFERROR(VLOOKUP(C917,TD!$B$32:$F$36,2,0)," ")</f>
        <v xml:space="preserve"> </v>
      </c>
      <c r="Q917" s="131" t="str">
        <f>IFERROR(VLOOKUP(C917,TD!$B$32:$F$36,3,0)," ")</f>
        <v xml:space="preserve"> </v>
      </c>
      <c r="R917" s="131" t="str">
        <f>IFERROR(VLOOKUP(C917,TD!$B$32:$F$36,4,0)," ")</f>
        <v xml:space="preserve"> </v>
      </c>
      <c r="S917" s="54"/>
      <c r="T917" s="131" t="str">
        <f>IFERROR(VLOOKUP(S917,TD!$J$33:$K$43,2,0)," ")</f>
        <v xml:space="preserve"> </v>
      </c>
      <c r="U917" s="54" t="str">
        <f t="shared" si="56"/>
        <v xml:space="preserve">- </v>
      </c>
      <c r="V917" s="54"/>
      <c r="W917" s="131" t="str">
        <f>IFERROR(VLOOKUP(V917,TD!$N$33:$O$45,2,0)," ")</f>
        <v xml:space="preserve"> </v>
      </c>
      <c r="X917" s="54" t="str">
        <f t="shared" si="57"/>
        <v xml:space="preserve">_ </v>
      </c>
      <c r="Y917" s="54" t="str">
        <f t="shared" si="58"/>
        <v xml:space="preserve">-  _ </v>
      </c>
      <c r="Z917" s="131" t="str">
        <f t="shared" si="59"/>
        <v xml:space="preserve">   </v>
      </c>
      <c r="AA917" s="131" t="str">
        <f>IFERROR(VLOOKUP(Y917,TD!$K$46:$L$64,2,0)," ")</f>
        <v xml:space="preserve"> </v>
      </c>
      <c r="AB917" s="57"/>
      <c r="AC917" s="132"/>
    </row>
    <row r="918" spans="2:29" s="28" customFormat="1">
      <c r="B918" s="85"/>
      <c r="C918" s="53"/>
      <c r="D918" s="129"/>
      <c r="E918" s="54"/>
      <c r="F918" s="129"/>
      <c r="G918" s="129"/>
      <c r="H918" s="55"/>
      <c r="I918" s="133"/>
      <c r="J918" s="130"/>
      <c r="K918" s="56"/>
      <c r="L918" s="57"/>
      <c r="M918" s="129"/>
      <c r="N918" s="57"/>
      <c r="O918" s="54"/>
      <c r="P918" s="131" t="str">
        <f>IFERROR(VLOOKUP(C918,TD!$B$32:$F$36,2,0)," ")</f>
        <v xml:space="preserve"> </v>
      </c>
      <c r="Q918" s="131" t="str">
        <f>IFERROR(VLOOKUP(C918,TD!$B$32:$F$36,3,0)," ")</f>
        <v xml:space="preserve"> </v>
      </c>
      <c r="R918" s="131" t="str">
        <f>IFERROR(VLOOKUP(C918,TD!$B$32:$F$36,4,0)," ")</f>
        <v xml:space="preserve"> </v>
      </c>
      <c r="S918" s="54"/>
      <c r="T918" s="131" t="str">
        <f>IFERROR(VLOOKUP(S918,TD!$J$33:$K$43,2,0)," ")</f>
        <v xml:space="preserve"> </v>
      </c>
      <c r="U918" s="54" t="str">
        <f t="shared" si="56"/>
        <v xml:space="preserve">- </v>
      </c>
      <c r="V918" s="54"/>
      <c r="W918" s="131" t="str">
        <f>IFERROR(VLOOKUP(V918,TD!$N$33:$O$45,2,0)," ")</f>
        <v xml:space="preserve"> </v>
      </c>
      <c r="X918" s="54" t="str">
        <f t="shared" si="57"/>
        <v xml:space="preserve">_ </v>
      </c>
      <c r="Y918" s="54" t="str">
        <f t="shared" si="58"/>
        <v xml:space="preserve">-  _ </v>
      </c>
      <c r="Z918" s="131" t="str">
        <f t="shared" si="59"/>
        <v xml:space="preserve">   </v>
      </c>
      <c r="AA918" s="131" t="str">
        <f>IFERROR(VLOOKUP(Y918,TD!$K$46:$L$64,2,0)," ")</f>
        <v xml:space="preserve"> </v>
      </c>
      <c r="AB918" s="57"/>
      <c r="AC918" s="132"/>
    </row>
    <row r="919" spans="2:29" s="28" customFormat="1">
      <c r="B919" s="85"/>
      <c r="C919" s="53"/>
      <c r="D919" s="129"/>
      <c r="E919" s="54"/>
      <c r="F919" s="129"/>
      <c r="G919" s="129"/>
      <c r="H919" s="55"/>
      <c r="I919" s="133"/>
      <c r="J919" s="130"/>
      <c r="K919" s="56"/>
      <c r="L919" s="57"/>
      <c r="M919" s="129"/>
      <c r="N919" s="57"/>
      <c r="O919" s="54"/>
      <c r="P919" s="131" t="str">
        <f>IFERROR(VLOOKUP(C919,TD!$B$32:$F$36,2,0)," ")</f>
        <v xml:space="preserve"> </v>
      </c>
      <c r="Q919" s="131" t="str">
        <f>IFERROR(VLOOKUP(C919,TD!$B$32:$F$36,3,0)," ")</f>
        <v xml:space="preserve"> </v>
      </c>
      <c r="R919" s="131" t="str">
        <f>IFERROR(VLOOKUP(C919,TD!$B$32:$F$36,4,0)," ")</f>
        <v xml:space="preserve"> </v>
      </c>
      <c r="S919" s="54"/>
      <c r="T919" s="131" t="str">
        <f>IFERROR(VLOOKUP(S919,TD!$J$33:$K$43,2,0)," ")</f>
        <v xml:space="preserve"> </v>
      </c>
      <c r="U919" s="54" t="str">
        <f t="shared" si="56"/>
        <v xml:space="preserve">- </v>
      </c>
      <c r="V919" s="54"/>
      <c r="W919" s="131" t="str">
        <f>IFERROR(VLOOKUP(V919,TD!$N$33:$O$45,2,0)," ")</f>
        <v xml:space="preserve"> </v>
      </c>
      <c r="X919" s="54" t="str">
        <f t="shared" si="57"/>
        <v xml:space="preserve">_ </v>
      </c>
      <c r="Y919" s="54" t="str">
        <f t="shared" si="58"/>
        <v xml:space="preserve">-  _ </v>
      </c>
      <c r="Z919" s="131" t="str">
        <f t="shared" si="59"/>
        <v xml:space="preserve">   </v>
      </c>
      <c r="AA919" s="131" t="str">
        <f>IFERROR(VLOOKUP(Y919,TD!$K$46:$L$64,2,0)," ")</f>
        <v xml:space="preserve"> </v>
      </c>
      <c r="AB919" s="57"/>
      <c r="AC919" s="132"/>
    </row>
    <row r="920" spans="2:29" s="28" customFormat="1">
      <c r="B920" s="85"/>
      <c r="C920" s="53"/>
      <c r="D920" s="129"/>
      <c r="E920" s="54"/>
      <c r="F920" s="129"/>
      <c r="G920" s="129"/>
      <c r="H920" s="55"/>
      <c r="I920" s="133"/>
      <c r="J920" s="130"/>
      <c r="K920" s="56"/>
      <c r="L920" s="57"/>
      <c r="M920" s="129"/>
      <c r="N920" s="57"/>
      <c r="O920" s="54"/>
      <c r="P920" s="131" t="str">
        <f>IFERROR(VLOOKUP(C920,TD!$B$32:$F$36,2,0)," ")</f>
        <v xml:space="preserve"> </v>
      </c>
      <c r="Q920" s="131" t="str">
        <f>IFERROR(VLOOKUP(C920,TD!$B$32:$F$36,3,0)," ")</f>
        <v xml:space="preserve"> </v>
      </c>
      <c r="R920" s="131" t="str">
        <f>IFERROR(VLOOKUP(C920,TD!$B$32:$F$36,4,0)," ")</f>
        <v xml:space="preserve"> </v>
      </c>
      <c r="S920" s="54"/>
      <c r="T920" s="131" t="str">
        <f>IFERROR(VLOOKUP(S920,TD!$J$33:$K$43,2,0)," ")</f>
        <v xml:space="preserve"> </v>
      </c>
      <c r="U920" s="54" t="str">
        <f t="shared" si="56"/>
        <v xml:space="preserve">- </v>
      </c>
      <c r="V920" s="54"/>
      <c r="W920" s="131" t="str">
        <f>IFERROR(VLOOKUP(V920,TD!$N$33:$O$45,2,0)," ")</f>
        <v xml:space="preserve"> </v>
      </c>
      <c r="X920" s="54" t="str">
        <f t="shared" si="57"/>
        <v xml:space="preserve">_ </v>
      </c>
      <c r="Y920" s="54" t="str">
        <f t="shared" si="58"/>
        <v xml:space="preserve">-  _ </v>
      </c>
      <c r="Z920" s="131" t="str">
        <f t="shared" si="59"/>
        <v xml:space="preserve">   </v>
      </c>
      <c r="AA920" s="131" t="str">
        <f>IFERROR(VLOOKUP(Y920,TD!$K$46:$L$64,2,0)," ")</f>
        <v xml:space="preserve"> </v>
      </c>
      <c r="AB920" s="57"/>
      <c r="AC920" s="132"/>
    </row>
    <row r="921" spans="2:29" s="28" customFormat="1">
      <c r="B921" s="85"/>
      <c r="C921" s="53"/>
      <c r="D921" s="129"/>
      <c r="E921" s="54"/>
      <c r="F921" s="129"/>
      <c r="G921" s="129"/>
      <c r="H921" s="55"/>
      <c r="I921" s="133"/>
      <c r="J921" s="130"/>
      <c r="K921" s="56"/>
      <c r="L921" s="57"/>
      <c r="M921" s="129"/>
      <c r="N921" s="57"/>
      <c r="O921" s="54"/>
      <c r="P921" s="131" t="str">
        <f>IFERROR(VLOOKUP(C921,TD!$B$32:$F$36,2,0)," ")</f>
        <v xml:space="preserve"> </v>
      </c>
      <c r="Q921" s="131" t="str">
        <f>IFERROR(VLOOKUP(C921,TD!$B$32:$F$36,3,0)," ")</f>
        <v xml:space="preserve"> </v>
      </c>
      <c r="R921" s="131" t="str">
        <f>IFERROR(VLOOKUP(C921,TD!$B$32:$F$36,4,0)," ")</f>
        <v xml:space="preserve"> </v>
      </c>
      <c r="S921" s="54"/>
      <c r="T921" s="131" t="str">
        <f>IFERROR(VLOOKUP(S921,TD!$J$33:$K$43,2,0)," ")</f>
        <v xml:space="preserve"> </v>
      </c>
      <c r="U921" s="54" t="str">
        <f t="shared" si="56"/>
        <v xml:space="preserve">- </v>
      </c>
      <c r="V921" s="54"/>
      <c r="W921" s="131" t="str">
        <f>IFERROR(VLOOKUP(V921,TD!$N$33:$O$45,2,0)," ")</f>
        <v xml:space="preserve"> </v>
      </c>
      <c r="X921" s="54" t="str">
        <f t="shared" si="57"/>
        <v xml:space="preserve">_ </v>
      </c>
      <c r="Y921" s="54" t="str">
        <f t="shared" si="58"/>
        <v xml:space="preserve">-  _ </v>
      </c>
      <c r="Z921" s="131" t="str">
        <f t="shared" si="59"/>
        <v xml:space="preserve">   </v>
      </c>
      <c r="AA921" s="131" t="str">
        <f>IFERROR(VLOOKUP(Y921,TD!$K$46:$L$64,2,0)," ")</f>
        <v xml:space="preserve"> </v>
      </c>
      <c r="AB921" s="57"/>
      <c r="AC921" s="132"/>
    </row>
    <row r="922" spans="2:29" s="28" customFormat="1">
      <c r="B922" s="85"/>
      <c r="C922" s="53"/>
      <c r="D922" s="129"/>
      <c r="E922" s="54"/>
      <c r="F922" s="129"/>
      <c r="G922" s="129"/>
      <c r="H922" s="55"/>
      <c r="I922" s="133"/>
      <c r="J922" s="130"/>
      <c r="K922" s="56"/>
      <c r="L922" s="57"/>
      <c r="M922" s="129"/>
      <c r="N922" s="57"/>
      <c r="O922" s="54"/>
      <c r="P922" s="131" t="str">
        <f>IFERROR(VLOOKUP(C922,TD!$B$32:$F$36,2,0)," ")</f>
        <v xml:space="preserve"> </v>
      </c>
      <c r="Q922" s="131" t="str">
        <f>IFERROR(VLOOKUP(C922,TD!$B$32:$F$36,3,0)," ")</f>
        <v xml:space="preserve"> </v>
      </c>
      <c r="R922" s="131" t="str">
        <f>IFERROR(VLOOKUP(C922,TD!$B$32:$F$36,4,0)," ")</f>
        <v xml:space="preserve"> </v>
      </c>
      <c r="S922" s="54"/>
      <c r="T922" s="131" t="str">
        <f>IFERROR(VLOOKUP(S922,TD!$J$33:$K$43,2,0)," ")</f>
        <v xml:space="preserve"> </v>
      </c>
      <c r="U922" s="54" t="str">
        <f t="shared" si="56"/>
        <v xml:space="preserve">- </v>
      </c>
      <c r="V922" s="54"/>
      <c r="W922" s="131" t="str">
        <f>IFERROR(VLOOKUP(V922,TD!$N$33:$O$45,2,0)," ")</f>
        <v xml:space="preserve"> </v>
      </c>
      <c r="X922" s="54" t="str">
        <f t="shared" si="57"/>
        <v xml:space="preserve">_ </v>
      </c>
      <c r="Y922" s="54" t="str">
        <f t="shared" si="58"/>
        <v xml:space="preserve">-  _ </v>
      </c>
      <c r="Z922" s="131" t="str">
        <f t="shared" si="59"/>
        <v xml:space="preserve">   </v>
      </c>
      <c r="AA922" s="131" t="str">
        <f>IFERROR(VLOOKUP(Y922,TD!$K$46:$L$64,2,0)," ")</f>
        <v xml:space="preserve"> </v>
      </c>
      <c r="AB922" s="57"/>
      <c r="AC922" s="132"/>
    </row>
    <row r="923" spans="2:29" s="28" customFormat="1">
      <c r="B923" s="85"/>
      <c r="C923" s="53"/>
      <c r="D923" s="129"/>
      <c r="E923" s="54"/>
      <c r="F923" s="129"/>
      <c r="G923" s="129"/>
      <c r="H923" s="55"/>
      <c r="I923" s="133"/>
      <c r="J923" s="130"/>
      <c r="K923" s="56"/>
      <c r="L923" s="57"/>
      <c r="M923" s="129"/>
      <c r="N923" s="57"/>
      <c r="O923" s="54"/>
      <c r="P923" s="131" t="str">
        <f>IFERROR(VLOOKUP(C923,TD!$B$32:$F$36,2,0)," ")</f>
        <v xml:space="preserve"> </v>
      </c>
      <c r="Q923" s="131" t="str">
        <f>IFERROR(VLOOKUP(C923,TD!$B$32:$F$36,3,0)," ")</f>
        <v xml:space="preserve"> </v>
      </c>
      <c r="R923" s="131" t="str">
        <f>IFERROR(VLOOKUP(C923,TD!$B$32:$F$36,4,0)," ")</f>
        <v xml:space="preserve"> </v>
      </c>
      <c r="S923" s="54"/>
      <c r="T923" s="131" t="str">
        <f>IFERROR(VLOOKUP(S923,TD!$J$33:$K$43,2,0)," ")</f>
        <v xml:space="preserve"> </v>
      </c>
      <c r="U923" s="54" t="str">
        <f t="shared" si="56"/>
        <v xml:space="preserve">- </v>
      </c>
      <c r="V923" s="54"/>
      <c r="W923" s="131" t="str">
        <f>IFERROR(VLOOKUP(V923,TD!$N$33:$O$45,2,0)," ")</f>
        <v xml:space="preserve"> </v>
      </c>
      <c r="X923" s="54" t="str">
        <f t="shared" si="57"/>
        <v xml:space="preserve">_ </v>
      </c>
      <c r="Y923" s="54" t="str">
        <f t="shared" si="58"/>
        <v xml:space="preserve">-  _ </v>
      </c>
      <c r="Z923" s="131" t="str">
        <f t="shared" si="59"/>
        <v xml:space="preserve">   </v>
      </c>
      <c r="AA923" s="131" t="str">
        <f>IFERROR(VLOOKUP(Y923,TD!$K$46:$L$64,2,0)," ")</f>
        <v xml:space="preserve"> </v>
      </c>
      <c r="AB923" s="57"/>
      <c r="AC923" s="132"/>
    </row>
    <row r="924" spans="2:29" s="28" customFormat="1">
      <c r="B924" s="85"/>
      <c r="C924" s="53"/>
      <c r="D924" s="129"/>
      <c r="E924" s="54"/>
      <c r="F924" s="129"/>
      <c r="G924" s="129"/>
      <c r="H924" s="55"/>
      <c r="I924" s="133"/>
      <c r="J924" s="130"/>
      <c r="K924" s="56"/>
      <c r="L924" s="57"/>
      <c r="M924" s="129"/>
      <c r="N924" s="57"/>
      <c r="O924" s="54"/>
      <c r="P924" s="131" t="str">
        <f>IFERROR(VLOOKUP(C924,TD!$B$32:$F$36,2,0)," ")</f>
        <v xml:space="preserve"> </v>
      </c>
      <c r="Q924" s="131" t="str">
        <f>IFERROR(VLOOKUP(C924,TD!$B$32:$F$36,3,0)," ")</f>
        <v xml:space="preserve"> </v>
      </c>
      <c r="R924" s="131" t="str">
        <f>IFERROR(VLOOKUP(C924,TD!$B$32:$F$36,4,0)," ")</f>
        <v xml:space="preserve"> </v>
      </c>
      <c r="S924" s="54"/>
      <c r="T924" s="131" t="str">
        <f>IFERROR(VLOOKUP(S924,TD!$J$33:$K$43,2,0)," ")</f>
        <v xml:space="preserve"> </v>
      </c>
      <c r="U924" s="54" t="str">
        <f t="shared" si="56"/>
        <v xml:space="preserve">- </v>
      </c>
      <c r="V924" s="54"/>
      <c r="W924" s="131" t="str">
        <f>IFERROR(VLOOKUP(V924,TD!$N$33:$O$45,2,0)," ")</f>
        <v xml:space="preserve"> </v>
      </c>
      <c r="X924" s="54" t="str">
        <f t="shared" si="57"/>
        <v xml:space="preserve">_ </v>
      </c>
      <c r="Y924" s="54" t="str">
        <f t="shared" si="58"/>
        <v xml:space="preserve">-  _ </v>
      </c>
      <c r="Z924" s="131" t="str">
        <f t="shared" si="59"/>
        <v xml:space="preserve">   </v>
      </c>
      <c r="AA924" s="131" t="str">
        <f>IFERROR(VLOOKUP(Y924,TD!$K$46:$L$64,2,0)," ")</f>
        <v xml:space="preserve"> </v>
      </c>
      <c r="AB924" s="57"/>
      <c r="AC924" s="132"/>
    </row>
    <row r="925" spans="2:29" s="28" customFormat="1">
      <c r="B925" s="85"/>
      <c r="C925" s="53"/>
      <c r="D925" s="129"/>
      <c r="E925" s="54"/>
      <c r="F925" s="129"/>
      <c r="G925" s="129"/>
      <c r="H925" s="55"/>
      <c r="I925" s="133"/>
      <c r="J925" s="130"/>
      <c r="K925" s="56"/>
      <c r="L925" s="57"/>
      <c r="M925" s="129"/>
      <c r="N925" s="57"/>
      <c r="O925" s="54"/>
      <c r="P925" s="131" t="str">
        <f>IFERROR(VLOOKUP(C925,TD!$B$32:$F$36,2,0)," ")</f>
        <v xml:space="preserve"> </v>
      </c>
      <c r="Q925" s="131" t="str">
        <f>IFERROR(VLOOKUP(C925,TD!$B$32:$F$36,3,0)," ")</f>
        <v xml:space="preserve"> </v>
      </c>
      <c r="R925" s="131" t="str">
        <f>IFERROR(VLOOKUP(C925,TD!$B$32:$F$36,4,0)," ")</f>
        <v xml:space="preserve"> </v>
      </c>
      <c r="S925" s="54"/>
      <c r="T925" s="131" t="str">
        <f>IFERROR(VLOOKUP(S925,TD!$J$33:$K$43,2,0)," ")</f>
        <v xml:space="preserve"> </v>
      </c>
      <c r="U925" s="54" t="str">
        <f t="shared" si="56"/>
        <v xml:space="preserve">- </v>
      </c>
      <c r="V925" s="54"/>
      <c r="W925" s="131" t="str">
        <f>IFERROR(VLOOKUP(V925,TD!$N$33:$O$45,2,0)," ")</f>
        <v xml:space="preserve"> </v>
      </c>
      <c r="X925" s="54" t="str">
        <f t="shared" si="57"/>
        <v xml:space="preserve">_ </v>
      </c>
      <c r="Y925" s="54" t="str">
        <f t="shared" si="58"/>
        <v xml:space="preserve">-  _ </v>
      </c>
      <c r="Z925" s="131" t="str">
        <f t="shared" si="59"/>
        <v xml:space="preserve">   </v>
      </c>
      <c r="AA925" s="131" t="str">
        <f>IFERROR(VLOOKUP(Y925,TD!$K$46:$L$64,2,0)," ")</f>
        <v xml:space="preserve"> </v>
      </c>
      <c r="AB925" s="57"/>
      <c r="AC925" s="132"/>
    </row>
    <row r="926" spans="2:29" s="28" customFormat="1">
      <c r="B926" s="85"/>
      <c r="C926" s="53"/>
      <c r="D926" s="129"/>
      <c r="E926" s="54"/>
      <c r="F926" s="129"/>
      <c r="G926" s="129"/>
      <c r="H926" s="55"/>
      <c r="I926" s="133"/>
      <c r="J926" s="130"/>
      <c r="K926" s="56"/>
      <c r="L926" s="57"/>
      <c r="M926" s="129"/>
      <c r="N926" s="57"/>
      <c r="O926" s="54"/>
      <c r="P926" s="131" t="str">
        <f>IFERROR(VLOOKUP(C926,TD!$B$32:$F$36,2,0)," ")</f>
        <v xml:space="preserve"> </v>
      </c>
      <c r="Q926" s="131" t="str">
        <f>IFERROR(VLOOKUP(C926,TD!$B$32:$F$36,3,0)," ")</f>
        <v xml:space="preserve"> </v>
      </c>
      <c r="R926" s="131" t="str">
        <f>IFERROR(VLOOKUP(C926,TD!$B$32:$F$36,4,0)," ")</f>
        <v xml:space="preserve"> </v>
      </c>
      <c r="S926" s="54"/>
      <c r="T926" s="131" t="str">
        <f>IFERROR(VLOOKUP(S926,TD!$J$33:$K$43,2,0)," ")</f>
        <v xml:space="preserve"> </v>
      </c>
      <c r="U926" s="54" t="str">
        <f t="shared" si="56"/>
        <v xml:space="preserve">- </v>
      </c>
      <c r="V926" s="54"/>
      <c r="W926" s="131" t="str">
        <f>IFERROR(VLOOKUP(V926,TD!$N$33:$O$45,2,0)," ")</f>
        <v xml:space="preserve"> </v>
      </c>
      <c r="X926" s="54" t="str">
        <f t="shared" si="57"/>
        <v xml:space="preserve">_ </v>
      </c>
      <c r="Y926" s="54" t="str">
        <f t="shared" si="58"/>
        <v xml:space="preserve">-  _ </v>
      </c>
      <c r="Z926" s="131" t="str">
        <f t="shared" si="59"/>
        <v xml:space="preserve">   </v>
      </c>
      <c r="AA926" s="131" t="str">
        <f>IFERROR(VLOOKUP(Y926,TD!$K$46:$L$64,2,0)," ")</f>
        <v xml:space="preserve"> </v>
      </c>
      <c r="AB926" s="57"/>
      <c r="AC926" s="132"/>
    </row>
    <row r="927" spans="2:29" s="28" customFormat="1">
      <c r="B927" s="85"/>
      <c r="C927" s="53"/>
      <c r="D927" s="129"/>
      <c r="E927" s="54"/>
      <c r="F927" s="129"/>
      <c r="G927" s="129"/>
      <c r="H927" s="55"/>
      <c r="I927" s="133"/>
      <c r="J927" s="130"/>
      <c r="K927" s="56"/>
      <c r="L927" s="57"/>
      <c r="M927" s="129"/>
      <c r="N927" s="57"/>
      <c r="O927" s="54"/>
      <c r="P927" s="131" t="str">
        <f>IFERROR(VLOOKUP(C927,TD!$B$32:$F$36,2,0)," ")</f>
        <v xml:space="preserve"> </v>
      </c>
      <c r="Q927" s="131" t="str">
        <f>IFERROR(VLOOKUP(C927,TD!$B$32:$F$36,3,0)," ")</f>
        <v xml:space="preserve"> </v>
      </c>
      <c r="R927" s="131" t="str">
        <f>IFERROR(VLOOKUP(C927,TD!$B$32:$F$36,4,0)," ")</f>
        <v xml:space="preserve"> </v>
      </c>
      <c r="S927" s="54"/>
      <c r="T927" s="131" t="str">
        <f>IFERROR(VLOOKUP(S927,TD!$J$33:$K$43,2,0)," ")</f>
        <v xml:space="preserve"> </v>
      </c>
      <c r="U927" s="54" t="str">
        <f t="shared" si="56"/>
        <v xml:space="preserve">- </v>
      </c>
      <c r="V927" s="54"/>
      <c r="W927" s="131" t="str">
        <f>IFERROR(VLOOKUP(V927,TD!$N$33:$O$45,2,0)," ")</f>
        <v xml:space="preserve"> </v>
      </c>
      <c r="X927" s="54" t="str">
        <f t="shared" si="57"/>
        <v xml:space="preserve">_ </v>
      </c>
      <c r="Y927" s="54" t="str">
        <f t="shared" si="58"/>
        <v xml:space="preserve">-  _ </v>
      </c>
      <c r="Z927" s="131" t="str">
        <f t="shared" si="59"/>
        <v xml:space="preserve">   </v>
      </c>
      <c r="AA927" s="131" t="str">
        <f>IFERROR(VLOOKUP(Y927,TD!$K$46:$L$64,2,0)," ")</f>
        <v xml:space="preserve"> </v>
      </c>
      <c r="AB927" s="57"/>
      <c r="AC927" s="132"/>
    </row>
    <row r="928" spans="2:29" s="28" customFormat="1">
      <c r="B928" s="85"/>
      <c r="C928" s="53"/>
      <c r="D928" s="129"/>
      <c r="E928" s="54"/>
      <c r="F928" s="129"/>
      <c r="G928" s="129"/>
      <c r="H928" s="55"/>
      <c r="I928" s="133"/>
      <c r="J928" s="130"/>
      <c r="K928" s="56"/>
      <c r="L928" s="57"/>
      <c r="M928" s="129"/>
      <c r="N928" s="57"/>
      <c r="O928" s="54"/>
      <c r="P928" s="131" t="str">
        <f>IFERROR(VLOOKUP(C928,TD!$B$32:$F$36,2,0)," ")</f>
        <v xml:space="preserve"> </v>
      </c>
      <c r="Q928" s="131" t="str">
        <f>IFERROR(VLOOKUP(C928,TD!$B$32:$F$36,3,0)," ")</f>
        <v xml:space="preserve"> </v>
      </c>
      <c r="R928" s="131" t="str">
        <f>IFERROR(VLOOKUP(C928,TD!$B$32:$F$36,4,0)," ")</f>
        <v xml:space="preserve"> </v>
      </c>
      <c r="S928" s="54"/>
      <c r="T928" s="131" t="str">
        <f>IFERROR(VLOOKUP(S928,TD!$J$33:$K$43,2,0)," ")</f>
        <v xml:space="preserve"> </v>
      </c>
      <c r="U928" s="54" t="str">
        <f t="shared" si="56"/>
        <v xml:space="preserve">- </v>
      </c>
      <c r="V928" s="54"/>
      <c r="W928" s="131" t="str">
        <f>IFERROR(VLOOKUP(V928,TD!$N$33:$O$45,2,0)," ")</f>
        <v xml:space="preserve"> </v>
      </c>
      <c r="X928" s="54" t="str">
        <f t="shared" si="57"/>
        <v xml:space="preserve">_ </v>
      </c>
      <c r="Y928" s="54" t="str">
        <f t="shared" si="58"/>
        <v xml:space="preserve">-  _ </v>
      </c>
      <c r="Z928" s="131" t="str">
        <f t="shared" si="59"/>
        <v xml:space="preserve">   </v>
      </c>
      <c r="AA928" s="131" t="str">
        <f>IFERROR(VLOOKUP(Y928,TD!$K$46:$L$64,2,0)," ")</f>
        <v xml:space="preserve"> </v>
      </c>
      <c r="AB928" s="57"/>
      <c r="AC928" s="132"/>
    </row>
    <row r="929" spans="2:29" s="28" customFormat="1">
      <c r="B929" s="85"/>
      <c r="C929" s="53"/>
      <c r="D929" s="129"/>
      <c r="E929" s="54"/>
      <c r="F929" s="129"/>
      <c r="G929" s="129"/>
      <c r="H929" s="55"/>
      <c r="I929" s="133"/>
      <c r="J929" s="130"/>
      <c r="K929" s="56"/>
      <c r="L929" s="57"/>
      <c r="M929" s="129"/>
      <c r="N929" s="57"/>
      <c r="O929" s="54"/>
      <c r="P929" s="131" t="str">
        <f>IFERROR(VLOOKUP(C929,TD!$B$32:$F$36,2,0)," ")</f>
        <v xml:space="preserve"> </v>
      </c>
      <c r="Q929" s="131" t="str">
        <f>IFERROR(VLOOKUP(C929,TD!$B$32:$F$36,3,0)," ")</f>
        <v xml:space="preserve"> </v>
      </c>
      <c r="R929" s="131" t="str">
        <f>IFERROR(VLOOKUP(C929,TD!$B$32:$F$36,4,0)," ")</f>
        <v xml:space="preserve"> </v>
      </c>
      <c r="S929" s="54"/>
      <c r="T929" s="131" t="str">
        <f>IFERROR(VLOOKUP(S929,TD!$J$33:$K$43,2,0)," ")</f>
        <v xml:space="preserve"> </v>
      </c>
      <c r="U929" s="54" t="str">
        <f t="shared" si="56"/>
        <v xml:space="preserve">- </v>
      </c>
      <c r="V929" s="54"/>
      <c r="W929" s="131" t="str">
        <f>IFERROR(VLOOKUP(V929,TD!$N$33:$O$45,2,0)," ")</f>
        <v xml:space="preserve"> </v>
      </c>
      <c r="X929" s="54" t="str">
        <f t="shared" si="57"/>
        <v xml:space="preserve">_ </v>
      </c>
      <c r="Y929" s="54" t="str">
        <f t="shared" si="58"/>
        <v xml:space="preserve">-  _ </v>
      </c>
      <c r="Z929" s="131" t="str">
        <f t="shared" si="59"/>
        <v xml:space="preserve">   </v>
      </c>
      <c r="AA929" s="131" t="str">
        <f>IFERROR(VLOOKUP(Y929,TD!$K$46:$L$64,2,0)," ")</f>
        <v xml:space="preserve"> </v>
      </c>
      <c r="AB929" s="57"/>
      <c r="AC929" s="132"/>
    </row>
    <row r="930" spans="2:29" s="28" customFormat="1">
      <c r="B930" s="85"/>
      <c r="C930" s="53"/>
      <c r="D930" s="129"/>
      <c r="E930" s="54"/>
      <c r="F930" s="129"/>
      <c r="G930" s="129"/>
      <c r="H930" s="55"/>
      <c r="I930" s="133"/>
      <c r="J930" s="130"/>
      <c r="K930" s="56"/>
      <c r="L930" s="57"/>
      <c r="M930" s="129"/>
      <c r="N930" s="57"/>
      <c r="O930" s="54"/>
      <c r="P930" s="131" t="str">
        <f>IFERROR(VLOOKUP(C930,TD!$B$32:$F$36,2,0)," ")</f>
        <v xml:space="preserve"> </v>
      </c>
      <c r="Q930" s="131" t="str">
        <f>IFERROR(VLOOKUP(C930,TD!$B$32:$F$36,3,0)," ")</f>
        <v xml:space="preserve"> </v>
      </c>
      <c r="R930" s="131" t="str">
        <f>IFERROR(VLOOKUP(C930,TD!$B$32:$F$36,4,0)," ")</f>
        <v xml:space="preserve"> </v>
      </c>
      <c r="S930" s="54"/>
      <c r="T930" s="131" t="str">
        <f>IFERROR(VLOOKUP(S930,TD!$J$33:$K$43,2,0)," ")</f>
        <v xml:space="preserve"> </v>
      </c>
      <c r="U930" s="54" t="str">
        <f t="shared" si="56"/>
        <v xml:space="preserve">- </v>
      </c>
      <c r="V930" s="54"/>
      <c r="W930" s="131" t="str">
        <f>IFERROR(VLOOKUP(V930,TD!$N$33:$O$45,2,0)," ")</f>
        <v xml:space="preserve"> </v>
      </c>
      <c r="X930" s="54" t="str">
        <f t="shared" si="57"/>
        <v xml:space="preserve">_ </v>
      </c>
      <c r="Y930" s="54" t="str">
        <f t="shared" si="58"/>
        <v xml:space="preserve">-  _ </v>
      </c>
      <c r="Z930" s="131" t="str">
        <f t="shared" si="59"/>
        <v xml:space="preserve">   </v>
      </c>
      <c r="AA930" s="131" t="str">
        <f>IFERROR(VLOOKUP(Y930,TD!$K$46:$L$64,2,0)," ")</f>
        <v xml:space="preserve"> </v>
      </c>
      <c r="AB930" s="57"/>
      <c r="AC930" s="132"/>
    </row>
    <row r="931" spans="2:29" s="28" customFormat="1">
      <c r="B931" s="85"/>
      <c r="C931" s="53"/>
      <c r="D931" s="129"/>
      <c r="E931" s="54"/>
      <c r="F931" s="129"/>
      <c r="G931" s="129"/>
      <c r="H931" s="55"/>
      <c r="I931" s="133"/>
      <c r="J931" s="130"/>
      <c r="K931" s="56"/>
      <c r="L931" s="57"/>
      <c r="M931" s="129"/>
      <c r="N931" s="57"/>
      <c r="O931" s="54"/>
      <c r="P931" s="131" t="str">
        <f>IFERROR(VLOOKUP(C931,TD!$B$32:$F$36,2,0)," ")</f>
        <v xml:space="preserve"> </v>
      </c>
      <c r="Q931" s="131" t="str">
        <f>IFERROR(VLOOKUP(C931,TD!$B$32:$F$36,3,0)," ")</f>
        <v xml:space="preserve"> </v>
      </c>
      <c r="R931" s="131" t="str">
        <f>IFERROR(VLOOKUP(C931,TD!$B$32:$F$36,4,0)," ")</f>
        <v xml:space="preserve"> </v>
      </c>
      <c r="S931" s="54"/>
      <c r="T931" s="131" t="str">
        <f>IFERROR(VLOOKUP(S931,TD!$J$33:$K$43,2,0)," ")</f>
        <v xml:space="preserve"> </v>
      </c>
      <c r="U931" s="54" t="str">
        <f t="shared" si="56"/>
        <v xml:space="preserve">- </v>
      </c>
      <c r="V931" s="54"/>
      <c r="W931" s="131" t="str">
        <f>IFERROR(VLOOKUP(V931,TD!$N$33:$O$45,2,0)," ")</f>
        <v xml:space="preserve"> </v>
      </c>
      <c r="X931" s="54" t="str">
        <f t="shared" si="57"/>
        <v xml:space="preserve">_ </v>
      </c>
      <c r="Y931" s="54" t="str">
        <f t="shared" si="58"/>
        <v xml:space="preserve">-  _ </v>
      </c>
      <c r="Z931" s="131" t="str">
        <f t="shared" si="59"/>
        <v xml:space="preserve">   </v>
      </c>
      <c r="AA931" s="131" t="str">
        <f>IFERROR(VLOOKUP(Y931,TD!$K$46:$L$64,2,0)," ")</f>
        <v xml:space="preserve"> </v>
      </c>
      <c r="AB931" s="57"/>
      <c r="AC931" s="132"/>
    </row>
    <row r="932" spans="2:29" s="28" customFormat="1">
      <c r="B932" s="85"/>
      <c r="C932" s="53"/>
      <c r="D932" s="129"/>
      <c r="E932" s="54"/>
      <c r="F932" s="129"/>
      <c r="G932" s="129"/>
      <c r="H932" s="55"/>
      <c r="I932" s="133"/>
      <c r="J932" s="130"/>
      <c r="K932" s="56"/>
      <c r="L932" s="57"/>
      <c r="M932" s="129"/>
      <c r="N932" s="57"/>
      <c r="O932" s="54"/>
      <c r="P932" s="131" t="str">
        <f>IFERROR(VLOOKUP(C932,TD!$B$32:$F$36,2,0)," ")</f>
        <v xml:space="preserve"> </v>
      </c>
      <c r="Q932" s="131" t="str">
        <f>IFERROR(VLOOKUP(C932,TD!$B$32:$F$36,3,0)," ")</f>
        <v xml:space="preserve"> </v>
      </c>
      <c r="R932" s="131" t="str">
        <f>IFERROR(VLOOKUP(C932,TD!$B$32:$F$36,4,0)," ")</f>
        <v xml:space="preserve"> </v>
      </c>
      <c r="S932" s="54"/>
      <c r="T932" s="131" t="str">
        <f>IFERROR(VLOOKUP(S932,TD!$J$33:$K$43,2,0)," ")</f>
        <v xml:space="preserve"> </v>
      </c>
      <c r="U932" s="54" t="str">
        <f t="shared" si="56"/>
        <v xml:space="preserve">- </v>
      </c>
      <c r="V932" s="54"/>
      <c r="W932" s="131" t="str">
        <f>IFERROR(VLOOKUP(V932,TD!$N$33:$O$45,2,0)," ")</f>
        <v xml:space="preserve"> </v>
      </c>
      <c r="X932" s="54" t="str">
        <f t="shared" si="57"/>
        <v xml:space="preserve">_ </v>
      </c>
      <c r="Y932" s="54" t="str">
        <f t="shared" si="58"/>
        <v xml:space="preserve">-  _ </v>
      </c>
      <c r="Z932" s="131" t="str">
        <f t="shared" si="59"/>
        <v xml:space="preserve">   </v>
      </c>
      <c r="AA932" s="131" t="str">
        <f>IFERROR(VLOOKUP(Y932,TD!$K$46:$L$64,2,0)," ")</f>
        <v xml:space="preserve"> </v>
      </c>
      <c r="AB932" s="57"/>
      <c r="AC932" s="132"/>
    </row>
    <row r="933" spans="2:29" s="28" customFormat="1">
      <c r="B933" s="85"/>
      <c r="C933" s="53"/>
      <c r="D933" s="129"/>
      <c r="E933" s="54"/>
      <c r="F933" s="129"/>
      <c r="G933" s="129"/>
      <c r="H933" s="55"/>
      <c r="I933" s="133"/>
      <c r="J933" s="130"/>
      <c r="K933" s="56"/>
      <c r="L933" s="57"/>
      <c r="M933" s="129"/>
      <c r="N933" s="57"/>
      <c r="O933" s="54"/>
      <c r="P933" s="131" t="str">
        <f>IFERROR(VLOOKUP(C933,TD!$B$32:$F$36,2,0)," ")</f>
        <v xml:space="preserve"> </v>
      </c>
      <c r="Q933" s="131" t="str">
        <f>IFERROR(VLOOKUP(C933,TD!$B$32:$F$36,3,0)," ")</f>
        <v xml:space="preserve"> </v>
      </c>
      <c r="R933" s="131" t="str">
        <f>IFERROR(VLOOKUP(C933,TD!$B$32:$F$36,4,0)," ")</f>
        <v xml:space="preserve"> </v>
      </c>
      <c r="S933" s="54"/>
      <c r="T933" s="131" t="str">
        <f>IFERROR(VLOOKUP(S933,TD!$J$33:$K$43,2,0)," ")</f>
        <v xml:space="preserve"> </v>
      </c>
      <c r="U933" s="54" t="str">
        <f t="shared" si="56"/>
        <v xml:space="preserve">- </v>
      </c>
      <c r="V933" s="54"/>
      <c r="W933" s="131" t="str">
        <f>IFERROR(VLOOKUP(V933,TD!$N$33:$O$45,2,0)," ")</f>
        <v xml:space="preserve"> </v>
      </c>
      <c r="X933" s="54" t="str">
        <f t="shared" si="57"/>
        <v xml:space="preserve">_ </v>
      </c>
      <c r="Y933" s="54" t="str">
        <f t="shared" si="58"/>
        <v xml:space="preserve">-  _ </v>
      </c>
      <c r="Z933" s="131" t="str">
        <f t="shared" si="59"/>
        <v xml:space="preserve">   </v>
      </c>
      <c r="AA933" s="131" t="str">
        <f>IFERROR(VLOOKUP(Y933,TD!$K$46:$L$64,2,0)," ")</f>
        <v xml:space="preserve"> </v>
      </c>
      <c r="AB933" s="57"/>
      <c r="AC933" s="132"/>
    </row>
    <row r="934" spans="2:29" s="28" customFormat="1">
      <c r="B934" s="85"/>
      <c r="C934" s="53"/>
      <c r="D934" s="129"/>
      <c r="E934" s="54"/>
      <c r="F934" s="129"/>
      <c r="G934" s="129"/>
      <c r="H934" s="55"/>
      <c r="I934" s="133"/>
      <c r="J934" s="130"/>
      <c r="K934" s="56"/>
      <c r="L934" s="57"/>
      <c r="M934" s="129"/>
      <c r="N934" s="57"/>
      <c r="O934" s="54"/>
      <c r="P934" s="131" t="str">
        <f>IFERROR(VLOOKUP(C934,TD!$B$32:$F$36,2,0)," ")</f>
        <v xml:space="preserve"> </v>
      </c>
      <c r="Q934" s="131" t="str">
        <f>IFERROR(VLOOKUP(C934,TD!$B$32:$F$36,3,0)," ")</f>
        <v xml:space="preserve"> </v>
      </c>
      <c r="R934" s="131" t="str">
        <f>IFERROR(VLOOKUP(C934,TD!$B$32:$F$36,4,0)," ")</f>
        <v xml:space="preserve"> </v>
      </c>
      <c r="S934" s="54"/>
      <c r="T934" s="131" t="str">
        <f>IFERROR(VLOOKUP(S934,TD!$J$33:$K$43,2,0)," ")</f>
        <v xml:space="preserve"> </v>
      </c>
      <c r="U934" s="54" t="str">
        <f t="shared" si="56"/>
        <v xml:space="preserve">- </v>
      </c>
      <c r="V934" s="54"/>
      <c r="W934" s="131" t="str">
        <f>IFERROR(VLOOKUP(V934,TD!$N$33:$O$45,2,0)," ")</f>
        <v xml:space="preserve"> </v>
      </c>
      <c r="X934" s="54" t="str">
        <f t="shared" si="57"/>
        <v xml:space="preserve">_ </v>
      </c>
      <c r="Y934" s="54" t="str">
        <f t="shared" si="58"/>
        <v xml:space="preserve">-  _ </v>
      </c>
      <c r="Z934" s="131" t="str">
        <f t="shared" si="59"/>
        <v xml:space="preserve">   </v>
      </c>
      <c r="AA934" s="131" t="str">
        <f>IFERROR(VLOOKUP(Y934,TD!$K$46:$L$64,2,0)," ")</f>
        <v xml:space="preserve"> </v>
      </c>
      <c r="AB934" s="57"/>
      <c r="AC934" s="132"/>
    </row>
    <row r="935" spans="2:29" s="28" customFormat="1">
      <c r="B935" s="85"/>
      <c r="C935" s="53"/>
      <c r="D935" s="129"/>
      <c r="E935" s="54"/>
      <c r="F935" s="129"/>
      <c r="G935" s="129"/>
      <c r="H935" s="55"/>
      <c r="I935" s="133"/>
      <c r="J935" s="130"/>
      <c r="K935" s="56"/>
      <c r="L935" s="57"/>
      <c r="M935" s="129"/>
      <c r="N935" s="57"/>
      <c r="O935" s="54"/>
      <c r="P935" s="131" t="str">
        <f>IFERROR(VLOOKUP(C935,TD!$B$32:$F$36,2,0)," ")</f>
        <v xml:space="preserve"> </v>
      </c>
      <c r="Q935" s="131" t="str">
        <f>IFERROR(VLOOKUP(C935,TD!$B$32:$F$36,3,0)," ")</f>
        <v xml:space="preserve"> </v>
      </c>
      <c r="R935" s="131" t="str">
        <f>IFERROR(VLOOKUP(C935,TD!$B$32:$F$36,4,0)," ")</f>
        <v xml:space="preserve"> </v>
      </c>
      <c r="S935" s="54"/>
      <c r="T935" s="131" t="str">
        <f>IFERROR(VLOOKUP(S935,TD!$J$33:$K$43,2,0)," ")</f>
        <v xml:space="preserve"> </v>
      </c>
      <c r="U935" s="54" t="str">
        <f t="shared" si="56"/>
        <v xml:space="preserve">- </v>
      </c>
      <c r="V935" s="54"/>
      <c r="W935" s="131" t="str">
        <f>IFERROR(VLOOKUP(V935,TD!$N$33:$O$45,2,0)," ")</f>
        <v xml:space="preserve"> </v>
      </c>
      <c r="X935" s="54" t="str">
        <f t="shared" si="57"/>
        <v xml:space="preserve">_ </v>
      </c>
      <c r="Y935" s="54" t="str">
        <f t="shared" si="58"/>
        <v xml:space="preserve">-  _ </v>
      </c>
      <c r="Z935" s="131" t="str">
        <f t="shared" si="59"/>
        <v xml:space="preserve">   </v>
      </c>
      <c r="AA935" s="131" t="str">
        <f>IFERROR(VLOOKUP(Y935,TD!$K$46:$L$64,2,0)," ")</f>
        <v xml:space="preserve"> </v>
      </c>
      <c r="AB935" s="57"/>
      <c r="AC935" s="132"/>
    </row>
    <row r="936" spans="2:29" s="28" customFormat="1">
      <c r="B936" s="85"/>
      <c r="C936" s="53"/>
      <c r="D936" s="129"/>
      <c r="E936" s="54"/>
      <c r="F936" s="129"/>
      <c r="G936" s="129"/>
      <c r="H936" s="55"/>
      <c r="I936" s="133"/>
      <c r="J936" s="130"/>
      <c r="K936" s="56"/>
      <c r="L936" s="57"/>
      <c r="M936" s="129"/>
      <c r="N936" s="57"/>
      <c r="O936" s="54"/>
      <c r="P936" s="131" t="str">
        <f>IFERROR(VLOOKUP(C936,TD!$B$32:$F$36,2,0)," ")</f>
        <v xml:space="preserve"> </v>
      </c>
      <c r="Q936" s="131" t="str">
        <f>IFERROR(VLOOKUP(C936,TD!$B$32:$F$36,3,0)," ")</f>
        <v xml:space="preserve"> </v>
      </c>
      <c r="R936" s="131" t="str">
        <f>IFERROR(VLOOKUP(C936,TD!$B$32:$F$36,4,0)," ")</f>
        <v xml:space="preserve"> </v>
      </c>
      <c r="S936" s="54"/>
      <c r="T936" s="131" t="str">
        <f>IFERROR(VLOOKUP(S936,TD!$J$33:$K$43,2,0)," ")</f>
        <v xml:space="preserve"> </v>
      </c>
      <c r="U936" s="54" t="str">
        <f t="shared" si="56"/>
        <v xml:space="preserve">- </v>
      </c>
      <c r="V936" s="54"/>
      <c r="W936" s="131" t="str">
        <f>IFERROR(VLOOKUP(V936,TD!$N$33:$O$45,2,0)," ")</f>
        <v xml:space="preserve"> </v>
      </c>
      <c r="X936" s="54" t="str">
        <f t="shared" si="57"/>
        <v xml:space="preserve">_ </v>
      </c>
      <c r="Y936" s="54" t="str">
        <f t="shared" si="58"/>
        <v xml:space="preserve">-  _ </v>
      </c>
      <c r="Z936" s="131" t="str">
        <f t="shared" si="59"/>
        <v xml:space="preserve">   </v>
      </c>
      <c r="AA936" s="131" t="str">
        <f>IFERROR(VLOOKUP(Y936,TD!$K$46:$L$64,2,0)," ")</f>
        <v xml:space="preserve"> </v>
      </c>
      <c r="AB936" s="57"/>
      <c r="AC936" s="132"/>
    </row>
    <row r="937" spans="2:29" s="28" customFormat="1">
      <c r="B937" s="85"/>
      <c r="C937" s="53"/>
      <c r="D937" s="129"/>
      <c r="E937" s="54"/>
      <c r="F937" s="129"/>
      <c r="G937" s="129"/>
      <c r="H937" s="55"/>
      <c r="I937" s="133"/>
      <c r="J937" s="130"/>
      <c r="K937" s="56"/>
      <c r="L937" s="57"/>
      <c r="M937" s="129"/>
      <c r="N937" s="57"/>
      <c r="O937" s="54"/>
      <c r="P937" s="131" t="str">
        <f>IFERROR(VLOOKUP(C937,TD!$B$32:$F$36,2,0)," ")</f>
        <v xml:space="preserve"> </v>
      </c>
      <c r="Q937" s="131" t="str">
        <f>IFERROR(VLOOKUP(C937,TD!$B$32:$F$36,3,0)," ")</f>
        <v xml:space="preserve"> </v>
      </c>
      <c r="R937" s="131" t="str">
        <f>IFERROR(VLOOKUP(C937,TD!$B$32:$F$36,4,0)," ")</f>
        <v xml:space="preserve"> </v>
      </c>
      <c r="S937" s="54"/>
      <c r="T937" s="131" t="str">
        <f>IFERROR(VLOOKUP(S937,TD!$J$33:$K$43,2,0)," ")</f>
        <v xml:space="preserve"> </v>
      </c>
      <c r="U937" s="54" t="str">
        <f t="shared" si="56"/>
        <v xml:space="preserve">- </v>
      </c>
      <c r="V937" s="54"/>
      <c r="W937" s="131" t="str">
        <f>IFERROR(VLOOKUP(V937,TD!$N$33:$O$45,2,0)," ")</f>
        <v xml:space="preserve"> </v>
      </c>
      <c r="X937" s="54" t="str">
        <f t="shared" si="57"/>
        <v xml:space="preserve">_ </v>
      </c>
      <c r="Y937" s="54" t="str">
        <f t="shared" si="58"/>
        <v xml:space="preserve">-  _ </v>
      </c>
      <c r="Z937" s="131" t="str">
        <f t="shared" si="59"/>
        <v xml:space="preserve">   </v>
      </c>
      <c r="AA937" s="131" t="str">
        <f>IFERROR(VLOOKUP(Y937,TD!$K$46:$L$64,2,0)," ")</f>
        <v xml:space="preserve"> </v>
      </c>
      <c r="AB937" s="57"/>
      <c r="AC937" s="132"/>
    </row>
    <row r="938" spans="2:29" s="28" customFormat="1">
      <c r="B938" s="85"/>
      <c r="C938" s="53"/>
      <c r="D938" s="129"/>
      <c r="E938" s="54"/>
      <c r="F938" s="129"/>
      <c r="G938" s="129"/>
      <c r="H938" s="55"/>
      <c r="I938" s="133"/>
      <c r="J938" s="130"/>
      <c r="K938" s="56"/>
      <c r="L938" s="57"/>
      <c r="M938" s="129"/>
      <c r="N938" s="57"/>
      <c r="O938" s="54"/>
      <c r="P938" s="131" t="str">
        <f>IFERROR(VLOOKUP(C938,TD!$B$32:$F$36,2,0)," ")</f>
        <v xml:space="preserve"> </v>
      </c>
      <c r="Q938" s="131" t="str">
        <f>IFERROR(VLOOKUP(C938,TD!$B$32:$F$36,3,0)," ")</f>
        <v xml:space="preserve"> </v>
      </c>
      <c r="R938" s="131" t="str">
        <f>IFERROR(VLOOKUP(C938,TD!$B$32:$F$36,4,0)," ")</f>
        <v xml:space="preserve"> </v>
      </c>
      <c r="S938" s="54"/>
      <c r="T938" s="131" t="str">
        <f>IFERROR(VLOOKUP(S938,TD!$J$33:$K$43,2,0)," ")</f>
        <v xml:space="preserve"> </v>
      </c>
      <c r="U938" s="54" t="str">
        <f t="shared" si="56"/>
        <v xml:space="preserve">- </v>
      </c>
      <c r="V938" s="54"/>
      <c r="W938" s="131" t="str">
        <f>IFERROR(VLOOKUP(V938,TD!$N$33:$O$45,2,0)," ")</f>
        <v xml:space="preserve"> </v>
      </c>
      <c r="X938" s="54" t="str">
        <f t="shared" si="57"/>
        <v xml:space="preserve">_ </v>
      </c>
      <c r="Y938" s="54" t="str">
        <f t="shared" si="58"/>
        <v xml:space="preserve">-  _ </v>
      </c>
      <c r="Z938" s="131" t="str">
        <f t="shared" si="59"/>
        <v xml:space="preserve">   </v>
      </c>
      <c r="AA938" s="131" t="str">
        <f>IFERROR(VLOOKUP(Y938,TD!$K$46:$L$64,2,0)," ")</f>
        <v xml:space="preserve"> </v>
      </c>
      <c r="AB938" s="57"/>
      <c r="AC938" s="132"/>
    </row>
    <row r="939" spans="2:29" s="28" customFormat="1">
      <c r="B939" s="85"/>
      <c r="C939" s="53"/>
      <c r="D939" s="129"/>
      <c r="E939" s="54"/>
      <c r="F939" s="129"/>
      <c r="G939" s="129"/>
      <c r="H939" s="55"/>
      <c r="I939" s="133"/>
      <c r="J939" s="130"/>
      <c r="K939" s="56"/>
      <c r="L939" s="57"/>
      <c r="M939" s="129"/>
      <c r="N939" s="57"/>
      <c r="O939" s="54"/>
      <c r="P939" s="131" t="str">
        <f>IFERROR(VLOOKUP(C939,TD!$B$32:$F$36,2,0)," ")</f>
        <v xml:space="preserve"> </v>
      </c>
      <c r="Q939" s="131" t="str">
        <f>IFERROR(VLOOKUP(C939,TD!$B$32:$F$36,3,0)," ")</f>
        <v xml:space="preserve"> </v>
      </c>
      <c r="R939" s="131" t="str">
        <f>IFERROR(VLOOKUP(C939,TD!$B$32:$F$36,4,0)," ")</f>
        <v xml:space="preserve"> </v>
      </c>
      <c r="S939" s="54"/>
      <c r="T939" s="131" t="str">
        <f>IFERROR(VLOOKUP(S939,TD!$J$33:$K$43,2,0)," ")</f>
        <v xml:space="preserve"> </v>
      </c>
      <c r="U939" s="54" t="str">
        <f t="shared" si="56"/>
        <v xml:space="preserve">- </v>
      </c>
      <c r="V939" s="54"/>
      <c r="W939" s="131" t="str">
        <f>IFERROR(VLOOKUP(V939,TD!$N$33:$O$45,2,0)," ")</f>
        <v xml:space="preserve"> </v>
      </c>
      <c r="X939" s="54" t="str">
        <f t="shared" si="57"/>
        <v xml:space="preserve">_ </v>
      </c>
      <c r="Y939" s="54" t="str">
        <f t="shared" si="58"/>
        <v xml:space="preserve">-  _ </v>
      </c>
      <c r="Z939" s="131" t="str">
        <f t="shared" si="59"/>
        <v xml:space="preserve">   </v>
      </c>
      <c r="AA939" s="131" t="str">
        <f>IFERROR(VLOOKUP(Y939,TD!$K$46:$L$64,2,0)," ")</f>
        <v xml:space="preserve"> </v>
      </c>
      <c r="AB939" s="57"/>
      <c r="AC939" s="132"/>
    </row>
    <row r="940" spans="2:29" s="28" customFormat="1">
      <c r="B940" s="85"/>
      <c r="C940" s="53"/>
      <c r="D940" s="129"/>
      <c r="E940" s="54"/>
      <c r="F940" s="129"/>
      <c r="G940" s="129"/>
      <c r="H940" s="55"/>
      <c r="I940" s="133"/>
      <c r="J940" s="130"/>
      <c r="K940" s="56"/>
      <c r="L940" s="57"/>
      <c r="M940" s="129"/>
      <c r="N940" s="57"/>
      <c r="O940" s="54"/>
      <c r="P940" s="131" t="str">
        <f>IFERROR(VLOOKUP(C940,TD!$B$32:$F$36,2,0)," ")</f>
        <v xml:space="preserve"> </v>
      </c>
      <c r="Q940" s="131" t="str">
        <f>IFERROR(VLOOKUP(C940,TD!$B$32:$F$36,3,0)," ")</f>
        <v xml:space="preserve"> </v>
      </c>
      <c r="R940" s="131" t="str">
        <f>IFERROR(VLOOKUP(C940,TD!$B$32:$F$36,4,0)," ")</f>
        <v xml:space="preserve"> </v>
      </c>
      <c r="S940" s="54"/>
      <c r="T940" s="131" t="str">
        <f>IFERROR(VLOOKUP(S940,TD!$J$33:$K$43,2,0)," ")</f>
        <v xml:space="preserve"> </v>
      </c>
      <c r="U940" s="54" t="str">
        <f t="shared" si="56"/>
        <v xml:space="preserve">- </v>
      </c>
      <c r="V940" s="54"/>
      <c r="W940" s="131" t="str">
        <f>IFERROR(VLOOKUP(V940,TD!$N$33:$O$45,2,0)," ")</f>
        <v xml:space="preserve"> </v>
      </c>
      <c r="X940" s="54" t="str">
        <f t="shared" si="57"/>
        <v xml:space="preserve">_ </v>
      </c>
      <c r="Y940" s="54" t="str">
        <f t="shared" si="58"/>
        <v xml:space="preserve">-  _ </v>
      </c>
      <c r="Z940" s="131" t="str">
        <f t="shared" si="59"/>
        <v xml:space="preserve">   </v>
      </c>
      <c r="AA940" s="131" t="str">
        <f>IFERROR(VLOOKUP(Y940,TD!$K$46:$L$64,2,0)," ")</f>
        <v xml:space="preserve"> </v>
      </c>
      <c r="AB940" s="57"/>
      <c r="AC940" s="132"/>
    </row>
    <row r="941" spans="2:29" s="28" customFormat="1">
      <c r="B941" s="85"/>
      <c r="C941" s="53"/>
      <c r="D941" s="129"/>
      <c r="E941" s="54"/>
      <c r="F941" s="129"/>
      <c r="G941" s="129"/>
      <c r="H941" s="55"/>
      <c r="I941" s="133"/>
      <c r="J941" s="130"/>
      <c r="K941" s="56"/>
      <c r="L941" s="57"/>
      <c r="M941" s="129"/>
      <c r="N941" s="57"/>
      <c r="O941" s="54"/>
      <c r="P941" s="131" t="str">
        <f>IFERROR(VLOOKUP(C941,TD!$B$32:$F$36,2,0)," ")</f>
        <v xml:space="preserve"> </v>
      </c>
      <c r="Q941" s="131" t="str">
        <f>IFERROR(VLOOKUP(C941,TD!$B$32:$F$36,3,0)," ")</f>
        <v xml:space="preserve"> </v>
      </c>
      <c r="R941" s="131" t="str">
        <f>IFERROR(VLOOKUP(C941,TD!$B$32:$F$36,4,0)," ")</f>
        <v xml:space="preserve"> </v>
      </c>
      <c r="S941" s="54"/>
      <c r="T941" s="131" t="str">
        <f>IFERROR(VLOOKUP(S941,TD!$J$33:$K$43,2,0)," ")</f>
        <v xml:space="preserve"> </v>
      </c>
      <c r="U941" s="54" t="str">
        <f t="shared" si="56"/>
        <v xml:space="preserve">- </v>
      </c>
      <c r="V941" s="54"/>
      <c r="W941" s="131" t="str">
        <f>IFERROR(VLOOKUP(V941,TD!$N$33:$O$45,2,0)," ")</f>
        <v xml:space="preserve"> </v>
      </c>
      <c r="X941" s="54" t="str">
        <f t="shared" si="57"/>
        <v xml:space="preserve">_ </v>
      </c>
      <c r="Y941" s="54" t="str">
        <f t="shared" si="58"/>
        <v xml:space="preserve">-  _ </v>
      </c>
      <c r="Z941" s="131" t="str">
        <f t="shared" si="59"/>
        <v xml:space="preserve">   </v>
      </c>
      <c r="AA941" s="131" t="str">
        <f>IFERROR(VLOOKUP(Y941,TD!$K$46:$L$64,2,0)," ")</f>
        <v xml:space="preserve"> </v>
      </c>
      <c r="AB941" s="57"/>
      <c r="AC941" s="132"/>
    </row>
    <row r="942" spans="2:29" s="28" customFormat="1">
      <c r="B942" s="85"/>
      <c r="C942" s="53"/>
      <c r="D942" s="129"/>
      <c r="E942" s="54"/>
      <c r="F942" s="129"/>
      <c r="G942" s="129"/>
      <c r="H942" s="55"/>
      <c r="I942" s="133"/>
      <c r="J942" s="130"/>
      <c r="K942" s="56"/>
      <c r="L942" s="57"/>
      <c r="M942" s="129"/>
      <c r="N942" s="57"/>
      <c r="O942" s="54"/>
      <c r="P942" s="131" t="str">
        <f>IFERROR(VLOOKUP(C942,TD!$B$32:$F$36,2,0)," ")</f>
        <v xml:space="preserve"> </v>
      </c>
      <c r="Q942" s="131" t="str">
        <f>IFERROR(VLOOKUP(C942,TD!$B$32:$F$36,3,0)," ")</f>
        <v xml:space="preserve"> </v>
      </c>
      <c r="R942" s="131" t="str">
        <f>IFERROR(VLOOKUP(C942,TD!$B$32:$F$36,4,0)," ")</f>
        <v xml:space="preserve"> </v>
      </c>
      <c r="S942" s="54"/>
      <c r="T942" s="131" t="str">
        <f>IFERROR(VLOOKUP(S942,TD!$J$33:$K$43,2,0)," ")</f>
        <v xml:space="preserve"> </v>
      </c>
      <c r="U942" s="54" t="str">
        <f t="shared" si="56"/>
        <v xml:space="preserve">- </v>
      </c>
      <c r="V942" s="54"/>
      <c r="W942" s="131" t="str">
        <f>IFERROR(VLOOKUP(V942,TD!$N$33:$O$45,2,0)," ")</f>
        <v xml:space="preserve"> </v>
      </c>
      <c r="X942" s="54" t="str">
        <f t="shared" si="57"/>
        <v xml:space="preserve">_ </v>
      </c>
      <c r="Y942" s="54" t="str">
        <f t="shared" si="58"/>
        <v xml:space="preserve">-  _ </v>
      </c>
      <c r="Z942" s="131" t="str">
        <f t="shared" si="59"/>
        <v xml:space="preserve">   </v>
      </c>
      <c r="AA942" s="131" t="str">
        <f>IFERROR(VLOOKUP(Y942,TD!$K$46:$L$64,2,0)," ")</f>
        <v xml:space="preserve"> </v>
      </c>
      <c r="AB942" s="57"/>
      <c r="AC942" s="132"/>
    </row>
    <row r="943" spans="2:29" s="28" customFormat="1">
      <c r="B943" s="85"/>
      <c r="C943" s="53"/>
      <c r="D943" s="129"/>
      <c r="E943" s="54"/>
      <c r="F943" s="129"/>
      <c r="G943" s="129"/>
      <c r="H943" s="55"/>
      <c r="I943" s="133"/>
      <c r="J943" s="130"/>
      <c r="K943" s="56"/>
      <c r="L943" s="57"/>
      <c r="M943" s="129"/>
      <c r="N943" s="57"/>
      <c r="O943" s="54"/>
      <c r="P943" s="131" t="str">
        <f>IFERROR(VLOOKUP(C943,TD!$B$32:$F$36,2,0)," ")</f>
        <v xml:space="preserve"> </v>
      </c>
      <c r="Q943" s="131" t="str">
        <f>IFERROR(VLOOKUP(C943,TD!$B$32:$F$36,3,0)," ")</f>
        <v xml:space="preserve"> </v>
      </c>
      <c r="R943" s="131" t="str">
        <f>IFERROR(VLOOKUP(C943,TD!$B$32:$F$36,4,0)," ")</f>
        <v xml:space="preserve"> </v>
      </c>
      <c r="S943" s="54"/>
      <c r="T943" s="131" t="str">
        <f>IFERROR(VLOOKUP(S943,TD!$J$33:$K$43,2,0)," ")</f>
        <v xml:space="preserve"> </v>
      </c>
      <c r="U943" s="54" t="str">
        <f t="shared" si="56"/>
        <v xml:space="preserve">- </v>
      </c>
      <c r="V943" s="54"/>
      <c r="W943" s="131" t="str">
        <f>IFERROR(VLOOKUP(V943,TD!$N$33:$O$45,2,0)," ")</f>
        <v xml:space="preserve"> </v>
      </c>
      <c r="X943" s="54" t="str">
        <f t="shared" si="57"/>
        <v xml:space="preserve">_ </v>
      </c>
      <c r="Y943" s="54" t="str">
        <f t="shared" si="58"/>
        <v xml:space="preserve">-  _ </v>
      </c>
      <c r="Z943" s="131" t="str">
        <f t="shared" si="59"/>
        <v xml:space="preserve">   </v>
      </c>
      <c r="AA943" s="131" t="str">
        <f>IFERROR(VLOOKUP(Y943,TD!$K$46:$L$64,2,0)," ")</f>
        <v xml:space="preserve"> </v>
      </c>
      <c r="AB943" s="57"/>
      <c r="AC943" s="132"/>
    </row>
    <row r="944" spans="2:29" s="28" customFormat="1">
      <c r="B944" s="85"/>
      <c r="C944" s="53"/>
      <c r="D944" s="129"/>
      <c r="E944" s="54"/>
      <c r="F944" s="129"/>
      <c r="G944" s="129"/>
      <c r="H944" s="55"/>
      <c r="I944" s="133"/>
      <c r="J944" s="130"/>
      <c r="K944" s="56"/>
      <c r="L944" s="57"/>
      <c r="M944" s="129"/>
      <c r="N944" s="57"/>
      <c r="O944" s="54"/>
      <c r="P944" s="131" t="str">
        <f>IFERROR(VLOOKUP(C944,TD!$B$32:$F$36,2,0)," ")</f>
        <v xml:space="preserve"> </v>
      </c>
      <c r="Q944" s="131" t="str">
        <f>IFERROR(VLOOKUP(C944,TD!$B$32:$F$36,3,0)," ")</f>
        <v xml:space="preserve"> </v>
      </c>
      <c r="R944" s="131" t="str">
        <f>IFERROR(VLOOKUP(C944,TD!$B$32:$F$36,4,0)," ")</f>
        <v xml:space="preserve"> </v>
      </c>
      <c r="S944" s="54"/>
      <c r="T944" s="131" t="str">
        <f>IFERROR(VLOOKUP(S944,TD!$J$33:$K$43,2,0)," ")</f>
        <v xml:space="preserve"> </v>
      </c>
      <c r="U944" s="54" t="str">
        <f t="shared" si="56"/>
        <v xml:space="preserve">- </v>
      </c>
      <c r="V944" s="54"/>
      <c r="W944" s="131" t="str">
        <f>IFERROR(VLOOKUP(V944,TD!$N$33:$O$45,2,0)," ")</f>
        <v xml:space="preserve"> </v>
      </c>
      <c r="X944" s="54" t="str">
        <f t="shared" si="57"/>
        <v xml:space="preserve">_ </v>
      </c>
      <c r="Y944" s="54" t="str">
        <f t="shared" si="58"/>
        <v xml:space="preserve">-  _ </v>
      </c>
      <c r="Z944" s="131" t="str">
        <f t="shared" si="59"/>
        <v xml:space="preserve">   </v>
      </c>
      <c r="AA944" s="131" t="str">
        <f>IFERROR(VLOOKUP(Y944,TD!$K$46:$L$64,2,0)," ")</f>
        <v xml:space="preserve"> </v>
      </c>
      <c r="AB944" s="57"/>
      <c r="AC944" s="132"/>
    </row>
    <row r="945" spans="2:29" s="28" customFormat="1">
      <c r="B945" s="85"/>
      <c r="C945" s="53"/>
      <c r="D945" s="129"/>
      <c r="E945" s="54"/>
      <c r="F945" s="129"/>
      <c r="G945" s="129"/>
      <c r="H945" s="55"/>
      <c r="I945" s="133"/>
      <c r="J945" s="130"/>
      <c r="K945" s="56"/>
      <c r="L945" s="57"/>
      <c r="M945" s="129"/>
      <c r="N945" s="57"/>
      <c r="O945" s="54"/>
      <c r="P945" s="131" t="str">
        <f>IFERROR(VLOOKUP(C945,TD!$B$32:$F$36,2,0)," ")</f>
        <v xml:space="preserve"> </v>
      </c>
      <c r="Q945" s="131" t="str">
        <f>IFERROR(VLOOKUP(C945,TD!$B$32:$F$36,3,0)," ")</f>
        <v xml:space="preserve"> </v>
      </c>
      <c r="R945" s="131" t="str">
        <f>IFERROR(VLOOKUP(C945,TD!$B$32:$F$36,4,0)," ")</f>
        <v xml:space="preserve"> </v>
      </c>
      <c r="S945" s="54"/>
      <c r="T945" s="131" t="str">
        <f>IFERROR(VLOOKUP(S945,TD!$J$33:$K$43,2,0)," ")</f>
        <v xml:space="preserve"> </v>
      </c>
      <c r="U945" s="54" t="str">
        <f t="shared" si="56"/>
        <v xml:space="preserve">- </v>
      </c>
      <c r="V945" s="54"/>
      <c r="W945" s="131" t="str">
        <f>IFERROR(VLOOKUP(V945,TD!$N$33:$O$45,2,0)," ")</f>
        <v xml:space="preserve"> </v>
      </c>
      <c r="X945" s="54" t="str">
        <f t="shared" si="57"/>
        <v xml:space="preserve">_ </v>
      </c>
      <c r="Y945" s="54" t="str">
        <f t="shared" si="58"/>
        <v xml:space="preserve">-  _ </v>
      </c>
      <c r="Z945" s="131" t="str">
        <f t="shared" si="59"/>
        <v xml:space="preserve">   </v>
      </c>
      <c r="AA945" s="131" t="str">
        <f>IFERROR(VLOOKUP(Y945,TD!$K$46:$L$64,2,0)," ")</f>
        <v xml:space="preserve"> </v>
      </c>
      <c r="AB945" s="57"/>
      <c r="AC945" s="132"/>
    </row>
    <row r="946" spans="2:29" s="28" customFormat="1">
      <c r="B946" s="85"/>
      <c r="C946" s="53"/>
      <c r="D946" s="129"/>
      <c r="E946" s="54"/>
      <c r="F946" s="129"/>
      <c r="G946" s="129"/>
      <c r="H946" s="55"/>
      <c r="I946" s="133"/>
      <c r="J946" s="130"/>
      <c r="K946" s="56"/>
      <c r="L946" s="57"/>
      <c r="M946" s="129"/>
      <c r="N946" s="57"/>
      <c r="O946" s="54"/>
      <c r="P946" s="131" t="str">
        <f>IFERROR(VLOOKUP(C946,TD!$B$32:$F$36,2,0)," ")</f>
        <v xml:space="preserve"> </v>
      </c>
      <c r="Q946" s="131" t="str">
        <f>IFERROR(VLOOKUP(C946,TD!$B$32:$F$36,3,0)," ")</f>
        <v xml:space="preserve"> </v>
      </c>
      <c r="R946" s="131" t="str">
        <f>IFERROR(VLOOKUP(C946,TD!$B$32:$F$36,4,0)," ")</f>
        <v xml:space="preserve"> </v>
      </c>
      <c r="S946" s="54"/>
      <c r="T946" s="131" t="str">
        <f>IFERROR(VLOOKUP(S946,TD!$J$33:$K$43,2,0)," ")</f>
        <v xml:space="preserve"> </v>
      </c>
      <c r="U946" s="54" t="str">
        <f t="shared" si="56"/>
        <v xml:space="preserve">- </v>
      </c>
      <c r="V946" s="54"/>
      <c r="W946" s="131" t="str">
        <f>IFERROR(VLOOKUP(V946,TD!$N$33:$O$45,2,0)," ")</f>
        <v xml:space="preserve"> </v>
      </c>
      <c r="X946" s="54" t="str">
        <f t="shared" si="57"/>
        <v xml:space="preserve">_ </v>
      </c>
      <c r="Y946" s="54" t="str">
        <f t="shared" si="58"/>
        <v xml:space="preserve">-  _ </v>
      </c>
      <c r="Z946" s="131" t="str">
        <f t="shared" si="59"/>
        <v xml:space="preserve">   </v>
      </c>
      <c r="AA946" s="131" t="str">
        <f>IFERROR(VLOOKUP(Y946,TD!$K$46:$L$64,2,0)," ")</f>
        <v xml:space="preserve"> </v>
      </c>
      <c r="AB946" s="57"/>
      <c r="AC946" s="132"/>
    </row>
    <row r="947" spans="2:29" s="28" customFormat="1">
      <c r="B947" s="97"/>
      <c r="C947" s="98"/>
      <c r="D947" s="134"/>
      <c r="E947" s="135"/>
      <c r="F947" s="134"/>
      <c r="G947" s="134"/>
      <c r="H947" s="99"/>
      <c r="I947" s="136"/>
      <c r="J947" s="137"/>
      <c r="K947" s="100"/>
      <c r="L947" s="101"/>
      <c r="M947" s="134"/>
      <c r="N947" s="101"/>
      <c r="O947" s="135"/>
      <c r="P947" s="138" t="str">
        <f>IFERROR(VLOOKUP(C947,TD!$B$32:$F$36,2,0)," ")</f>
        <v xml:space="preserve"> </v>
      </c>
      <c r="Q947" s="138" t="str">
        <f>IFERROR(VLOOKUP(C947,TD!$B$32:$F$36,3,0)," ")</f>
        <v xml:space="preserve"> </v>
      </c>
      <c r="R947" s="138" t="str">
        <f>IFERROR(VLOOKUP(C947,TD!$B$32:$F$36,4,0)," ")</f>
        <v xml:space="preserve"> </v>
      </c>
      <c r="S947" s="135"/>
      <c r="T947" s="138"/>
      <c r="U947" s="135" t="str">
        <f t="shared" si="56"/>
        <v>-</v>
      </c>
      <c r="V947" s="135"/>
      <c r="W947" s="138"/>
      <c r="X947" s="135" t="str">
        <f t="shared" si="57"/>
        <v>_</v>
      </c>
      <c r="Y947" s="135" t="str">
        <f t="shared" si="58"/>
        <v>- _</v>
      </c>
      <c r="Z947" s="138" t="str">
        <f t="shared" si="59"/>
        <v xml:space="preserve">   </v>
      </c>
      <c r="AA947" s="138" t="str">
        <f>IFERROR(VLOOKUP(Y947,TD!$K$46:$L$64,2,0)," ")</f>
        <v xml:space="preserve"> </v>
      </c>
      <c r="AB947" s="101"/>
      <c r="AC947" s="139"/>
    </row>
    <row r="948" spans="2:29">
      <c r="B948" s="85"/>
      <c r="C948" s="53"/>
      <c r="D948" s="129"/>
      <c r="E948" s="54"/>
      <c r="F948" s="129"/>
      <c r="G948" s="129"/>
      <c r="H948" s="55"/>
      <c r="I948" s="133"/>
      <c r="J948" s="130"/>
      <c r="K948" s="56"/>
      <c r="L948" s="57"/>
      <c r="M948" s="129"/>
      <c r="N948" s="57"/>
      <c r="O948" s="54"/>
      <c r="P948" s="131" t="str">
        <f>IFERROR(VLOOKUP(C948,TD!$B$32:$F$36,2,0)," ")</f>
        <v xml:space="preserve"> </v>
      </c>
      <c r="Q948" s="131" t="str">
        <f>IFERROR(VLOOKUP(C948,TD!$B$32:$F$36,3,0)," ")</f>
        <v xml:space="preserve"> </v>
      </c>
      <c r="R948" s="131" t="str">
        <f>IFERROR(VLOOKUP(C948,TD!$B$32:$F$36,4,0)," ")</f>
        <v xml:space="preserve"> </v>
      </c>
      <c r="S948" s="54"/>
      <c r="T948" s="131"/>
      <c r="U948" s="54" t="str">
        <f t="shared" si="56"/>
        <v>-</v>
      </c>
      <c r="V948" s="54"/>
      <c r="W948" s="131"/>
      <c r="X948" s="54" t="str">
        <f t="shared" si="57"/>
        <v>_</v>
      </c>
      <c r="Y948" s="54" t="str">
        <f t="shared" si="58"/>
        <v>- _</v>
      </c>
      <c r="Z948" s="131" t="str">
        <f t="shared" si="59"/>
        <v xml:space="preserve">   </v>
      </c>
      <c r="AA948" s="131" t="str">
        <f>IFERROR(VLOOKUP(Y948,TD!$K$46:$L$64,2,0)," ")</f>
        <v xml:space="preserve"> </v>
      </c>
      <c r="AB948" s="57"/>
      <c r="AC948" s="132"/>
    </row>
    <row r="949" spans="2:29">
      <c r="B949" s="85"/>
      <c r="C949" s="53"/>
      <c r="D949" s="129"/>
      <c r="E949" s="54"/>
      <c r="F949" s="129"/>
      <c r="G949" s="129"/>
      <c r="H949" s="55"/>
      <c r="I949" s="133"/>
      <c r="J949" s="130"/>
      <c r="K949" s="56"/>
      <c r="L949" s="57"/>
      <c r="M949" s="129"/>
      <c r="N949" s="57"/>
      <c r="O949" s="54"/>
      <c r="P949" s="131" t="str">
        <f>IFERROR(VLOOKUP(C949,TD!$B$32:$F$36,2,0)," ")</f>
        <v xml:space="preserve"> </v>
      </c>
      <c r="Q949" s="131" t="str">
        <f>IFERROR(VLOOKUP(C949,TD!$B$32:$F$36,3,0)," ")</f>
        <v xml:space="preserve"> </v>
      </c>
      <c r="R949" s="131" t="str">
        <f>IFERROR(VLOOKUP(C949,TD!$B$32:$F$36,4,0)," ")</f>
        <v xml:space="preserve"> </v>
      </c>
      <c r="S949" s="54"/>
      <c r="T949" s="131"/>
      <c r="U949" s="54" t="str">
        <f t="shared" si="56"/>
        <v>-</v>
      </c>
      <c r="V949" s="54"/>
      <c r="W949" s="131"/>
      <c r="X949" s="54" t="str">
        <f t="shared" si="57"/>
        <v>_</v>
      </c>
      <c r="Y949" s="54" t="str">
        <f t="shared" si="58"/>
        <v>- _</v>
      </c>
      <c r="Z949" s="131" t="str">
        <f t="shared" si="59"/>
        <v xml:space="preserve">   </v>
      </c>
      <c r="AA949" s="131" t="str">
        <f>IFERROR(VLOOKUP(Y949,TD!$K$46:$L$64,2,0)," ")</f>
        <v xml:space="preserve"> </v>
      </c>
      <c r="AB949" s="57"/>
      <c r="AC949" s="132"/>
    </row>
    <row r="950" spans="2:29">
      <c r="B950" s="85"/>
      <c r="C950" s="53"/>
      <c r="D950" s="129"/>
      <c r="E950" s="54"/>
      <c r="F950" s="129"/>
      <c r="G950" s="129"/>
      <c r="H950" s="55"/>
      <c r="I950" s="133"/>
      <c r="J950" s="130"/>
      <c r="K950" s="56"/>
      <c r="L950" s="57"/>
      <c r="M950" s="129"/>
      <c r="N950" s="57"/>
      <c r="O950" s="54"/>
      <c r="P950" s="131" t="str">
        <f>IFERROR(VLOOKUP(C950,TD!$B$32:$F$36,2,0)," ")</f>
        <v xml:space="preserve"> </v>
      </c>
      <c r="Q950" s="131" t="str">
        <f>IFERROR(VLOOKUP(C950,TD!$B$32:$F$36,3,0)," ")</f>
        <v xml:space="preserve"> </v>
      </c>
      <c r="R950" s="131" t="str">
        <f>IFERROR(VLOOKUP(C950,TD!$B$32:$F$36,4,0)," ")</f>
        <v xml:space="preserve"> </v>
      </c>
      <c r="S950" s="54"/>
      <c r="T950" s="131"/>
      <c r="U950" s="54" t="str">
        <f t="shared" si="56"/>
        <v>-</v>
      </c>
      <c r="V950" s="54"/>
      <c r="W950" s="131"/>
      <c r="X950" s="54" t="str">
        <f t="shared" si="57"/>
        <v>_</v>
      </c>
      <c r="Y950" s="54" t="str">
        <f t="shared" si="58"/>
        <v>- _</v>
      </c>
      <c r="Z950" s="131" t="str">
        <f t="shared" si="59"/>
        <v xml:space="preserve">   </v>
      </c>
      <c r="AA950" s="131" t="str">
        <f>IFERROR(VLOOKUP(Y950,TD!$K$46:$L$64,2,0)," ")</f>
        <v xml:space="preserve"> </v>
      </c>
      <c r="AB950" s="57"/>
      <c r="AC950" s="132"/>
    </row>
    <row r="951" spans="2:29">
      <c r="B951" s="85"/>
      <c r="C951" s="53"/>
      <c r="D951" s="129"/>
      <c r="E951" s="54"/>
      <c r="F951" s="129"/>
      <c r="G951" s="129"/>
      <c r="H951" s="55"/>
      <c r="I951" s="133"/>
      <c r="J951" s="130"/>
      <c r="K951" s="56"/>
      <c r="L951" s="57"/>
      <c r="M951" s="129"/>
      <c r="N951" s="57"/>
      <c r="O951" s="54"/>
      <c r="P951" s="131" t="str">
        <f>IFERROR(VLOOKUP(C951,TD!$B$32:$F$36,2,0)," ")</f>
        <v xml:space="preserve"> </v>
      </c>
      <c r="Q951" s="131" t="str">
        <f>IFERROR(VLOOKUP(C951,TD!$B$32:$F$36,3,0)," ")</f>
        <v xml:space="preserve"> </v>
      </c>
      <c r="R951" s="131" t="str">
        <f>IFERROR(VLOOKUP(C951,TD!$B$32:$F$36,4,0)," ")</f>
        <v xml:space="preserve"> </v>
      </c>
      <c r="S951" s="54"/>
      <c r="T951" s="131"/>
      <c r="U951" s="54" t="str">
        <f t="shared" si="56"/>
        <v>-</v>
      </c>
      <c r="V951" s="54"/>
      <c r="W951" s="131"/>
      <c r="X951" s="54" t="str">
        <f t="shared" si="57"/>
        <v>_</v>
      </c>
      <c r="Y951" s="54" t="str">
        <f t="shared" si="58"/>
        <v>- _</v>
      </c>
      <c r="Z951" s="131" t="str">
        <f t="shared" si="59"/>
        <v xml:space="preserve">   </v>
      </c>
      <c r="AA951" s="131" t="str">
        <f>IFERROR(VLOOKUP(Y951,TD!$K$46:$L$64,2,0)," ")</f>
        <v xml:space="preserve"> </v>
      </c>
      <c r="AB951" s="57"/>
      <c r="AC951" s="132"/>
    </row>
  </sheetData>
  <mergeCells count="7">
    <mergeCell ref="L6:N6"/>
    <mergeCell ref="B2:C2"/>
    <mergeCell ref="E3:K3"/>
    <mergeCell ref="E4:K4"/>
    <mergeCell ref="E5:K5"/>
    <mergeCell ref="L4:N4"/>
    <mergeCell ref="L5:N5"/>
  </mergeCells>
  <conditionalFormatting sqref="E3:E5">
    <cfRule type="duplicateValues" dxfId="77" priority="148" stopIfTrue="1"/>
    <cfRule type="duplicateValues" dxfId="76" priority="149" stopIfTrue="1"/>
    <cfRule type="duplicateValues" dxfId="75" priority="150"/>
    <cfRule type="duplicateValues" dxfId="74" priority="151"/>
    <cfRule type="duplicateValues" dxfId="73" priority="152"/>
  </conditionalFormatting>
  <conditionalFormatting sqref="E3:E8 B5:B65510">
    <cfRule type="expression" dxfId="72" priority="3613" stopIfTrue="1">
      <formula>AND(COUNTIF($E$3:$E$8, B3)+COUNTIF(#REF!, B3)&gt;1,NOT(ISBLANK(B3)))</formula>
    </cfRule>
    <cfRule type="expression" dxfId="71" priority="3614" stopIfTrue="1">
      <formula>AND(COUNTIF($E$3:$E$8, B3)+COUNTIF(#REF!, B3)&gt;1,NOT(ISBLANK(B3)))</formula>
    </cfRule>
    <cfRule type="expression" dxfId="70" priority="3615" stopIfTrue="1">
      <formula>AND(COUNTIF($E$3:$E$8, B3)+COUNTIF(#REF!, B3)&gt;1,NOT(ISBLANK(B3)))</formula>
    </cfRule>
  </conditionalFormatting>
  <conditionalFormatting sqref="E3:E8">
    <cfRule type="expression" dxfId="69" priority="3625" stopIfTrue="1">
      <formula>AND(COUNTIF($E$3:$E$8, E3)+COUNTIF(#REF!, E3)&gt;1,NOT(ISBLANK(E3)))</formula>
    </cfRule>
    <cfRule type="expression" dxfId="68" priority="3626" stopIfTrue="1">
      <formula>AND(COUNTIF($E$3:$E$8, E3)+COUNTIF(#REF!, E3)&gt;1,NOT(ISBLANK(E3)))</formula>
    </cfRule>
    <cfRule type="expression" dxfId="67" priority="3627" stopIfTrue="1">
      <formula>AND(COUNTIF($E$3:$E$8, E3)+COUNTIF(#REF!, E3)&gt;1,NOT(ISBLANK(E3)))</formula>
    </cfRule>
  </conditionalFormatting>
  <conditionalFormatting sqref="B1:B1048576">
    <cfRule type="duplicateValues" dxfId="66" priority="4"/>
    <cfRule type="duplicateValues" dxfId="65" priority="3954"/>
    <cfRule type="duplicateValues" dxfId="64" priority="3955"/>
  </conditionalFormatting>
  <conditionalFormatting sqref="B10:B65510">
    <cfRule type="expression" dxfId="63" priority="4935" stopIfTrue="1">
      <formula>AND(COUNTIF(#REF!, B10)+COUNTIF($B$2:$B$10, B10)+COUNTIF($B$11:$B$951, B10)&gt;1,NOT(ISBLANK(B10)))</formula>
    </cfRule>
    <cfRule type="expression" dxfId="62" priority="4936" stopIfTrue="1">
      <formula>AND(COUNTIF($B$2:$B$10, B10)+COUNTIF($B$11:$B$951, B10)&gt;1,NOT(ISBLANK(B10)))</formula>
    </cfRule>
    <cfRule type="expression" dxfId="61" priority="4937" stopIfTrue="1">
      <formula>AND(COUNTIF(#REF!, B10)+COUNTIF($B$10:$B$10, B10)&gt;1,NOT(ISBLANK(B10)))</formula>
    </cfRule>
  </conditionalFormatting>
  <conditionalFormatting sqref="B11:B951">
    <cfRule type="duplicateValues" dxfId="60" priority="4941"/>
    <cfRule type="duplicateValues" dxfId="59" priority="4942"/>
    <cfRule type="duplicateValues" dxfId="58" priority="4943"/>
  </conditionalFormatting>
  <conditionalFormatting sqref="B10:B65510">
    <cfRule type="duplicateValues" dxfId="57" priority="4947" stopIfTrue="1"/>
    <cfRule type="duplicateValues" dxfId="56" priority="4948" stopIfTrue="1"/>
    <cfRule type="duplicateValues" dxfId="55" priority="4949" stopIfTrue="1"/>
    <cfRule type="duplicateValues" dxfId="54" priority="4950" stopIfTrue="1"/>
    <cfRule type="duplicateValues" dxfId="53" priority="4951" stopIfTrue="1"/>
    <cfRule type="duplicateValues" dxfId="52" priority="4952"/>
    <cfRule type="duplicateValues" dxfId="51" priority="4953"/>
    <cfRule type="duplicateValues" dxfId="50" priority="4954" stopIfTrue="1"/>
    <cfRule type="duplicateValues" dxfId="49" priority="4955" stopIfTrue="1"/>
    <cfRule type="duplicateValues" dxfId="48" priority="4956" stopIfTrue="1"/>
    <cfRule type="duplicateValues" dxfId="47" priority="4957" stopIfTrue="1"/>
    <cfRule type="duplicateValues" dxfId="46" priority="4958" stopIfTrue="1"/>
    <cfRule type="duplicateValues" dxfId="45" priority="4959" stopIfTrue="1"/>
    <cfRule type="duplicateValues" dxfId="44" priority="4960" stopIfTrue="1"/>
    <cfRule type="duplicateValues" dxfId="43" priority="4961" stopIfTrue="1"/>
    <cfRule type="duplicateValues" dxfId="42" priority="4962" stopIfTrue="1"/>
    <cfRule type="duplicateValues" dxfId="41" priority="4963" stopIfTrue="1"/>
    <cfRule type="duplicateValues" dxfId="40" priority="4964"/>
    <cfRule type="duplicateValues" dxfId="39" priority="4965"/>
    <cfRule type="duplicateValues" dxfId="38" priority="4966"/>
    <cfRule type="duplicateValues" dxfId="37" priority="4967"/>
  </conditionalFormatting>
  <conditionalFormatting sqref="B5:B65510">
    <cfRule type="duplicateValues" dxfId="36" priority="4989"/>
    <cfRule type="duplicateValues" dxfId="35" priority="4990"/>
    <cfRule type="duplicateValues" dxfId="34" priority="4991"/>
    <cfRule type="duplicateValues" dxfId="33" priority="4992" stopIfTrue="1"/>
  </conditionalFormatting>
  <pageMargins left="0.7" right="0.7" top="0.75" bottom="0.75" header="0.3" footer="0.3"/>
  <pageSetup paperSize="9" scale="12" orientation="portrait" horizontalDpi="4294967294" verticalDpi="4294967294" r:id="rId1"/>
  <ignoredErrors>
    <ignoredError sqref="O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TD!$D$2:$D$29</xm:f>
          </x14:formula1>
          <xm:sqref>G11:G951</xm:sqref>
        </x14:dataValidation>
        <x14:dataValidation type="list" allowBlank="1" showInputMessage="1" showErrorMessage="1">
          <x14:formula1>
            <xm:f>TD!$J$3:$J$23</xm:f>
          </x14:formula1>
          <xm:sqref>O11:O951</xm:sqref>
        </x14:dataValidation>
        <x14:dataValidation type="list" allowBlank="1" showInputMessage="1" showErrorMessage="1">
          <x14:formula1>
            <xm:f>TD!$F$2:$F$20</xm:f>
          </x14:formula1>
          <xm:sqref>AB11:AB951</xm:sqref>
        </x14:dataValidation>
        <x14:dataValidation type="list" allowBlank="1" showInputMessage="1" showErrorMessage="1">
          <x14:formula1>
            <xm:f>TD!$J$33:$J$43</xm:f>
          </x14:formula1>
          <xm:sqref>S11:S951</xm:sqref>
        </x14:dataValidation>
        <x14:dataValidation type="list" allowBlank="1" showInputMessage="1" showErrorMessage="1">
          <x14:formula1>
            <xm:f>TD!$X$33:$X$34</xm:f>
          </x14:formula1>
          <xm:sqref>AC11:AC951</xm:sqref>
        </x14:dataValidation>
        <x14:dataValidation type="list" allowBlank="1" showInputMessage="1" showErrorMessage="1">
          <x14:formula1>
            <xm:f>TD!$B$2:$B$11</xm:f>
          </x14:formula1>
          <xm:sqref>N11:N951</xm:sqref>
        </x14:dataValidation>
        <x14:dataValidation type="list" allowBlank="1" showInputMessage="1" showErrorMessage="1">
          <x14:formula1>
            <xm:f>TD!$L$2:$L$5</xm:f>
          </x14:formula1>
          <xm:sqref>C11:C1048576</xm:sqref>
        </x14:dataValidation>
        <x14:dataValidation type="list" allowBlank="1" showInputMessage="1" showErrorMessage="1">
          <x14:formula1>
            <xm:f>TD!$Q$2:$Q$4</xm:f>
          </x14:formula1>
          <xm:sqref>M11:M1048576</xm:sqref>
        </x14:dataValidation>
        <x14:dataValidation type="list" allowBlank="1" showInputMessage="1" showErrorMessage="1">
          <x14:formula1>
            <xm:f>TD!$O$2:$O$15</xm:f>
          </x14:formula1>
          <xm:sqref>D11:D1048576</xm:sqref>
        </x14:dataValidation>
        <x14:dataValidation type="list" allowBlank="1" showInputMessage="1" showErrorMessage="1">
          <x14:formula1>
            <xm:f>TD!$N$33:$N$45</xm:f>
          </x14:formula1>
          <xm:sqref>V11:V951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M39"/>
  <sheetViews>
    <sheetView topLeftCell="B1" zoomScale="70" zoomScaleNormal="70" workbookViewId="0">
      <selection activeCell="J15" sqref="J15"/>
    </sheetView>
  </sheetViews>
  <sheetFormatPr baseColWidth="10" defaultColWidth="17.140625" defaultRowHeight="14.25"/>
  <cols>
    <col min="1" max="1" width="5.5703125" style="103" customWidth="1"/>
    <col min="2" max="3" width="17.140625" style="103"/>
    <col min="4" max="4" width="20.42578125" style="103" customWidth="1"/>
    <col min="5" max="5" width="29.5703125" style="103" customWidth="1"/>
    <col min="6" max="6" width="20.5703125" style="104" customWidth="1"/>
    <col min="7" max="7" width="6.42578125" style="103" customWidth="1"/>
    <col min="8" max="8" width="24.5703125" style="103" customWidth="1"/>
    <col min="9" max="9" width="24.42578125" style="103" customWidth="1"/>
    <col min="10" max="10" width="19.140625" style="103" customWidth="1"/>
    <col min="11" max="11" width="28.85546875" style="104" bestFit="1" customWidth="1"/>
    <col min="12" max="12" width="21.5703125" style="103" customWidth="1"/>
    <col min="13" max="16384" width="17.140625" style="103"/>
  </cols>
  <sheetData>
    <row r="2" spans="2:13" ht="15">
      <c r="B2" s="102" t="s">
        <v>683</v>
      </c>
      <c r="C2" s="102"/>
      <c r="H2" s="102" t="s">
        <v>703</v>
      </c>
    </row>
    <row r="3" spans="2:13" ht="15">
      <c r="B3" s="102" t="s">
        <v>684</v>
      </c>
      <c r="H3" s="102" t="s">
        <v>684</v>
      </c>
    </row>
    <row r="4" spans="2:13" ht="15">
      <c r="B4" s="102" t="s">
        <v>209</v>
      </c>
      <c r="C4" s="102"/>
      <c r="H4" s="102" t="s">
        <v>209</v>
      </c>
      <c r="I4" s="102"/>
    </row>
    <row r="5" spans="2:13" s="25" customFormat="1" ht="30">
      <c r="B5" s="62" t="s">
        <v>53</v>
      </c>
      <c r="C5" s="62" t="s">
        <v>1</v>
      </c>
      <c r="D5" s="71" t="s">
        <v>3</v>
      </c>
      <c r="E5" s="62" t="s">
        <v>232</v>
      </c>
      <c r="F5" s="111" t="s">
        <v>682</v>
      </c>
      <c r="G5" s="24"/>
      <c r="H5" s="62" t="s">
        <v>53</v>
      </c>
      <c r="I5" s="62" t="s">
        <v>1</v>
      </c>
      <c r="J5" s="71" t="s">
        <v>3</v>
      </c>
      <c r="K5" s="62" t="s">
        <v>232</v>
      </c>
      <c r="L5" s="111" t="s">
        <v>682</v>
      </c>
      <c r="M5" s="111" t="s">
        <v>685</v>
      </c>
    </row>
    <row r="6" spans="2:13">
      <c r="B6" s="106" t="s">
        <v>209</v>
      </c>
      <c r="C6" s="106" t="s">
        <v>46</v>
      </c>
      <c r="D6" s="106" t="s">
        <v>220</v>
      </c>
      <c r="E6" s="106" t="s">
        <v>267</v>
      </c>
      <c r="F6" s="107">
        <v>260870960</v>
      </c>
      <c r="H6" s="106" t="s">
        <v>209</v>
      </c>
      <c r="I6" s="106" t="s">
        <v>46</v>
      </c>
      <c r="J6" s="106" t="s">
        <v>220</v>
      </c>
      <c r="K6" s="106" t="s">
        <v>267</v>
      </c>
      <c r="L6" s="107">
        <v>260870960</v>
      </c>
      <c r="M6" s="109">
        <f t="shared" ref="M6:M19" si="0">+F6-L6</f>
        <v>0</v>
      </c>
    </row>
    <row r="7" spans="2:13">
      <c r="B7" s="106" t="s">
        <v>209</v>
      </c>
      <c r="C7" s="106" t="s">
        <v>162</v>
      </c>
      <c r="D7" s="106" t="s">
        <v>221</v>
      </c>
      <c r="E7" s="106" t="s">
        <v>274</v>
      </c>
      <c r="F7" s="107">
        <v>260870960</v>
      </c>
      <c r="H7" s="106" t="s">
        <v>209</v>
      </c>
      <c r="I7" s="106" t="s">
        <v>162</v>
      </c>
      <c r="J7" s="106" t="s">
        <v>221</v>
      </c>
      <c r="K7" s="106" t="s">
        <v>274</v>
      </c>
      <c r="L7" s="107">
        <v>260870960</v>
      </c>
      <c r="M7" s="109">
        <f t="shared" si="0"/>
        <v>0</v>
      </c>
    </row>
    <row r="8" spans="2:13">
      <c r="B8" s="106" t="s">
        <v>209</v>
      </c>
      <c r="C8" s="106" t="s">
        <v>163</v>
      </c>
      <c r="D8" s="106" t="s">
        <v>215</v>
      </c>
      <c r="E8" s="106" t="s">
        <v>270</v>
      </c>
      <c r="F8" s="107">
        <v>481960117</v>
      </c>
      <c r="H8" s="106" t="s">
        <v>209</v>
      </c>
      <c r="I8" s="106" t="s">
        <v>163</v>
      </c>
      <c r="J8" s="106" t="s">
        <v>215</v>
      </c>
      <c r="K8" s="106" t="s">
        <v>270</v>
      </c>
      <c r="L8" s="107">
        <v>481960117</v>
      </c>
      <c r="M8" s="109">
        <f t="shared" si="0"/>
        <v>0</v>
      </c>
    </row>
    <row r="9" spans="2:13">
      <c r="B9" s="106" t="s">
        <v>209</v>
      </c>
      <c r="C9" s="106" t="s">
        <v>163</v>
      </c>
      <c r="D9" s="106" t="s">
        <v>216</v>
      </c>
      <c r="E9" s="106" t="s">
        <v>270</v>
      </c>
      <c r="F9" s="107">
        <v>926338572</v>
      </c>
      <c r="H9" s="106" t="s">
        <v>209</v>
      </c>
      <c r="I9" s="106" t="s">
        <v>163</v>
      </c>
      <c r="J9" s="106" t="s">
        <v>216</v>
      </c>
      <c r="K9" s="106" t="s">
        <v>270</v>
      </c>
      <c r="L9" s="107">
        <v>926338572</v>
      </c>
      <c r="M9" s="109">
        <f t="shared" si="0"/>
        <v>0</v>
      </c>
    </row>
    <row r="10" spans="2:13">
      <c r="B10" s="106" t="s">
        <v>209</v>
      </c>
      <c r="C10" s="106" t="s">
        <v>163</v>
      </c>
      <c r="D10" s="106" t="s">
        <v>217</v>
      </c>
      <c r="E10" s="106" t="s">
        <v>270</v>
      </c>
      <c r="F10" s="107">
        <v>475003732</v>
      </c>
      <c r="H10" s="106" t="s">
        <v>209</v>
      </c>
      <c r="I10" s="106" t="s">
        <v>163</v>
      </c>
      <c r="J10" s="106" t="s">
        <v>217</v>
      </c>
      <c r="K10" s="106" t="s">
        <v>270</v>
      </c>
      <c r="L10" s="107">
        <v>475003732</v>
      </c>
      <c r="M10" s="109">
        <f t="shared" si="0"/>
        <v>0</v>
      </c>
    </row>
    <row r="11" spans="2:13">
      <c r="B11" s="106" t="s">
        <v>209</v>
      </c>
      <c r="C11" s="106" t="s">
        <v>163</v>
      </c>
      <c r="D11" s="106" t="s">
        <v>218</v>
      </c>
      <c r="E11" s="106" t="s">
        <v>270</v>
      </c>
      <c r="F11" s="107">
        <v>175876971</v>
      </c>
      <c r="H11" s="106" t="s">
        <v>209</v>
      </c>
      <c r="I11" s="106" t="s">
        <v>163</v>
      </c>
      <c r="J11" s="106" t="s">
        <v>218</v>
      </c>
      <c r="K11" s="106" t="s">
        <v>270</v>
      </c>
      <c r="L11" s="107">
        <v>175876971</v>
      </c>
      <c r="M11" s="109">
        <f t="shared" si="0"/>
        <v>0</v>
      </c>
    </row>
    <row r="12" spans="2:13">
      <c r="B12" s="106" t="s">
        <v>209</v>
      </c>
      <c r="C12" s="106" t="s">
        <v>37</v>
      </c>
      <c r="D12" s="106" t="s">
        <v>212</v>
      </c>
      <c r="E12" s="106" t="s">
        <v>272</v>
      </c>
      <c r="F12" s="107">
        <v>336851064</v>
      </c>
      <c r="H12" s="106" t="s">
        <v>209</v>
      </c>
      <c r="I12" s="106" t="s">
        <v>37</v>
      </c>
      <c r="J12" s="106" t="s">
        <v>212</v>
      </c>
      <c r="K12" s="106" t="s">
        <v>272</v>
      </c>
      <c r="L12" s="107">
        <v>336851064</v>
      </c>
      <c r="M12" s="109">
        <f t="shared" si="0"/>
        <v>0</v>
      </c>
    </row>
    <row r="13" spans="2:13">
      <c r="B13" s="106" t="s">
        <v>209</v>
      </c>
      <c r="C13" s="106" t="s">
        <v>37</v>
      </c>
      <c r="D13" s="106" t="s">
        <v>213</v>
      </c>
      <c r="E13" s="106" t="s">
        <v>273</v>
      </c>
      <c r="F13" s="107">
        <v>168425532</v>
      </c>
      <c r="H13" s="106" t="s">
        <v>209</v>
      </c>
      <c r="I13" s="106" t="s">
        <v>37</v>
      </c>
      <c r="J13" s="106" t="s">
        <v>213</v>
      </c>
      <c r="K13" s="106" t="s">
        <v>273</v>
      </c>
      <c r="L13" s="107">
        <v>168425532</v>
      </c>
      <c r="M13" s="109">
        <f t="shared" si="0"/>
        <v>0</v>
      </c>
    </row>
    <row r="14" spans="2:13">
      <c r="B14" s="106" t="s">
        <v>209</v>
      </c>
      <c r="C14" s="106" t="s">
        <v>37</v>
      </c>
      <c r="D14" s="106" t="s">
        <v>214</v>
      </c>
      <c r="E14" s="106" t="s">
        <v>273</v>
      </c>
      <c r="F14" s="107">
        <v>56141844</v>
      </c>
      <c r="H14" s="106" t="s">
        <v>209</v>
      </c>
      <c r="I14" s="106" t="s">
        <v>37</v>
      </c>
      <c r="J14" s="106" t="s">
        <v>214</v>
      </c>
      <c r="K14" s="106" t="s">
        <v>273</v>
      </c>
      <c r="L14" s="107">
        <v>56141844</v>
      </c>
      <c r="M14" s="109">
        <f t="shared" si="0"/>
        <v>0</v>
      </c>
    </row>
    <row r="15" spans="2:13">
      <c r="B15" s="106" t="s">
        <v>209</v>
      </c>
      <c r="C15" s="106" t="s">
        <v>47</v>
      </c>
      <c r="D15" s="106" t="s">
        <v>220</v>
      </c>
      <c r="E15" s="106" t="s">
        <v>267</v>
      </c>
      <c r="F15" s="107">
        <v>206558000</v>
      </c>
      <c r="H15" s="106" t="s">
        <v>209</v>
      </c>
      <c r="I15" s="106" t="s">
        <v>47</v>
      </c>
      <c r="J15" s="106" t="s">
        <v>220</v>
      </c>
      <c r="K15" s="106" t="s">
        <v>267</v>
      </c>
      <c r="L15" s="107">
        <v>206558000</v>
      </c>
      <c r="M15" s="109">
        <f t="shared" si="0"/>
        <v>0</v>
      </c>
    </row>
    <row r="16" spans="2:13">
      <c r="B16" s="106" t="s">
        <v>209</v>
      </c>
      <c r="C16" s="106" t="s">
        <v>164</v>
      </c>
      <c r="D16" s="106" t="s">
        <v>220</v>
      </c>
      <c r="E16" s="106" t="s">
        <v>267</v>
      </c>
      <c r="F16" s="107">
        <v>171068294</v>
      </c>
      <c r="H16" s="106" t="s">
        <v>209</v>
      </c>
      <c r="I16" s="106" t="s">
        <v>164</v>
      </c>
      <c r="J16" s="106" t="s">
        <v>220</v>
      </c>
      <c r="K16" s="106" t="s">
        <v>267</v>
      </c>
      <c r="L16" s="107">
        <v>171068294</v>
      </c>
      <c r="M16" s="109">
        <f t="shared" si="0"/>
        <v>0</v>
      </c>
    </row>
    <row r="17" spans="2:13">
      <c r="B17" s="106" t="s">
        <v>209</v>
      </c>
      <c r="C17" s="106" t="s">
        <v>165</v>
      </c>
      <c r="D17" s="106" t="s">
        <v>220</v>
      </c>
      <c r="E17" s="106" t="s">
        <v>267</v>
      </c>
      <c r="F17" s="107">
        <v>229431788</v>
      </c>
      <c r="H17" s="106" t="s">
        <v>209</v>
      </c>
      <c r="I17" s="106" t="s">
        <v>165</v>
      </c>
      <c r="J17" s="106" t="s">
        <v>220</v>
      </c>
      <c r="K17" s="106" t="s">
        <v>267</v>
      </c>
      <c r="L17" s="107">
        <v>229431788</v>
      </c>
      <c r="M17" s="109">
        <f t="shared" si="0"/>
        <v>0</v>
      </c>
    </row>
    <row r="18" spans="2:13">
      <c r="B18" s="106" t="s">
        <v>209</v>
      </c>
      <c r="C18" s="106" t="s">
        <v>167</v>
      </c>
      <c r="D18" s="106" t="s">
        <v>219</v>
      </c>
      <c r="E18" s="106" t="s">
        <v>267</v>
      </c>
      <c r="F18" s="107">
        <v>1239712750</v>
      </c>
      <c r="H18" s="106" t="s">
        <v>209</v>
      </c>
      <c r="I18" s="106" t="s">
        <v>167</v>
      </c>
      <c r="J18" s="106" t="s">
        <v>219</v>
      </c>
      <c r="K18" s="106" t="s">
        <v>267</v>
      </c>
      <c r="L18" s="107">
        <v>1239712750</v>
      </c>
      <c r="M18" s="109">
        <f t="shared" si="0"/>
        <v>0</v>
      </c>
    </row>
    <row r="19" spans="2:13">
      <c r="B19" s="106" t="s">
        <v>209</v>
      </c>
      <c r="C19" s="106" t="s">
        <v>167</v>
      </c>
      <c r="D19" s="106" t="s">
        <v>220</v>
      </c>
      <c r="E19" s="106" t="s">
        <v>267</v>
      </c>
      <c r="F19" s="107">
        <v>248759474</v>
      </c>
      <c r="H19" s="106" t="s">
        <v>209</v>
      </c>
      <c r="I19" s="106" t="s">
        <v>167</v>
      </c>
      <c r="J19" s="106" t="s">
        <v>220</v>
      </c>
      <c r="K19" s="106" t="s">
        <v>267</v>
      </c>
      <c r="L19" s="107">
        <v>248759474</v>
      </c>
      <c r="M19" s="109">
        <f t="shared" si="0"/>
        <v>0</v>
      </c>
    </row>
    <row r="20" spans="2:13" ht="15">
      <c r="B20" s="102" t="s">
        <v>28</v>
      </c>
      <c r="C20" s="102"/>
      <c r="D20" s="102"/>
      <c r="E20" s="102"/>
      <c r="F20" s="108">
        <f>SUM(F6:F19)</f>
        <v>5237870058</v>
      </c>
      <c r="H20" s="102" t="s">
        <v>28</v>
      </c>
      <c r="K20" s="103"/>
      <c r="L20" s="110">
        <f>SUM(L6:L19)</f>
        <v>5237870058</v>
      </c>
      <c r="M20" s="104">
        <f>SUM(M6:M19)</f>
        <v>0</v>
      </c>
    </row>
    <row r="21" spans="2:13">
      <c r="K21" s="103"/>
      <c r="L21" s="104"/>
    </row>
    <row r="22" spans="2:13" ht="15">
      <c r="B22" s="102" t="s">
        <v>683</v>
      </c>
      <c r="H22" s="102" t="s">
        <v>703</v>
      </c>
      <c r="K22" s="103"/>
      <c r="L22" s="104"/>
    </row>
    <row r="23" spans="2:13" ht="15">
      <c r="B23" s="102" t="s">
        <v>684</v>
      </c>
      <c r="H23" s="102" t="s">
        <v>684</v>
      </c>
      <c r="K23" s="103"/>
      <c r="L23" s="104"/>
    </row>
    <row r="24" spans="2:13" ht="15">
      <c r="B24" s="102" t="s">
        <v>210</v>
      </c>
      <c r="H24" s="102" t="s">
        <v>210</v>
      </c>
      <c r="K24" s="103"/>
      <c r="L24" s="104"/>
    </row>
    <row r="25" spans="2:13" s="25" customFormat="1" ht="30">
      <c r="B25" s="62" t="s">
        <v>53</v>
      </c>
      <c r="C25" s="62" t="s">
        <v>1</v>
      </c>
      <c r="D25" s="71" t="s">
        <v>3</v>
      </c>
      <c r="E25" s="62" t="s">
        <v>232</v>
      </c>
      <c r="F25" s="111" t="s">
        <v>682</v>
      </c>
      <c r="H25" s="62" t="s">
        <v>53</v>
      </c>
      <c r="I25" s="62" t="s">
        <v>1</v>
      </c>
      <c r="J25" s="62" t="s">
        <v>3</v>
      </c>
      <c r="K25" s="62" t="s">
        <v>232</v>
      </c>
      <c r="L25" s="111" t="s">
        <v>682</v>
      </c>
      <c r="M25" s="111" t="s">
        <v>685</v>
      </c>
    </row>
    <row r="26" spans="2:13">
      <c r="B26" s="106" t="s">
        <v>210</v>
      </c>
      <c r="C26" s="106" t="s">
        <v>167</v>
      </c>
      <c r="D26" s="106" t="s">
        <v>231</v>
      </c>
      <c r="E26" s="106" t="s">
        <v>275</v>
      </c>
      <c r="F26" s="107">
        <v>99912253</v>
      </c>
      <c r="H26" s="106" t="s">
        <v>210</v>
      </c>
      <c r="I26" s="106" t="s">
        <v>167</v>
      </c>
      <c r="J26" s="106" t="s">
        <v>231</v>
      </c>
      <c r="K26" s="106" t="s">
        <v>275</v>
      </c>
      <c r="L26" s="107">
        <v>99912253</v>
      </c>
      <c r="M26" s="109">
        <f t="shared" ref="M26:M37" si="1">+F26-L26</f>
        <v>0</v>
      </c>
    </row>
    <row r="27" spans="2:13">
      <c r="B27" s="106" t="s">
        <v>210</v>
      </c>
      <c r="C27" s="106" t="s">
        <v>167</v>
      </c>
      <c r="D27" s="106" t="s">
        <v>228</v>
      </c>
      <c r="E27" s="106" t="s">
        <v>265</v>
      </c>
      <c r="F27" s="107">
        <v>899210268</v>
      </c>
      <c r="H27" s="106" t="s">
        <v>210</v>
      </c>
      <c r="I27" s="106" t="s">
        <v>167</v>
      </c>
      <c r="J27" s="106" t="s">
        <v>228</v>
      </c>
      <c r="K27" s="106" t="s">
        <v>265</v>
      </c>
      <c r="L27" s="107">
        <v>899210268</v>
      </c>
      <c r="M27" s="109">
        <f t="shared" si="1"/>
        <v>0</v>
      </c>
    </row>
    <row r="28" spans="2:13">
      <c r="B28" s="106" t="s">
        <v>210</v>
      </c>
      <c r="C28" s="106" t="s">
        <v>166</v>
      </c>
      <c r="D28" s="106" t="s">
        <v>230</v>
      </c>
      <c r="E28" s="106" t="s">
        <v>264</v>
      </c>
      <c r="F28" s="107">
        <v>2793994517</v>
      </c>
      <c r="H28" s="106" t="s">
        <v>210</v>
      </c>
      <c r="I28" s="106" t="s">
        <v>166</v>
      </c>
      <c r="J28" s="106" t="s">
        <v>230</v>
      </c>
      <c r="K28" s="106" t="s">
        <v>264</v>
      </c>
      <c r="L28" s="107">
        <v>2793994517</v>
      </c>
      <c r="M28" s="109">
        <f t="shared" si="1"/>
        <v>0</v>
      </c>
    </row>
    <row r="29" spans="2:13">
      <c r="B29" s="106" t="s">
        <v>210</v>
      </c>
      <c r="C29" s="106" t="s">
        <v>168</v>
      </c>
      <c r="D29" s="106" t="s">
        <v>222</v>
      </c>
      <c r="E29" s="106" t="s">
        <v>260</v>
      </c>
      <c r="F29" s="116">
        <v>162500000</v>
      </c>
      <c r="H29" s="106" t="s">
        <v>210</v>
      </c>
      <c r="I29" s="106" t="s">
        <v>168</v>
      </c>
      <c r="J29" s="106" t="s">
        <v>222</v>
      </c>
      <c r="K29" s="106" t="s">
        <v>260</v>
      </c>
      <c r="L29" s="116">
        <v>162500000</v>
      </c>
      <c r="M29" s="109">
        <f t="shared" si="1"/>
        <v>0</v>
      </c>
    </row>
    <row r="30" spans="2:13">
      <c r="B30" s="106" t="s">
        <v>210</v>
      </c>
      <c r="C30" s="106" t="s">
        <v>168</v>
      </c>
      <c r="D30" s="106" t="s">
        <v>222</v>
      </c>
      <c r="E30" s="106" t="s">
        <v>261</v>
      </c>
      <c r="F30" s="116">
        <v>698601047</v>
      </c>
      <c r="H30" s="106" t="s">
        <v>210</v>
      </c>
      <c r="I30" s="106" t="s">
        <v>168</v>
      </c>
      <c r="J30" s="106" t="s">
        <v>222</v>
      </c>
      <c r="K30" s="106" t="s">
        <v>261</v>
      </c>
      <c r="L30" s="116">
        <v>698601047</v>
      </c>
      <c r="M30" s="109">
        <f t="shared" si="1"/>
        <v>0</v>
      </c>
    </row>
    <row r="31" spans="2:13">
      <c r="B31" s="106" t="s">
        <v>210</v>
      </c>
      <c r="C31" s="106" t="s">
        <v>168</v>
      </c>
      <c r="D31" s="106" t="s">
        <v>222</v>
      </c>
      <c r="E31" s="106" t="s">
        <v>263</v>
      </c>
      <c r="F31" s="116">
        <v>387093222</v>
      </c>
      <c r="H31" s="106" t="s">
        <v>210</v>
      </c>
      <c r="I31" s="106" t="s">
        <v>168</v>
      </c>
      <c r="J31" s="106" t="s">
        <v>222</v>
      </c>
      <c r="K31" s="106" t="s">
        <v>263</v>
      </c>
      <c r="L31" s="116">
        <v>387093222</v>
      </c>
      <c r="M31" s="109">
        <f t="shared" si="1"/>
        <v>0</v>
      </c>
    </row>
    <row r="32" spans="2:13">
      <c r="B32" s="106" t="s">
        <v>210</v>
      </c>
      <c r="C32" s="106" t="s">
        <v>168</v>
      </c>
      <c r="D32" s="106" t="s">
        <v>226</v>
      </c>
      <c r="E32" s="106" t="s">
        <v>262</v>
      </c>
      <c r="F32" s="107">
        <v>639843601</v>
      </c>
      <c r="H32" s="106" t="s">
        <v>210</v>
      </c>
      <c r="I32" s="106" t="s">
        <v>168</v>
      </c>
      <c r="J32" s="106" t="s">
        <v>226</v>
      </c>
      <c r="K32" s="106" t="s">
        <v>262</v>
      </c>
      <c r="L32" s="107">
        <v>639843601</v>
      </c>
      <c r="M32" s="109">
        <f t="shared" si="1"/>
        <v>0</v>
      </c>
    </row>
    <row r="33" spans="2:13">
      <c r="B33" s="106" t="s">
        <v>210</v>
      </c>
      <c r="C33" s="106" t="s">
        <v>168</v>
      </c>
      <c r="D33" s="106" t="s">
        <v>227</v>
      </c>
      <c r="E33" s="106" t="s">
        <v>262</v>
      </c>
      <c r="F33" s="107">
        <v>51767209</v>
      </c>
      <c r="H33" s="106" t="s">
        <v>210</v>
      </c>
      <c r="I33" s="106" t="s">
        <v>168</v>
      </c>
      <c r="J33" s="106" t="s">
        <v>227</v>
      </c>
      <c r="K33" s="106" t="s">
        <v>262</v>
      </c>
      <c r="L33" s="107">
        <v>51767209</v>
      </c>
      <c r="M33" s="109">
        <f t="shared" si="1"/>
        <v>0</v>
      </c>
    </row>
    <row r="34" spans="2:13">
      <c r="B34" s="106" t="s">
        <v>210</v>
      </c>
      <c r="C34" s="106" t="s">
        <v>169</v>
      </c>
      <c r="D34" s="106" t="s">
        <v>225</v>
      </c>
      <c r="E34" s="106" t="s">
        <v>268</v>
      </c>
      <c r="F34" s="107">
        <v>4450000000</v>
      </c>
      <c r="H34" s="106" t="s">
        <v>210</v>
      </c>
      <c r="I34" s="106" t="s">
        <v>169</v>
      </c>
      <c r="J34" s="106" t="s">
        <v>225</v>
      </c>
      <c r="K34" s="106" t="s">
        <v>268</v>
      </c>
      <c r="L34" s="107">
        <v>4450000000</v>
      </c>
      <c r="M34" s="109">
        <f t="shared" si="1"/>
        <v>0</v>
      </c>
    </row>
    <row r="35" spans="2:13">
      <c r="B35" s="106" t="s">
        <v>210</v>
      </c>
      <c r="C35" s="106" t="s">
        <v>169</v>
      </c>
      <c r="D35" s="106" t="s">
        <v>225</v>
      </c>
      <c r="E35" s="106" t="s">
        <v>271</v>
      </c>
      <c r="F35" s="107">
        <v>1071405909</v>
      </c>
      <c r="H35" s="106" t="s">
        <v>210</v>
      </c>
      <c r="I35" s="106" t="s">
        <v>169</v>
      </c>
      <c r="J35" s="106" t="s">
        <v>225</v>
      </c>
      <c r="K35" s="106" t="s">
        <v>271</v>
      </c>
      <c r="L35" s="107">
        <v>1071405909</v>
      </c>
      <c r="M35" s="109">
        <f t="shared" si="1"/>
        <v>0</v>
      </c>
    </row>
    <row r="36" spans="2:13">
      <c r="B36" s="106" t="s">
        <v>210</v>
      </c>
      <c r="C36" s="106" t="s">
        <v>170</v>
      </c>
      <c r="D36" s="106" t="s">
        <v>223</v>
      </c>
      <c r="E36" s="106" t="s">
        <v>259</v>
      </c>
      <c r="F36" s="107">
        <v>1275620000</v>
      </c>
      <c r="H36" s="106" t="s">
        <v>210</v>
      </c>
      <c r="I36" s="106" t="s">
        <v>170</v>
      </c>
      <c r="J36" s="106" t="s">
        <v>223</v>
      </c>
      <c r="K36" s="106" t="s">
        <v>259</v>
      </c>
      <c r="L36" s="107">
        <v>1275620000</v>
      </c>
      <c r="M36" s="109">
        <f t="shared" si="1"/>
        <v>0</v>
      </c>
    </row>
    <row r="37" spans="2:13">
      <c r="B37" s="106" t="s">
        <v>210</v>
      </c>
      <c r="C37" s="106" t="s">
        <v>170</v>
      </c>
      <c r="D37" s="106" t="s">
        <v>223</v>
      </c>
      <c r="E37" s="106" t="s">
        <v>269</v>
      </c>
      <c r="F37" s="107">
        <v>5739596933</v>
      </c>
      <c r="H37" s="106" t="s">
        <v>210</v>
      </c>
      <c r="I37" s="106" t="s">
        <v>170</v>
      </c>
      <c r="J37" s="106" t="s">
        <v>223</v>
      </c>
      <c r="K37" s="106" t="s">
        <v>269</v>
      </c>
      <c r="L37" s="107">
        <v>5739596933</v>
      </c>
      <c r="M37" s="109">
        <f t="shared" si="1"/>
        <v>0</v>
      </c>
    </row>
    <row r="38" spans="2:13" ht="15">
      <c r="B38" s="102" t="s">
        <v>28</v>
      </c>
      <c r="F38" s="108">
        <v>18269544959</v>
      </c>
      <c r="H38" s="102" t="s">
        <v>28</v>
      </c>
      <c r="K38" s="103"/>
      <c r="L38" s="108">
        <v>18269544959</v>
      </c>
      <c r="M38" s="105"/>
    </row>
    <row r="39" spans="2:13">
      <c r="M39" s="10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B2:K39"/>
  <sheetViews>
    <sheetView showGridLines="0" zoomScale="55" zoomScaleNormal="55" workbookViewId="0">
      <selection activeCell="B4" sqref="B4:G4"/>
    </sheetView>
  </sheetViews>
  <sheetFormatPr baseColWidth="10" defaultColWidth="10.85546875" defaultRowHeight="15"/>
  <cols>
    <col min="1" max="1" width="10.85546875" style="22"/>
    <col min="2" max="2" width="58.28515625" style="25" customWidth="1"/>
    <col min="3" max="3" width="15.85546875" style="23" customWidth="1"/>
    <col min="4" max="4" width="20" style="66"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2">
        <v>8126</v>
      </c>
    </row>
    <row r="3" spans="2:7" ht="45">
      <c r="B3" s="62" t="s">
        <v>89</v>
      </c>
      <c r="C3" s="62" t="s">
        <v>306</v>
      </c>
      <c r="D3" s="67" t="s">
        <v>307</v>
      </c>
      <c r="E3" s="71" t="s">
        <v>207</v>
      </c>
      <c r="F3" s="62" t="s">
        <v>208</v>
      </c>
      <c r="G3" s="62" t="s">
        <v>308</v>
      </c>
    </row>
    <row r="4" spans="2:7" ht="42.75">
      <c r="B4" s="63" t="s">
        <v>94</v>
      </c>
      <c r="C4" s="64" t="s">
        <v>309</v>
      </c>
      <c r="D4" s="68">
        <v>336851064</v>
      </c>
      <c r="E4" s="64" t="s">
        <v>310</v>
      </c>
      <c r="F4" s="64" t="s">
        <v>272</v>
      </c>
      <c r="G4" s="63" t="s">
        <v>139</v>
      </c>
    </row>
    <row r="5" spans="2:7" ht="85.5">
      <c r="B5" s="63" t="s">
        <v>99</v>
      </c>
      <c r="C5" s="64" t="s">
        <v>309</v>
      </c>
      <c r="D5" s="68">
        <v>168425532</v>
      </c>
      <c r="E5" s="64" t="s">
        <v>311</v>
      </c>
      <c r="F5" s="64" t="s">
        <v>273</v>
      </c>
      <c r="G5" s="63" t="s">
        <v>139</v>
      </c>
    </row>
    <row r="6" spans="2:7" ht="28.5">
      <c r="B6" s="63" t="s">
        <v>104</v>
      </c>
      <c r="C6" s="64" t="s">
        <v>309</v>
      </c>
      <c r="D6" s="68">
        <v>56141844</v>
      </c>
      <c r="E6" s="64" t="s">
        <v>311</v>
      </c>
      <c r="F6" s="64" t="s">
        <v>273</v>
      </c>
      <c r="G6" s="63" t="s">
        <v>139</v>
      </c>
    </row>
    <row r="7" spans="2:7" ht="99.75">
      <c r="B7" s="63" t="s">
        <v>107</v>
      </c>
      <c r="C7" s="64" t="s">
        <v>312</v>
      </c>
      <c r="D7" s="68">
        <v>481960117</v>
      </c>
      <c r="E7" s="64" t="s">
        <v>313</v>
      </c>
      <c r="F7" s="64" t="s">
        <v>270</v>
      </c>
      <c r="G7" s="63" t="s">
        <v>314</v>
      </c>
    </row>
    <row r="8" spans="2:7" ht="99.75">
      <c r="B8" s="63" t="s">
        <v>112</v>
      </c>
      <c r="C8" s="64" t="s">
        <v>312</v>
      </c>
      <c r="D8" s="68">
        <v>926338572</v>
      </c>
      <c r="E8" s="64" t="s">
        <v>313</v>
      </c>
      <c r="F8" s="64" t="s">
        <v>270</v>
      </c>
      <c r="G8" s="63" t="s">
        <v>315</v>
      </c>
    </row>
    <row r="9" spans="2:7" ht="42.75">
      <c r="B9" s="63" t="s">
        <v>117</v>
      </c>
      <c r="C9" s="64" t="s">
        <v>312</v>
      </c>
      <c r="D9" s="68">
        <v>475003732</v>
      </c>
      <c r="E9" s="64" t="s">
        <v>313</v>
      </c>
      <c r="F9" s="64" t="s">
        <v>270</v>
      </c>
      <c r="G9" s="63" t="s">
        <v>139</v>
      </c>
    </row>
    <row r="10" spans="2:7" ht="42.75">
      <c r="B10" s="63" t="s">
        <v>122</v>
      </c>
      <c r="C10" s="64" t="s">
        <v>312</v>
      </c>
      <c r="D10" s="68">
        <v>175876971</v>
      </c>
      <c r="E10" s="64" t="s">
        <v>313</v>
      </c>
      <c r="F10" s="64" t="s">
        <v>270</v>
      </c>
      <c r="G10" s="63" t="s">
        <v>38</v>
      </c>
    </row>
    <row r="11" spans="2:7" ht="128.25">
      <c r="B11" s="63" t="s">
        <v>127</v>
      </c>
      <c r="C11" s="64" t="s">
        <v>316</v>
      </c>
      <c r="D11" s="68">
        <v>1239712750</v>
      </c>
      <c r="E11" s="64" t="s">
        <v>317</v>
      </c>
      <c r="F11" s="64" t="s">
        <v>267</v>
      </c>
      <c r="G11" s="63" t="s">
        <v>318</v>
      </c>
    </row>
    <row r="12" spans="2:7" ht="49.5" customHeight="1">
      <c r="B12" s="157" t="s">
        <v>132</v>
      </c>
      <c r="C12" s="64" t="s">
        <v>319</v>
      </c>
      <c r="D12" s="68">
        <v>260870960</v>
      </c>
      <c r="E12" s="64" t="s">
        <v>317</v>
      </c>
      <c r="F12" s="64" t="s">
        <v>267</v>
      </c>
      <c r="G12" s="63" t="s">
        <v>139</v>
      </c>
    </row>
    <row r="13" spans="2:7" ht="28.5">
      <c r="B13" s="161"/>
      <c r="C13" s="64" t="s">
        <v>320</v>
      </c>
      <c r="D13" s="68">
        <v>206558000</v>
      </c>
      <c r="E13" s="64" t="s">
        <v>317</v>
      </c>
      <c r="F13" s="64" t="s">
        <v>267</v>
      </c>
      <c r="G13" s="63" t="s">
        <v>139</v>
      </c>
    </row>
    <row r="14" spans="2:7" ht="28.5">
      <c r="B14" s="161"/>
      <c r="C14" s="64" t="s">
        <v>321</v>
      </c>
      <c r="D14" s="68">
        <v>171068294</v>
      </c>
      <c r="E14" s="64" t="s">
        <v>317</v>
      </c>
      <c r="F14" s="64" t="s">
        <v>267</v>
      </c>
      <c r="G14" s="63" t="s">
        <v>139</v>
      </c>
    </row>
    <row r="15" spans="2:7" ht="28.5">
      <c r="B15" s="161"/>
      <c r="C15" s="64" t="s">
        <v>322</v>
      </c>
      <c r="D15" s="68">
        <v>229431788</v>
      </c>
      <c r="E15" s="64" t="s">
        <v>317</v>
      </c>
      <c r="F15" s="64" t="s">
        <v>267</v>
      </c>
      <c r="G15" s="63" t="s">
        <v>139</v>
      </c>
    </row>
    <row r="16" spans="2:7" ht="28.5">
      <c r="B16" s="158"/>
      <c r="C16" s="64" t="s">
        <v>316</v>
      </c>
      <c r="D16" s="68">
        <v>248759474</v>
      </c>
      <c r="E16" s="64" t="s">
        <v>317</v>
      </c>
      <c r="F16" s="64" t="s">
        <v>267</v>
      </c>
      <c r="G16" s="63" t="s">
        <v>139</v>
      </c>
    </row>
    <row r="17" spans="2:11" ht="57">
      <c r="B17" s="63" t="s">
        <v>136</v>
      </c>
      <c r="C17" s="64" t="s">
        <v>319</v>
      </c>
      <c r="D17" s="68">
        <v>260870960</v>
      </c>
      <c r="E17" s="64" t="s">
        <v>323</v>
      </c>
      <c r="F17" s="64" t="s">
        <v>274</v>
      </c>
      <c r="G17" s="63" t="s">
        <v>139</v>
      </c>
    </row>
    <row r="18" spans="2:11">
      <c r="B18" s="24" t="s">
        <v>345</v>
      </c>
      <c r="D18" s="69">
        <v>5237870058</v>
      </c>
    </row>
    <row r="19" spans="2:11">
      <c r="F19" s="23" t="s">
        <v>324</v>
      </c>
    </row>
    <row r="20" spans="2:11">
      <c r="F20" s="23" t="s">
        <v>324</v>
      </c>
    </row>
    <row r="21" spans="2:11">
      <c r="B21" s="62">
        <v>8173</v>
      </c>
      <c r="C21" s="64"/>
      <c r="D21" s="68"/>
      <c r="E21" s="64"/>
      <c r="F21" s="64" t="s">
        <v>324</v>
      </c>
      <c r="G21" s="65"/>
    </row>
    <row r="22" spans="2:11" s="115" customFormat="1" ht="45">
      <c r="B22" s="62" t="s">
        <v>90</v>
      </c>
      <c r="C22" s="62" t="s">
        <v>306</v>
      </c>
      <c r="D22" s="67" t="s">
        <v>307</v>
      </c>
      <c r="E22" s="71" t="s">
        <v>207</v>
      </c>
      <c r="F22" s="62" t="s">
        <v>208</v>
      </c>
      <c r="G22" s="62" t="s">
        <v>308</v>
      </c>
      <c r="H22" s="24"/>
      <c r="I22" s="24"/>
      <c r="J22" s="24"/>
      <c r="K22" s="24"/>
    </row>
    <row r="23" spans="2:11" ht="28.5">
      <c r="B23" s="162" t="s">
        <v>95</v>
      </c>
      <c r="C23" s="165" t="s">
        <v>325</v>
      </c>
      <c r="D23" s="112">
        <v>162500000</v>
      </c>
      <c r="E23" s="114" t="s">
        <v>326</v>
      </c>
      <c r="F23" s="114" t="s">
        <v>260</v>
      </c>
      <c r="G23" s="113" t="s">
        <v>139</v>
      </c>
    </row>
    <row r="24" spans="2:11" ht="28.5">
      <c r="B24" s="163"/>
      <c r="C24" s="166"/>
      <c r="D24" s="112">
        <v>698601047</v>
      </c>
      <c r="E24" s="114" t="s">
        <v>327</v>
      </c>
      <c r="F24" s="114" t="s">
        <v>261</v>
      </c>
      <c r="G24" s="113" t="s">
        <v>328</v>
      </c>
    </row>
    <row r="25" spans="2:11" ht="28.5">
      <c r="B25" s="164"/>
      <c r="C25" s="167"/>
      <c r="D25" s="112">
        <v>387093222</v>
      </c>
      <c r="E25" s="114" t="s">
        <v>329</v>
      </c>
      <c r="F25" s="114" t="s">
        <v>263</v>
      </c>
      <c r="G25" s="113" t="s">
        <v>139</v>
      </c>
    </row>
    <row r="26" spans="2:11" ht="28.5">
      <c r="B26" s="157" t="s">
        <v>100</v>
      </c>
      <c r="C26" s="159" t="s">
        <v>330</v>
      </c>
      <c r="D26" s="68">
        <v>1275620000</v>
      </c>
      <c r="E26" s="64" t="s">
        <v>331</v>
      </c>
      <c r="F26" s="64" t="s">
        <v>259</v>
      </c>
      <c r="G26" s="63" t="s">
        <v>139</v>
      </c>
    </row>
    <row r="27" spans="2:11" ht="42.75">
      <c r="B27" s="158"/>
      <c r="C27" s="160"/>
      <c r="D27" s="68">
        <v>5739596933</v>
      </c>
      <c r="E27" s="64" t="s">
        <v>332</v>
      </c>
      <c r="F27" s="64" t="s">
        <v>269</v>
      </c>
      <c r="G27" s="63" t="s">
        <v>333</v>
      </c>
    </row>
    <row r="28" spans="2:11" ht="42.75">
      <c r="B28" s="63" t="s">
        <v>105</v>
      </c>
      <c r="C28" s="64" t="s">
        <v>330</v>
      </c>
      <c r="D28" s="68">
        <v>0</v>
      </c>
      <c r="E28" s="64" t="s">
        <v>334</v>
      </c>
      <c r="F28" s="64" t="s">
        <v>268</v>
      </c>
      <c r="G28" s="63" t="s">
        <v>305</v>
      </c>
    </row>
    <row r="29" spans="2:11" ht="99.75">
      <c r="B29" s="157" t="s">
        <v>108</v>
      </c>
      <c r="C29" s="159" t="s">
        <v>335</v>
      </c>
      <c r="D29" s="68">
        <v>4450000000</v>
      </c>
      <c r="E29" s="64" t="s">
        <v>334</v>
      </c>
      <c r="F29" s="64" t="s">
        <v>268</v>
      </c>
      <c r="G29" s="63" t="s">
        <v>704</v>
      </c>
    </row>
    <row r="30" spans="2:11" ht="28.5">
      <c r="B30" s="158"/>
      <c r="C30" s="160"/>
      <c r="D30" s="68">
        <v>1071405909</v>
      </c>
      <c r="E30" s="64" t="s">
        <v>336</v>
      </c>
      <c r="F30" s="64" t="s">
        <v>271</v>
      </c>
      <c r="G30" s="63" t="s">
        <v>139</v>
      </c>
    </row>
    <row r="31" spans="2:11" ht="28.5">
      <c r="B31" s="113" t="s">
        <v>113</v>
      </c>
      <c r="C31" s="114" t="s">
        <v>325</v>
      </c>
      <c r="D31" s="112">
        <v>639843601</v>
      </c>
      <c r="E31" s="114" t="s">
        <v>337</v>
      </c>
      <c r="F31" s="114" t="s">
        <v>262</v>
      </c>
      <c r="G31" s="113" t="s">
        <v>139</v>
      </c>
    </row>
    <row r="32" spans="2:11" ht="42.75">
      <c r="B32" s="113" t="s">
        <v>118</v>
      </c>
      <c r="C32" s="114" t="s">
        <v>325</v>
      </c>
      <c r="D32" s="112">
        <v>51767209</v>
      </c>
      <c r="E32" s="114" t="s">
        <v>337</v>
      </c>
      <c r="F32" s="114" t="s">
        <v>262</v>
      </c>
      <c r="G32" s="113" t="s">
        <v>139</v>
      </c>
    </row>
    <row r="33" spans="2:7" ht="28.5">
      <c r="B33" s="65" t="s">
        <v>123</v>
      </c>
      <c r="C33" s="64" t="s">
        <v>316</v>
      </c>
      <c r="D33" s="68">
        <v>899210268</v>
      </c>
      <c r="E33" s="64" t="s">
        <v>338</v>
      </c>
      <c r="F33" s="64" t="s">
        <v>265</v>
      </c>
      <c r="G33" s="63" t="s">
        <v>339</v>
      </c>
    </row>
    <row r="34" spans="2:7" ht="28.5">
      <c r="B34" s="65" t="s">
        <v>128</v>
      </c>
      <c r="C34" s="64" t="s">
        <v>316</v>
      </c>
      <c r="D34" s="68">
        <v>0</v>
      </c>
      <c r="E34" s="64" t="s">
        <v>340</v>
      </c>
      <c r="F34" s="64" t="s">
        <v>266</v>
      </c>
      <c r="G34" s="63" t="s">
        <v>103</v>
      </c>
    </row>
    <row r="35" spans="2:7" ht="57">
      <c r="B35" s="63" t="s">
        <v>133</v>
      </c>
      <c r="C35" s="64" t="s">
        <v>341</v>
      </c>
      <c r="D35" s="68">
        <v>2793994517</v>
      </c>
      <c r="E35" s="64" t="s">
        <v>342</v>
      </c>
      <c r="F35" s="64" t="s">
        <v>264</v>
      </c>
      <c r="G35" s="63" t="s">
        <v>343</v>
      </c>
    </row>
    <row r="36" spans="2:7" ht="28.5">
      <c r="B36" s="63" t="s">
        <v>137</v>
      </c>
      <c r="C36" s="64" t="s">
        <v>316</v>
      </c>
      <c r="D36" s="68">
        <v>99912253</v>
      </c>
      <c r="E36" s="64" t="s">
        <v>344</v>
      </c>
      <c r="F36" s="64" t="s">
        <v>275</v>
      </c>
      <c r="G36" s="63" t="s">
        <v>139</v>
      </c>
    </row>
    <row r="37" spans="2:7">
      <c r="B37" s="24" t="s">
        <v>345</v>
      </c>
      <c r="D37" s="69">
        <f>SUM(D23:D36)</f>
        <v>18269544959</v>
      </c>
      <c r="F37" s="23" t="s">
        <v>324</v>
      </c>
    </row>
    <row r="39" spans="2:7">
      <c r="B39" s="24" t="s">
        <v>346</v>
      </c>
      <c r="C39" s="24"/>
      <c r="D39" s="70">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Z75"/>
  <sheetViews>
    <sheetView topLeftCell="G1" zoomScale="55" zoomScaleNormal="55" workbookViewId="0">
      <selection activeCell="B12" sqref="B12:AC17"/>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4"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c r="Q4" t="s">
        <v>567</v>
      </c>
    </row>
    <row r="5" spans="2:19">
      <c r="B5" s="15" t="s">
        <v>101</v>
      </c>
      <c r="D5" s="15" t="s">
        <v>102</v>
      </c>
      <c r="F5" s="15" t="s">
        <v>103</v>
      </c>
      <c r="H5" s="15" t="s">
        <v>104</v>
      </c>
      <c r="I5" s="16">
        <v>8126</v>
      </c>
      <c r="J5" s="17" t="s">
        <v>214</v>
      </c>
      <c r="L5" s="15" t="s">
        <v>567</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c r="O14" t="s">
        <v>789</v>
      </c>
    </row>
    <row r="15" spans="2:19">
      <c r="D15" s="15" t="s">
        <v>141</v>
      </c>
      <c r="F15" s="15" t="s">
        <v>142</v>
      </c>
      <c r="H15" s="15" t="s">
        <v>105</v>
      </c>
      <c r="I15" s="16">
        <v>8173</v>
      </c>
      <c r="J15" s="17" t="s">
        <v>224</v>
      </c>
      <c r="M15"/>
      <c r="O15" t="s">
        <v>790</v>
      </c>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349</v>
      </c>
      <c r="H20" s="15" t="s">
        <v>128</v>
      </c>
      <c r="I20" s="16">
        <v>8173</v>
      </c>
      <c r="J20" s="17" t="s">
        <v>229</v>
      </c>
      <c r="M20"/>
    </row>
    <row r="21" spans="2:26">
      <c r="D21" s="15" t="s">
        <v>151</v>
      </c>
      <c r="H21" s="15" t="s">
        <v>133</v>
      </c>
      <c r="I21" s="16">
        <v>8173</v>
      </c>
      <c r="J21" s="17" t="s">
        <v>230</v>
      </c>
      <c r="M21"/>
    </row>
    <row r="22" spans="2:26">
      <c r="D22" s="15" t="s">
        <v>152</v>
      </c>
      <c r="H22" s="15" t="s">
        <v>137</v>
      </c>
      <c r="I22" s="16">
        <v>8173</v>
      </c>
      <c r="J22" s="17" t="s">
        <v>231</v>
      </c>
      <c r="M22"/>
    </row>
    <row r="23" spans="2:26">
      <c r="D23" s="15" t="s">
        <v>153</v>
      </c>
      <c r="J23" s="15" t="s">
        <v>348</v>
      </c>
      <c r="M23"/>
    </row>
    <row r="24" spans="2:26">
      <c r="D24" s="15" t="s">
        <v>154</v>
      </c>
      <c r="M24"/>
    </row>
    <row r="25" spans="2:26">
      <c r="D25" s="15" t="s">
        <v>155</v>
      </c>
      <c r="M25"/>
    </row>
    <row r="26" spans="2:26">
      <c r="D26" s="15" t="s">
        <v>156</v>
      </c>
      <c r="M26"/>
    </row>
    <row r="27" spans="2:26">
      <c r="D27" s="15" t="s">
        <v>157</v>
      </c>
      <c r="H27" s="15" t="s">
        <v>627</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s="17" t="s">
        <v>567</v>
      </c>
      <c r="C36" s="10" t="s">
        <v>350</v>
      </c>
      <c r="D36" s="10" t="s">
        <v>350</v>
      </c>
      <c r="E36" s="10" t="s">
        <v>350</v>
      </c>
      <c r="F36" s="10" t="s">
        <v>350</v>
      </c>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567</v>
      </c>
      <c r="K43" s="15" t="s">
        <v>567</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567</v>
      </c>
      <c r="O45" s="15" t="s">
        <v>567</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627</v>
      </c>
      <c r="L64" s="15" t="s">
        <v>567</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sortState ref="K46:L62">
      <sortCondition ref="K45"/>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171" t="s">
        <v>61</v>
      </c>
      <c r="F3" s="171"/>
      <c r="G3" s="171"/>
      <c r="H3" s="171"/>
      <c r="I3" s="171"/>
      <c r="J3" s="171"/>
    </row>
    <row r="5" spans="2:10">
      <c r="B5" s="9" t="s">
        <v>50</v>
      </c>
      <c r="C5" s="7" t="s">
        <v>51</v>
      </c>
      <c r="E5" s="9" t="s">
        <v>1</v>
      </c>
      <c r="F5" s="9" t="s">
        <v>53</v>
      </c>
      <c r="G5" s="11">
        <v>7637</v>
      </c>
      <c r="H5" s="11">
        <v>7655</v>
      </c>
      <c r="I5" s="11">
        <v>7658</v>
      </c>
      <c r="J5" s="9" t="s">
        <v>55</v>
      </c>
    </row>
    <row r="6" spans="2:10">
      <c r="B6" s="1">
        <v>7658</v>
      </c>
      <c r="C6" s="4">
        <v>32529175840</v>
      </c>
      <c r="E6" s="172" t="s">
        <v>46</v>
      </c>
      <c r="F6" s="172"/>
      <c r="G6" s="4"/>
      <c r="H6" s="4">
        <v>596500000</v>
      </c>
      <c r="I6" s="4"/>
      <c r="J6" s="4">
        <v>596500000</v>
      </c>
    </row>
    <row r="7" spans="2:10">
      <c r="B7" s="1">
        <v>7655</v>
      </c>
      <c r="C7" s="4">
        <v>6691034160</v>
      </c>
      <c r="E7" s="172" t="s">
        <v>45</v>
      </c>
      <c r="F7" s="172"/>
      <c r="G7" s="4"/>
      <c r="H7" s="4">
        <v>403500000</v>
      </c>
      <c r="I7" s="4"/>
      <c r="J7" s="4">
        <v>403500000</v>
      </c>
    </row>
    <row r="8" spans="2:10">
      <c r="B8" s="1">
        <v>7637</v>
      </c>
      <c r="C8" s="4">
        <v>3299800000</v>
      </c>
      <c r="E8" s="172" t="s">
        <v>37</v>
      </c>
      <c r="F8" s="172"/>
      <c r="G8" s="4">
        <v>3299800000</v>
      </c>
      <c r="H8" s="4">
        <v>900200000</v>
      </c>
      <c r="I8" s="4"/>
      <c r="J8" s="4">
        <v>4200000000</v>
      </c>
    </row>
    <row r="9" spans="2:10">
      <c r="B9" s="9" t="s">
        <v>52</v>
      </c>
      <c r="C9" s="8">
        <v>42520010000</v>
      </c>
      <c r="E9" s="172" t="s">
        <v>47</v>
      </c>
      <c r="F9" s="172"/>
      <c r="G9" s="4"/>
      <c r="H9" s="4">
        <v>432858000</v>
      </c>
      <c r="I9" s="4"/>
      <c r="J9" s="4">
        <v>432858000</v>
      </c>
    </row>
    <row r="10" spans="2:10">
      <c r="E10" s="172" t="s">
        <v>33</v>
      </c>
      <c r="F10" s="172"/>
      <c r="G10" s="4"/>
      <c r="H10" s="4">
        <v>323006000</v>
      </c>
      <c r="I10" s="4"/>
      <c r="J10" s="4">
        <v>323006000</v>
      </c>
    </row>
    <row r="11" spans="2:10">
      <c r="E11" s="172" t="s">
        <v>29</v>
      </c>
      <c r="F11" s="172"/>
      <c r="G11" s="4"/>
      <c r="H11" s="4">
        <v>1200000000</v>
      </c>
      <c r="I11" s="4"/>
      <c r="J11" s="4">
        <v>1200000000</v>
      </c>
    </row>
    <row r="12" spans="2:10">
      <c r="E12" s="172" t="s">
        <v>4</v>
      </c>
      <c r="F12" s="172"/>
      <c r="G12" s="4"/>
      <c r="H12" s="4">
        <v>2214252160</v>
      </c>
      <c r="I12" s="4">
        <v>7786929840</v>
      </c>
      <c r="J12" s="4">
        <v>10001182000</v>
      </c>
    </row>
    <row r="13" spans="2:10">
      <c r="E13" s="172" t="s">
        <v>30</v>
      </c>
      <c r="F13" s="172"/>
      <c r="G13" s="4"/>
      <c r="H13" s="4">
        <v>170000000</v>
      </c>
      <c r="I13" s="4">
        <v>3730000000</v>
      </c>
      <c r="J13" s="4">
        <v>3900000000</v>
      </c>
    </row>
    <row r="14" spans="2:10">
      <c r="E14" s="172" t="s">
        <v>34</v>
      </c>
      <c r="F14" s="172"/>
      <c r="G14" s="4"/>
      <c r="H14" s="4">
        <v>450718000</v>
      </c>
      <c r="I14" s="4">
        <v>1449282000</v>
      </c>
      <c r="J14" s="4">
        <v>1900000000</v>
      </c>
    </row>
    <row r="15" spans="2:10">
      <c r="E15" s="172" t="s">
        <v>20</v>
      </c>
      <c r="F15" s="172"/>
      <c r="G15" s="4"/>
      <c r="H15" s="4"/>
      <c r="I15" s="4">
        <v>10011982000</v>
      </c>
      <c r="J15" s="4">
        <v>10011982000</v>
      </c>
    </row>
    <row r="16" spans="2:10">
      <c r="E16" s="172" t="s">
        <v>48</v>
      </c>
      <c r="F16" s="172"/>
      <c r="G16" s="4"/>
      <c r="H16" s="4"/>
      <c r="I16" s="4">
        <v>9550982000</v>
      </c>
      <c r="J16" s="4">
        <v>9550982000</v>
      </c>
    </row>
    <row r="17" spans="3:10">
      <c r="E17" s="173" t="s">
        <v>54</v>
      </c>
      <c r="F17" s="175"/>
      <c r="G17" s="8">
        <v>3299800000</v>
      </c>
      <c r="H17" s="8">
        <v>6691034160</v>
      </c>
      <c r="I17" s="8">
        <v>32529175840</v>
      </c>
      <c r="J17" s="8">
        <v>42520010000</v>
      </c>
    </row>
    <row r="20" spans="3:10">
      <c r="C20" s="176" t="s">
        <v>63</v>
      </c>
      <c r="D20" s="176"/>
      <c r="E20" s="176"/>
      <c r="F20" s="176"/>
      <c r="G20" s="176"/>
    </row>
    <row r="22" spans="3:10">
      <c r="C22" s="12" t="s">
        <v>64</v>
      </c>
    </row>
    <row r="23" spans="3:10">
      <c r="C23" s="9" t="s">
        <v>56</v>
      </c>
      <c r="D23" s="13" t="s">
        <v>57</v>
      </c>
      <c r="E23" s="168" t="s">
        <v>1</v>
      </c>
      <c r="F23" s="168"/>
      <c r="G23" s="9" t="s">
        <v>58</v>
      </c>
    </row>
    <row r="24" spans="3:10">
      <c r="C24" s="3" t="s">
        <v>36</v>
      </c>
      <c r="D24" s="6" t="s">
        <v>35</v>
      </c>
      <c r="E24" s="172" t="s">
        <v>34</v>
      </c>
      <c r="F24" s="172"/>
      <c r="G24" s="4">
        <v>1449282000</v>
      </c>
    </row>
    <row r="25" spans="3:10">
      <c r="C25" s="3" t="s">
        <v>32</v>
      </c>
      <c r="D25" s="6" t="s">
        <v>31</v>
      </c>
      <c r="E25" s="172" t="s">
        <v>30</v>
      </c>
      <c r="F25" s="172"/>
      <c r="G25" s="4">
        <v>3730000000</v>
      </c>
    </row>
    <row r="26" spans="3:10">
      <c r="C26" s="3" t="s">
        <v>7</v>
      </c>
      <c r="D26" s="6" t="s">
        <v>10</v>
      </c>
      <c r="E26" s="172" t="s">
        <v>4</v>
      </c>
      <c r="F26" s="172"/>
      <c r="G26" s="4">
        <v>2822768000</v>
      </c>
    </row>
    <row r="27" spans="3:10">
      <c r="C27" s="3" t="s">
        <v>7</v>
      </c>
      <c r="D27" s="6" t="s">
        <v>49</v>
      </c>
      <c r="E27" s="172" t="s">
        <v>48</v>
      </c>
      <c r="F27" s="172"/>
      <c r="G27" s="4">
        <v>9550982000</v>
      </c>
    </row>
    <row r="28" spans="3:10">
      <c r="C28" s="3" t="s">
        <v>7</v>
      </c>
      <c r="D28" s="6" t="s">
        <v>24</v>
      </c>
      <c r="E28" s="172" t="s">
        <v>20</v>
      </c>
      <c r="F28" s="172"/>
      <c r="G28" s="4">
        <v>2028491000</v>
      </c>
    </row>
    <row r="29" spans="3:10">
      <c r="C29" s="3" t="s">
        <v>7</v>
      </c>
      <c r="D29" s="6" t="s">
        <v>22</v>
      </c>
      <c r="E29" s="172" t="s">
        <v>20</v>
      </c>
      <c r="F29" s="172"/>
      <c r="G29" s="4">
        <v>7983491000</v>
      </c>
    </row>
    <row r="30" spans="3:10">
      <c r="C30" s="3" t="s">
        <v>19</v>
      </c>
      <c r="D30" s="6" t="s">
        <v>18</v>
      </c>
      <c r="E30" s="172" t="s">
        <v>4</v>
      </c>
      <c r="F30" s="172"/>
      <c r="G30" s="4">
        <v>100000000</v>
      </c>
    </row>
    <row r="31" spans="3:10">
      <c r="C31" s="3" t="s">
        <v>16</v>
      </c>
      <c r="D31" s="6" t="s">
        <v>15</v>
      </c>
      <c r="E31" s="172" t="s">
        <v>4</v>
      </c>
      <c r="F31" s="172"/>
      <c r="G31" s="4">
        <v>4864161840</v>
      </c>
    </row>
    <row r="32" spans="3:10">
      <c r="C32" s="173" t="s">
        <v>28</v>
      </c>
      <c r="D32" s="174"/>
      <c r="E32" s="174"/>
      <c r="F32" s="175"/>
      <c r="G32" s="8">
        <f>SUM(G24:G31)</f>
        <v>32529175840</v>
      </c>
    </row>
    <row r="34" spans="3:7">
      <c r="C34" s="12" t="s">
        <v>65</v>
      </c>
    </row>
    <row r="35" spans="3:7">
      <c r="C35" s="9" t="s">
        <v>56</v>
      </c>
      <c r="D35" s="13" t="s">
        <v>57</v>
      </c>
      <c r="E35" s="168" t="s">
        <v>1</v>
      </c>
      <c r="F35" s="168"/>
      <c r="G35" s="9" t="s">
        <v>58</v>
      </c>
    </row>
    <row r="36" spans="3:7">
      <c r="C36" s="6" t="s">
        <v>17</v>
      </c>
      <c r="D36" s="2" t="s">
        <v>6</v>
      </c>
      <c r="E36" s="172" t="s">
        <v>46</v>
      </c>
      <c r="F36" s="172"/>
      <c r="G36" s="2">
        <v>596500000</v>
      </c>
    </row>
    <row r="37" spans="3:7">
      <c r="C37" s="6" t="s">
        <v>17</v>
      </c>
      <c r="D37" s="2" t="s">
        <v>6</v>
      </c>
      <c r="E37" s="172" t="s">
        <v>45</v>
      </c>
      <c r="F37" s="172"/>
      <c r="G37" s="2">
        <v>403500000</v>
      </c>
    </row>
    <row r="38" spans="3:7">
      <c r="C38" s="6" t="s">
        <v>17</v>
      </c>
      <c r="D38" s="2" t="s">
        <v>6</v>
      </c>
      <c r="E38" s="172" t="s">
        <v>37</v>
      </c>
      <c r="F38" s="172"/>
      <c r="G38" s="2">
        <v>900200000</v>
      </c>
    </row>
    <row r="39" spans="3:7">
      <c r="C39" s="6" t="s">
        <v>17</v>
      </c>
      <c r="D39" s="2" t="s">
        <v>6</v>
      </c>
      <c r="E39" s="172" t="s">
        <v>47</v>
      </c>
      <c r="F39" s="172"/>
      <c r="G39" s="2">
        <v>432858000</v>
      </c>
    </row>
    <row r="40" spans="3:7">
      <c r="C40" s="6" t="s">
        <v>17</v>
      </c>
      <c r="D40" s="2" t="s">
        <v>6</v>
      </c>
      <c r="E40" s="172" t="s">
        <v>33</v>
      </c>
      <c r="F40" s="172"/>
      <c r="G40" s="2">
        <v>323006000</v>
      </c>
    </row>
    <row r="41" spans="3:7">
      <c r="C41" s="6" t="s">
        <v>17</v>
      </c>
      <c r="D41" s="2" t="s">
        <v>6</v>
      </c>
      <c r="E41" s="172" t="s">
        <v>29</v>
      </c>
      <c r="F41" s="172"/>
      <c r="G41" s="2">
        <v>1200000000</v>
      </c>
    </row>
    <row r="42" spans="3:7">
      <c r="C42" s="6" t="s">
        <v>17</v>
      </c>
      <c r="D42" s="2" t="s">
        <v>6</v>
      </c>
      <c r="E42" s="172" t="s">
        <v>4</v>
      </c>
      <c r="F42" s="172"/>
      <c r="G42" s="2">
        <v>2214252160</v>
      </c>
    </row>
    <row r="43" spans="3:7">
      <c r="C43" s="6" t="s">
        <v>17</v>
      </c>
      <c r="D43" s="2" t="s">
        <v>6</v>
      </c>
      <c r="E43" s="172" t="s">
        <v>30</v>
      </c>
      <c r="F43" s="172"/>
      <c r="G43" s="2">
        <v>170000000</v>
      </c>
    </row>
    <row r="44" spans="3:7">
      <c r="C44" s="6" t="s">
        <v>17</v>
      </c>
      <c r="D44" s="2" t="s">
        <v>6</v>
      </c>
      <c r="E44" s="172" t="s">
        <v>34</v>
      </c>
      <c r="F44" s="172"/>
      <c r="G44" s="2">
        <v>450718000</v>
      </c>
    </row>
    <row r="45" spans="3:7">
      <c r="C45" s="173" t="s">
        <v>28</v>
      </c>
      <c r="D45" s="174"/>
      <c r="E45" s="174"/>
      <c r="F45" s="175"/>
      <c r="G45" s="8">
        <f>SUM(G36:G44)</f>
        <v>6691034160</v>
      </c>
    </row>
    <row r="47" spans="3:7">
      <c r="C47" s="12" t="s">
        <v>66</v>
      </c>
    </row>
    <row r="48" spans="3:7">
      <c r="C48" s="9" t="s">
        <v>56</v>
      </c>
      <c r="D48" s="13" t="s">
        <v>57</v>
      </c>
      <c r="E48" s="168" t="s">
        <v>1</v>
      </c>
      <c r="F48" s="168"/>
      <c r="G48" s="9" t="s">
        <v>58</v>
      </c>
    </row>
    <row r="49" spans="3:7">
      <c r="C49" s="6" t="s">
        <v>40</v>
      </c>
      <c r="D49" s="2" t="s">
        <v>42</v>
      </c>
      <c r="E49" s="172" t="s">
        <v>37</v>
      </c>
      <c r="F49" s="172"/>
      <c r="G49" s="6">
        <v>575315000</v>
      </c>
    </row>
    <row r="50" spans="3:7">
      <c r="C50" s="6" t="s">
        <v>40</v>
      </c>
      <c r="D50" s="2" t="s">
        <v>39</v>
      </c>
      <c r="E50" s="172" t="s">
        <v>37</v>
      </c>
      <c r="F50" s="172"/>
      <c r="G50" s="6">
        <v>2724485000</v>
      </c>
    </row>
    <row r="51" spans="3:7">
      <c r="C51" s="173" t="s">
        <v>28</v>
      </c>
      <c r="D51" s="174"/>
      <c r="E51" s="174"/>
      <c r="F51" s="175"/>
      <c r="G51" s="7">
        <f>SUM(G49:G50)</f>
        <v>3299800000</v>
      </c>
    </row>
    <row r="54" spans="3:7">
      <c r="C54" s="14"/>
      <c r="D54" s="14"/>
      <c r="E54" s="171" t="s">
        <v>59</v>
      </c>
      <c r="F54" s="171"/>
      <c r="G54" s="171"/>
    </row>
    <row r="56" spans="3:7">
      <c r="E56" s="12" t="s">
        <v>64</v>
      </c>
    </row>
    <row r="57" spans="3:7">
      <c r="E57" s="168" t="s">
        <v>62</v>
      </c>
      <c r="F57" s="168"/>
      <c r="G57" s="9" t="s">
        <v>58</v>
      </c>
    </row>
    <row r="58" spans="3:7">
      <c r="E58" s="169" t="s">
        <v>11</v>
      </c>
      <c r="F58" s="169"/>
      <c r="G58" s="6">
        <v>2490000000</v>
      </c>
    </row>
    <row r="59" spans="3:7">
      <c r="E59" s="169" t="s">
        <v>23</v>
      </c>
      <c r="F59" s="169"/>
      <c r="G59" s="6">
        <v>1400000000</v>
      </c>
    </row>
    <row r="60" spans="3:7">
      <c r="E60" s="169" t="s">
        <v>27</v>
      </c>
      <c r="F60" s="169"/>
      <c r="G60" s="6">
        <v>60000000</v>
      </c>
    </row>
    <row r="61" spans="3:7">
      <c r="E61" s="169" t="s">
        <v>12</v>
      </c>
      <c r="F61" s="169"/>
      <c r="G61" s="6">
        <v>12229155840</v>
      </c>
    </row>
    <row r="62" spans="3:7">
      <c r="E62" s="169" t="s">
        <v>25</v>
      </c>
      <c r="F62" s="169"/>
      <c r="G62" s="6">
        <v>375000000</v>
      </c>
    </row>
    <row r="63" spans="3:7">
      <c r="E63" s="169" t="s">
        <v>8</v>
      </c>
      <c r="F63" s="169"/>
      <c r="G63" s="6">
        <v>92758400</v>
      </c>
    </row>
    <row r="64" spans="3:7">
      <c r="E64" s="169" t="s">
        <v>26</v>
      </c>
      <c r="F64" s="169"/>
      <c r="G64" s="6">
        <v>120000000</v>
      </c>
    </row>
    <row r="65" spans="5:7">
      <c r="E65" s="169" t="s">
        <v>5</v>
      </c>
      <c r="F65" s="169"/>
      <c r="G65" s="6">
        <v>10259061600</v>
      </c>
    </row>
    <row r="66" spans="5:7">
      <c r="E66" s="169" t="s">
        <v>14</v>
      </c>
      <c r="F66" s="169"/>
      <c r="G66" s="6">
        <v>500000000</v>
      </c>
    </row>
    <row r="67" spans="5:7">
      <c r="E67" s="169" t="s">
        <v>13</v>
      </c>
      <c r="F67" s="169"/>
      <c r="G67" s="6">
        <v>100000000</v>
      </c>
    </row>
    <row r="68" spans="5:7">
      <c r="E68" s="169" t="s">
        <v>21</v>
      </c>
      <c r="F68" s="169"/>
      <c r="G68" s="6">
        <v>4350000000</v>
      </c>
    </row>
    <row r="69" spans="5:7">
      <c r="E69" s="169" t="s">
        <v>9</v>
      </c>
      <c r="F69" s="169"/>
      <c r="G69" s="6">
        <v>553200000</v>
      </c>
    </row>
    <row r="70" spans="5:7">
      <c r="E70" s="170" t="s">
        <v>28</v>
      </c>
      <c r="F70" s="170"/>
      <c r="G70" s="7">
        <f>SUM(G58:G69)</f>
        <v>32529175840</v>
      </c>
    </row>
    <row r="72" spans="5:7">
      <c r="E72" s="12" t="s">
        <v>65</v>
      </c>
    </row>
    <row r="73" spans="5:7">
      <c r="E73" s="168" t="s">
        <v>62</v>
      </c>
      <c r="F73" s="168"/>
      <c r="G73" s="9" t="s">
        <v>58</v>
      </c>
    </row>
    <row r="74" spans="5:7">
      <c r="E74" s="169" t="s">
        <v>8</v>
      </c>
      <c r="F74" s="169"/>
      <c r="G74" s="6">
        <v>1177022750</v>
      </c>
    </row>
    <row r="75" spans="5:7">
      <c r="E75" s="169" t="s">
        <v>5</v>
      </c>
      <c r="F75" s="169"/>
      <c r="G75" s="6">
        <v>5514011410</v>
      </c>
    </row>
    <row r="76" spans="5:7">
      <c r="E76" s="170" t="s">
        <v>28</v>
      </c>
      <c r="F76" s="170"/>
      <c r="G76" s="7">
        <f>SUM(G74:G75)</f>
        <v>6691034160</v>
      </c>
    </row>
    <row r="79" spans="5:7">
      <c r="E79" s="12" t="s">
        <v>66</v>
      </c>
    </row>
    <row r="80" spans="5:7">
      <c r="E80" s="168" t="s">
        <v>62</v>
      </c>
      <c r="F80" s="168"/>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170" t="s">
        <v>28</v>
      </c>
      <c r="F86" s="170"/>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Hoja2</vt:lpstr>
      <vt:lpstr>PAA VR5 -2024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Juan David Garzón Burbano</cp:lastModifiedBy>
  <cp:lastPrinted>2024-06-25T20:21:52Z</cp:lastPrinted>
  <dcterms:created xsi:type="dcterms:W3CDTF">2023-10-09T19:40:49Z</dcterms:created>
  <dcterms:modified xsi:type="dcterms:W3CDTF">2024-11-26T21:10:25Z</dcterms:modified>
</cp:coreProperties>
</file>