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Jdgarzon\Downloads\"/>
    </mc:Choice>
  </mc:AlternateContent>
  <bookViews>
    <workbookView xWindow="0" yWindow="0" windowWidth="28800" windowHeight="10410" tabRatio="795" firstSheet="1" activeTab="1"/>
  </bookViews>
  <sheets>
    <sheet name="Hoja1" sheetId="13" state="hidden" r:id="rId1"/>
    <sheet name="PAA VR9 -2024 UAECOB BCS" sheetId="1" r:id="rId2"/>
    <sheet name="Control PAA Vr0" sheetId="9" state="hidden" r:id="rId3"/>
    <sheet name="Distribución Pptal Inv" sheetId="6" state="hidden" r:id="rId4"/>
    <sheet name="TD" sheetId="4" state="hidden" r:id="rId5"/>
    <sheet name="resumen" sheetId="2" state="hidden" r:id="rId6"/>
  </sheets>
  <externalReferences>
    <externalReference r:id="rId7"/>
  </externalReferences>
  <definedNames>
    <definedName name="_xlnm._FilterDatabase" localSheetId="1" hidden="1">'PAA VR9 -2024 UAECOB BCS'!$B$10:$AC$913</definedName>
    <definedName name="_xlnm._FilterDatabase" localSheetId="4" hidden="1">TD!$K$45:$L$45</definedName>
    <definedName name="Sec_Prog_MGA">[1]MGA!$A$7990:$A$8085</definedName>
  </definedNames>
  <calcPr calcId="191029"/>
  <pivotCaches>
    <pivotCache cacheId="0" r:id="rId8"/>
  </pivotCaches>
</workbook>
</file>

<file path=xl/calcChain.xml><?xml version="1.0" encoding="utf-8"?>
<calcChain xmlns="http://schemas.openxmlformats.org/spreadsheetml/2006/main">
  <c r="L89" i="1" l="1"/>
  <c r="L14" i="1"/>
  <c r="L13" i="1"/>
  <c r="L66" i="1" l="1"/>
  <c r="L64" i="1"/>
  <c r="L68" i="1"/>
  <c r="L69" i="1"/>
  <c r="L70" i="1"/>
  <c r="L72" i="1"/>
  <c r="L73" i="1"/>
  <c r="L74" i="1"/>
  <c r="L85" i="1"/>
  <c r="L87" i="1"/>
  <c r="L67" i="1"/>
  <c r="L65" i="1"/>
  <c r="L53" i="1"/>
  <c r="L57" i="1"/>
  <c r="L12" i="1"/>
  <c r="L78" i="1"/>
  <c r="L58" i="1"/>
  <c r="L60" i="1" l="1"/>
  <c r="L59" i="1"/>
  <c r="L63" i="1"/>
  <c r="L62" i="1"/>
  <c r="L61" i="1"/>
  <c r="L22" i="1" l="1"/>
  <c r="L19" i="1"/>
  <c r="L81" i="1"/>
  <c r="L80" i="1"/>
  <c r="L79" i="1"/>
  <c r="L38" i="1"/>
  <c r="L37" i="1"/>
  <c r="L36" i="1"/>
  <c r="L35" i="1"/>
  <c r="L34" i="1"/>
  <c r="L33" i="1"/>
  <c r="L32" i="1"/>
  <c r="L31" i="1"/>
  <c r="L30" i="1"/>
  <c r="L29" i="1"/>
  <c r="L28" i="1"/>
  <c r="L27" i="1"/>
  <c r="L26" i="1"/>
  <c r="L25" i="1"/>
  <c r="L24" i="1"/>
  <c r="L23" i="1"/>
  <c r="L21" i="1"/>
  <c r="L20" i="1"/>
  <c r="L18" i="1" l="1"/>
  <c r="L17" i="1"/>
  <c r="L16" i="1"/>
  <c r="L15" i="1"/>
  <c r="L93" i="1" l="1"/>
  <c r="L51" i="1"/>
  <c r="L49" i="1"/>
  <c r="L48" i="1"/>
  <c r="L47" i="1"/>
  <c r="L45" i="1"/>
  <c r="L42" i="1"/>
  <c r="L40" i="1"/>
  <c r="L52" i="1" l="1"/>
  <c r="L90" i="1"/>
  <c r="L77" i="1"/>
  <c r="L76" i="1"/>
  <c r="L75" i="1"/>
  <c r="L55" i="1" l="1"/>
  <c r="L56" i="1" l="1"/>
  <c r="L54" i="1"/>
  <c r="L83" i="1" l="1"/>
  <c r="L82" i="1"/>
  <c r="L84" i="1" l="1"/>
  <c r="L11" i="1" l="1"/>
  <c r="L584" i="1" l="1"/>
  <c r="L96" i="1"/>
  <c r="L576" i="1"/>
  <c r="L575" i="1"/>
  <c r="L577" i="1"/>
  <c r="L465" i="1"/>
  <c r="L437" i="1" l="1"/>
  <c r="L277" i="1" l="1"/>
  <c r="L276" i="1"/>
  <c r="L262" i="1"/>
  <c r="L475" i="1" l="1"/>
  <c r="L474" i="1"/>
  <c r="L505" i="1"/>
  <c r="L452" i="1"/>
  <c r="L451" i="1"/>
  <c r="L549" i="1" l="1"/>
  <c r="L489" i="1"/>
  <c r="L373" i="1"/>
  <c r="L367" i="1" l="1"/>
  <c r="L531" i="1" l="1"/>
  <c r="L301" i="1"/>
  <c r="L196" i="1" l="1"/>
  <c r="L368" i="1"/>
  <c r="L370" i="1" l="1"/>
  <c r="L210" i="1" l="1"/>
  <c r="L508" i="1"/>
  <c r="L211" i="1" l="1"/>
  <c r="L524" i="1" l="1"/>
  <c r="L523" i="1"/>
  <c r="L522" i="1"/>
  <c r="L176" i="1"/>
  <c r="L518" i="1" l="1"/>
  <c r="L260" i="1" l="1"/>
  <c r="L259" i="1"/>
  <c r="L257" i="1"/>
  <c r="L557" i="1"/>
  <c r="L255" i="1"/>
  <c r="L254" i="1"/>
  <c r="L253" i="1"/>
  <c r="L251" i="1"/>
  <c r="L250" i="1"/>
  <c r="L249" i="1"/>
  <c r="L248" i="1"/>
  <c r="L247" i="1"/>
  <c r="L246" i="1"/>
  <c r="L525" i="1"/>
  <c r="L50" i="1" l="1"/>
  <c r="L46" i="1"/>
  <c r="L308" i="1"/>
  <c r="L307" i="1"/>
  <c r="L44" i="1"/>
  <c r="L306" i="1"/>
  <c r="L305" i="1"/>
  <c r="L43" i="1"/>
  <c r="L41" i="1"/>
  <c r="L39" i="1"/>
  <c r="L472" i="1" l="1"/>
  <c r="L471" i="1"/>
  <c r="L71" i="1"/>
  <c r="L470" i="1"/>
  <c r="L469" i="1"/>
  <c r="L468" i="1"/>
  <c r="L464" i="1"/>
  <c r="L463" i="1"/>
  <c r="L462" i="1"/>
  <c r="L461" i="1"/>
  <c r="L460" i="1"/>
  <c r="L458" i="1"/>
  <c r="L457" i="1"/>
  <c r="W544" i="1" l="1"/>
  <c r="X544" i="1" s="1"/>
  <c r="L285" i="1" l="1"/>
  <c r="L265" i="1" l="1"/>
  <c r="L302" i="1"/>
  <c r="L511" i="1"/>
  <c r="L282" i="1"/>
  <c r="L295" i="1"/>
  <c r="L286" i="1"/>
  <c r="L269" i="1"/>
  <c r="P913" i="1"/>
  <c r="Q913" i="1"/>
  <c r="R913" i="1"/>
  <c r="U913" i="1"/>
  <c r="X913" i="1"/>
  <c r="Z913" i="1" l="1"/>
  <c r="Y913" i="1"/>
  <c r="AA913" i="1" s="1"/>
  <c r="L237" i="1" l="1"/>
  <c r="L239" i="1" l="1"/>
  <c r="L238" i="1"/>
  <c r="L232" i="1"/>
  <c r="L235" i="1" l="1"/>
  <c r="P912" i="1"/>
  <c r="Q912" i="1"/>
  <c r="R912" i="1"/>
  <c r="U912" i="1"/>
  <c r="X912" i="1"/>
  <c r="L244" i="1"/>
  <c r="Y912" i="1" l="1"/>
  <c r="AA912" i="1" s="1"/>
  <c r="Z912" i="1"/>
  <c r="L218" i="1"/>
  <c r="L217" i="1"/>
  <c r="L240" i="1"/>
  <c r="L220" i="1"/>
  <c r="L219" i="1"/>
  <c r="L243" i="1"/>
  <c r="L231" i="1"/>
  <c r="L225" i="1"/>
  <c r="L224" i="1"/>
  <c r="L223" i="1"/>
  <c r="L212" i="1"/>
  <c r="L177" i="1"/>
  <c r="L476" i="1"/>
  <c r="L473" i="1"/>
  <c r="R4" i="1" s="1"/>
  <c r="L417" i="1" l="1"/>
  <c r="L410" i="1"/>
  <c r="O4" i="1" s="1"/>
  <c r="P911" i="1" l="1"/>
  <c r="Q911" i="1"/>
  <c r="R911" i="1"/>
  <c r="U911" i="1"/>
  <c r="X911" i="1"/>
  <c r="L294" i="1"/>
  <c r="L289" i="1"/>
  <c r="L284" i="1"/>
  <c r="L278" i="1"/>
  <c r="L175" i="1"/>
  <c r="Z911" i="1" l="1"/>
  <c r="Y911" i="1"/>
  <c r="AA911" i="1" s="1"/>
  <c r="Q173" i="1" l="1"/>
  <c r="Q174" i="1"/>
  <c r="Q175" i="1"/>
  <c r="Q176" i="1"/>
  <c r="Q177" i="1"/>
  <c r="Q178" i="1"/>
  <c r="Q11" i="1"/>
  <c r="Q180" i="1"/>
  <c r="Q181" i="1"/>
  <c r="Q183" i="1"/>
  <c r="Q184" i="1"/>
  <c r="Q185" i="1"/>
  <c r="Q186" i="1"/>
  <c r="Q187" i="1"/>
  <c r="Q188" i="1"/>
  <c r="Q189" i="1"/>
  <c r="Q190" i="1"/>
  <c r="Q191" i="1"/>
  <c r="Q192" i="1"/>
  <c r="Q193" i="1"/>
  <c r="Q194" i="1"/>
  <c r="Q12" i="1"/>
  <c r="Q195" i="1"/>
  <c r="Q13" i="1"/>
  <c r="Q196" i="1"/>
  <c r="Q197" i="1"/>
  <c r="Q14" i="1"/>
  <c r="Q198" i="1"/>
  <c r="Q199" i="1"/>
  <c r="Q200" i="1"/>
  <c r="Q201" i="1"/>
  <c r="Q202" i="1"/>
  <c r="Q203" i="1"/>
  <c r="Q204" i="1"/>
  <c r="Q205" i="1"/>
  <c r="Q206" i="1"/>
  <c r="Q207" i="1"/>
  <c r="Q208" i="1"/>
  <c r="Q209" i="1"/>
  <c r="Q210" i="1"/>
  <c r="Q212" i="1"/>
  <c r="Q213" i="1"/>
  <c r="Q214" i="1"/>
  <c r="Q15" i="1"/>
  <c r="Q16" i="1"/>
  <c r="Q215" i="1"/>
  <c r="Q216" i="1"/>
  <c r="Q17" i="1"/>
  <c r="Q18" i="1"/>
  <c r="Q19" i="1"/>
  <c r="Q217" i="1"/>
  <c r="Q218" i="1"/>
  <c r="Q219" i="1"/>
  <c r="Q220" i="1"/>
  <c r="Q221" i="1"/>
  <c r="Q20" i="1"/>
  <c r="Q21" i="1"/>
  <c r="Q22" i="1"/>
  <c r="Q23" i="1"/>
  <c r="Q24" i="1"/>
  <c r="Q25" i="1"/>
  <c r="Q222" i="1"/>
  <c r="Q223" i="1"/>
  <c r="Q224" i="1"/>
  <c r="Q225" i="1"/>
  <c r="Q226" i="1"/>
  <c r="Q227" i="1"/>
  <c r="Q228" i="1"/>
  <c r="Q229" i="1"/>
  <c r="Q26" i="1"/>
  <c r="Q27" i="1"/>
  <c r="Q230" i="1"/>
  <c r="Q28" i="1"/>
  <c r="Q29" i="1"/>
  <c r="Q231" i="1"/>
  <c r="Q232" i="1"/>
  <c r="Q233" i="1"/>
  <c r="Q234" i="1"/>
  <c r="Q235" i="1"/>
  <c r="Q30" i="1"/>
  <c r="Q31" i="1"/>
  <c r="Q32" i="1"/>
  <c r="Q236" i="1"/>
  <c r="Q237" i="1"/>
  <c r="Q238" i="1"/>
  <c r="Q239" i="1"/>
  <c r="Q33" i="1"/>
  <c r="Q34" i="1"/>
  <c r="Q35" i="1"/>
  <c r="Q36" i="1"/>
  <c r="Q240" i="1"/>
  <c r="Q37" i="1"/>
  <c r="Q241" i="1"/>
  <c r="Q242" i="1"/>
  <c r="Q38" i="1"/>
  <c r="Q243" i="1"/>
  <c r="Q244" i="1"/>
  <c r="Q245" i="1"/>
  <c r="Q246" i="1"/>
  <c r="Q247" i="1"/>
  <c r="Q248" i="1"/>
  <c r="Q249" i="1"/>
  <c r="Q250" i="1"/>
  <c r="Q251" i="1"/>
  <c r="Q252" i="1"/>
  <c r="Q253" i="1"/>
  <c r="Q254" i="1"/>
  <c r="Q255" i="1"/>
  <c r="Q557" i="1"/>
  <c r="Q256" i="1"/>
  <c r="Q257" i="1"/>
  <c r="Q258" i="1"/>
  <c r="Q259" i="1"/>
  <c r="Q260" i="1"/>
  <c r="Q262" i="1"/>
  <c r="Q263" i="1"/>
  <c r="Q264" i="1"/>
  <c r="Q265" i="1"/>
  <c r="Q266" i="1"/>
  <c r="Q267" i="1"/>
  <c r="Q268" i="1"/>
  <c r="Q269" i="1"/>
  <c r="Q270" i="1"/>
  <c r="Q271" i="1"/>
  <c r="Q272" i="1"/>
  <c r="Q273"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9" i="1"/>
  <c r="Q40" i="1"/>
  <c r="Q41" i="1"/>
  <c r="Q304" i="1"/>
  <c r="Q42" i="1"/>
  <c r="Q43" i="1"/>
  <c r="Q305" i="1"/>
  <c r="Q306" i="1"/>
  <c r="Q44" i="1"/>
  <c r="Q45" i="1"/>
  <c r="Q307" i="1"/>
  <c r="Q308" i="1"/>
  <c r="Q46" i="1"/>
  <c r="Q47" i="1"/>
  <c r="Q48" i="1"/>
  <c r="Q49" i="1"/>
  <c r="Q50" i="1"/>
  <c r="Q51"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3" i="1"/>
  <c r="Q364" i="1"/>
  <c r="Q365" i="1"/>
  <c r="Q52" i="1"/>
  <c r="Q366" i="1"/>
  <c r="Q367" i="1"/>
  <c r="Q53" i="1"/>
  <c r="Q368" i="1"/>
  <c r="Q54" i="1"/>
  <c r="Q369" i="1"/>
  <c r="Q370" i="1"/>
  <c r="Q55" i="1"/>
  <c r="Q371" i="1"/>
  <c r="Q372" i="1"/>
  <c r="Q373" i="1"/>
  <c r="Q374" i="1"/>
  <c r="Q375" i="1"/>
  <c r="Q56" i="1"/>
  <c r="Q376" i="1"/>
  <c r="Q377" i="1"/>
  <c r="Q378" i="1"/>
  <c r="Q379" i="1"/>
  <c r="Q380" i="1"/>
  <c r="Q381" i="1"/>
  <c r="Q382" i="1"/>
  <c r="Q383" i="1"/>
  <c r="Q384" i="1"/>
  <c r="Q385" i="1"/>
  <c r="Q386" i="1"/>
  <c r="Q387" i="1"/>
  <c r="Q388" i="1"/>
  <c r="Q389" i="1"/>
  <c r="Q57" i="1"/>
  <c r="Q58"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59" i="1"/>
  <c r="Q415" i="1"/>
  <c r="Q416" i="1"/>
  <c r="Q417" i="1"/>
  <c r="Q419" i="1"/>
  <c r="Q420" i="1"/>
  <c r="Q421" i="1"/>
  <c r="Q422" i="1"/>
  <c r="Q60" i="1"/>
  <c r="Q423" i="1"/>
  <c r="Q424" i="1"/>
  <c r="Q425" i="1"/>
  <c r="Q426" i="1"/>
  <c r="Q427" i="1"/>
  <c r="Q428" i="1"/>
  <c r="Q429" i="1"/>
  <c r="Q430" i="1"/>
  <c r="Q431" i="1"/>
  <c r="Q432" i="1"/>
  <c r="Q433" i="1"/>
  <c r="Q434" i="1"/>
  <c r="Q435" i="1"/>
  <c r="Q436" i="1"/>
  <c r="Q437" i="1"/>
  <c r="Q438" i="1"/>
  <c r="Q439" i="1"/>
  <c r="Q440" i="1"/>
  <c r="Q441" i="1"/>
  <c r="Q442" i="1"/>
  <c r="Q443" i="1"/>
  <c r="Q444" i="1"/>
  <c r="Q445" i="1"/>
  <c r="Q446" i="1"/>
  <c r="Q61" i="1"/>
  <c r="Q447" i="1"/>
  <c r="Q448" i="1"/>
  <c r="Q449" i="1"/>
  <c r="Q62" i="1"/>
  <c r="Q63" i="1"/>
  <c r="Q450" i="1"/>
  <c r="Q451" i="1"/>
  <c r="Q452" i="1"/>
  <c r="Q64" i="1"/>
  <c r="Q65" i="1"/>
  <c r="Q456" i="1"/>
  <c r="Q66" i="1"/>
  <c r="Q67" i="1"/>
  <c r="Q457" i="1"/>
  <c r="Q458" i="1"/>
  <c r="Q459" i="1"/>
  <c r="Q460" i="1"/>
  <c r="Q461" i="1"/>
  <c r="Q462" i="1"/>
  <c r="Q68" i="1"/>
  <c r="Q463" i="1"/>
  <c r="Q464" i="1"/>
  <c r="Q465" i="1"/>
  <c r="Q69" i="1"/>
  <c r="Q466" i="1"/>
  <c r="Q70" i="1"/>
  <c r="Q467" i="1"/>
  <c r="Q468" i="1"/>
  <c r="Q469" i="1"/>
  <c r="Q470" i="1"/>
  <c r="Q71" i="1"/>
  <c r="Q72" i="1"/>
  <c r="Q471" i="1"/>
  <c r="Q472" i="1"/>
  <c r="Q73" i="1"/>
  <c r="Q74" i="1"/>
  <c r="Q473" i="1"/>
  <c r="Q474" i="1"/>
  <c r="Q475" i="1"/>
  <c r="Q476" i="1"/>
  <c r="Q477" i="1"/>
  <c r="Q478" i="1"/>
  <c r="Q75" i="1"/>
  <c r="Q76" i="1"/>
  <c r="Q479" i="1"/>
  <c r="Q77" i="1"/>
  <c r="Q211" i="1"/>
  <c r="Q261" i="1"/>
  <c r="Q274" i="1"/>
  <c r="Q275" i="1"/>
  <c r="Q361" i="1"/>
  <c r="Q172" i="1"/>
  <c r="Q179" i="1"/>
  <c r="Q362" i="1"/>
  <c r="Q418" i="1"/>
  <c r="Q453" i="1"/>
  <c r="Q454" i="1"/>
  <c r="Q455"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78" i="1"/>
  <c r="Q515" i="1"/>
  <c r="Q516" i="1"/>
  <c r="Q517" i="1"/>
  <c r="Q519" i="1"/>
  <c r="Q518" i="1"/>
  <c r="Q520" i="1"/>
  <c r="Q521" i="1"/>
  <c r="Q79" i="1"/>
  <c r="Q182" i="1"/>
  <c r="Q80" i="1"/>
  <c r="Q81" i="1"/>
  <c r="Q82" i="1"/>
  <c r="Q522" i="1"/>
  <c r="Q523" i="1"/>
  <c r="Q83" i="1"/>
  <c r="Q524" i="1"/>
  <c r="Q525" i="1"/>
  <c r="Q526" i="1"/>
  <c r="Q527" i="1"/>
  <c r="Q528" i="1"/>
  <c r="Q529" i="1"/>
  <c r="Q84" i="1"/>
  <c r="Q530" i="1"/>
  <c r="Q531" i="1"/>
  <c r="Q532" i="1"/>
  <c r="Q533" i="1"/>
  <c r="Q534" i="1"/>
  <c r="Q535" i="1"/>
  <c r="Q536" i="1"/>
  <c r="Q537" i="1"/>
  <c r="Q538" i="1"/>
  <c r="Q539" i="1"/>
  <c r="Q540" i="1"/>
  <c r="Q541" i="1"/>
  <c r="Q542" i="1"/>
  <c r="Q543" i="1"/>
  <c r="Q544" i="1"/>
  <c r="Q85" i="1"/>
  <c r="Q545" i="1"/>
  <c r="Q546" i="1"/>
  <c r="Q86" i="1"/>
  <c r="Q87" i="1"/>
  <c r="Q547" i="1"/>
  <c r="Q548" i="1"/>
  <c r="Q88" i="1"/>
  <c r="Q549" i="1"/>
  <c r="Q550" i="1"/>
  <c r="Q551" i="1"/>
  <c r="Q89" i="1"/>
  <c r="Q90" i="1"/>
  <c r="Q552" i="1"/>
  <c r="Q553" i="1"/>
  <c r="Q554" i="1"/>
  <c r="Q555" i="1"/>
  <c r="Q556" i="1"/>
  <c r="Q558" i="1"/>
  <c r="Q91" i="1"/>
  <c r="Q559" i="1"/>
  <c r="Q560" i="1"/>
  <c r="Q561" i="1"/>
  <c r="Q562" i="1"/>
  <c r="Q563" i="1"/>
  <c r="Q564" i="1"/>
  <c r="Q565" i="1"/>
  <c r="Q566" i="1"/>
  <c r="Q92" i="1"/>
  <c r="Q567" i="1"/>
  <c r="Q93" i="1"/>
  <c r="Q568" i="1"/>
  <c r="Q94" i="1"/>
  <c r="Q569" i="1"/>
  <c r="Q570" i="1"/>
  <c r="Q571" i="1"/>
  <c r="Q572" i="1"/>
  <c r="Q573" i="1"/>
  <c r="Q95" i="1"/>
  <c r="Q574" i="1"/>
  <c r="Q575" i="1"/>
  <c r="Q576" i="1"/>
  <c r="Q96" i="1"/>
  <c r="Q577" i="1"/>
  <c r="Q97" i="1"/>
  <c r="Q578" i="1"/>
  <c r="Q579" i="1"/>
  <c r="Q580" i="1"/>
  <c r="Q581" i="1"/>
  <c r="Q582" i="1"/>
  <c r="Q583" i="1"/>
  <c r="Q584" i="1"/>
  <c r="Q98" i="1"/>
  <c r="Q585" i="1"/>
  <c r="Q586"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R173" i="1" l="1"/>
  <c r="R174" i="1"/>
  <c r="R175" i="1"/>
  <c r="R176" i="1"/>
  <c r="R177" i="1"/>
  <c r="R178" i="1"/>
  <c r="R11" i="1"/>
  <c r="R180" i="1"/>
  <c r="R181" i="1"/>
  <c r="R183" i="1"/>
  <c r="R184" i="1"/>
  <c r="R185" i="1"/>
  <c r="R186" i="1"/>
  <c r="R187" i="1"/>
  <c r="R188" i="1"/>
  <c r="R189" i="1"/>
  <c r="R190" i="1"/>
  <c r="R191" i="1"/>
  <c r="R192" i="1"/>
  <c r="R193" i="1"/>
  <c r="R194" i="1"/>
  <c r="R12" i="1"/>
  <c r="R195" i="1"/>
  <c r="R13" i="1"/>
  <c r="R196" i="1"/>
  <c r="R197" i="1"/>
  <c r="R14" i="1"/>
  <c r="R198" i="1"/>
  <c r="R199" i="1"/>
  <c r="R200" i="1"/>
  <c r="R201" i="1"/>
  <c r="R202" i="1"/>
  <c r="R203" i="1"/>
  <c r="R204" i="1"/>
  <c r="R205" i="1"/>
  <c r="R206" i="1"/>
  <c r="R207" i="1"/>
  <c r="R208" i="1"/>
  <c r="R209" i="1"/>
  <c r="R210" i="1"/>
  <c r="R212" i="1"/>
  <c r="R213" i="1"/>
  <c r="R214" i="1"/>
  <c r="R15" i="1"/>
  <c r="R16" i="1"/>
  <c r="R215" i="1"/>
  <c r="R216" i="1"/>
  <c r="R17" i="1"/>
  <c r="R18" i="1"/>
  <c r="R19" i="1"/>
  <c r="R217" i="1"/>
  <c r="R218" i="1"/>
  <c r="R219" i="1"/>
  <c r="R220" i="1"/>
  <c r="R221" i="1"/>
  <c r="R20" i="1"/>
  <c r="R21" i="1"/>
  <c r="R22" i="1"/>
  <c r="R23" i="1"/>
  <c r="R24" i="1"/>
  <c r="R25" i="1"/>
  <c r="R222" i="1"/>
  <c r="R223" i="1"/>
  <c r="R224" i="1"/>
  <c r="R225" i="1"/>
  <c r="R226" i="1"/>
  <c r="R227" i="1"/>
  <c r="R228" i="1"/>
  <c r="R229" i="1"/>
  <c r="R26" i="1"/>
  <c r="R27" i="1"/>
  <c r="R230" i="1"/>
  <c r="R28" i="1"/>
  <c r="R29" i="1"/>
  <c r="R231" i="1"/>
  <c r="R232" i="1"/>
  <c r="R233" i="1"/>
  <c r="R234" i="1"/>
  <c r="R235" i="1"/>
  <c r="R30" i="1"/>
  <c r="R31" i="1"/>
  <c r="R32" i="1"/>
  <c r="R236" i="1"/>
  <c r="R237" i="1"/>
  <c r="R238" i="1"/>
  <c r="R239" i="1"/>
  <c r="R33" i="1"/>
  <c r="R34" i="1"/>
  <c r="R35" i="1"/>
  <c r="R36" i="1"/>
  <c r="R240" i="1"/>
  <c r="R37" i="1"/>
  <c r="R241" i="1"/>
  <c r="R242" i="1"/>
  <c r="R38" i="1"/>
  <c r="R243" i="1"/>
  <c r="R244" i="1"/>
  <c r="R245" i="1"/>
  <c r="R246" i="1"/>
  <c r="R247" i="1"/>
  <c r="R248" i="1"/>
  <c r="R249" i="1"/>
  <c r="R250" i="1"/>
  <c r="R251" i="1"/>
  <c r="R252" i="1"/>
  <c r="R253" i="1"/>
  <c r="R254" i="1"/>
  <c r="R255" i="1"/>
  <c r="R557" i="1"/>
  <c r="R256" i="1"/>
  <c r="R257" i="1"/>
  <c r="R258" i="1"/>
  <c r="R259" i="1"/>
  <c r="R260" i="1"/>
  <c r="R262" i="1"/>
  <c r="R263" i="1"/>
  <c r="R264" i="1"/>
  <c r="R265" i="1"/>
  <c r="R266" i="1"/>
  <c r="R267" i="1"/>
  <c r="R268" i="1"/>
  <c r="R269" i="1"/>
  <c r="R270" i="1"/>
  <c r="R271" i="1"/>
  <c r="R272" i="1"/>
  <c r="R273"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9" i="1"/>
  <c r="R40" i="1"/>
  <c r="R41" i="1"/>
  <c r="R304" i="1"/>
  <c r="R42" i="1"/>
  <c r="R43" i="1"/>
  <c r="R305" i="1"/>
  <c r="R306" i="1"/>
  <c r="R44" i="1"/>
  <c r="R45" i="1"/>
  <c r="R307" i="1"/>
  <c r="R308" i="1"/>
  <c r="R46" i="1"/>
  <c r="R47" i="1"/>
  <c r="R48" i="1"/>
  <c r="R49" i="1"/>
  <c r="R50" i="1"/>
  <c r="R51"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3" i="1"/>
  <c r="R364" i="1"/>
  <c r="R365" i="1"/>
  <c r="R52" i="1"/>
  <c r="R366" i="1"/>
  <c r="R367" i="1"/>
  <c r="R53" i="1"/>
  <c r="R368" i="1"/>
  <c r="R54" i="1"/>
  <c r="R369" i="1"/>
  <c r="R370" i="1"/>
  <c r="R55" i="1"/>
  <c r="R371" i="1"/>
  <c r="R372" i="1"/>
  <c r="R373" i="1"/>
  <c r="R374" i="1"/>
  <c r="R375" i="1"/>
  <c r="R56" i="1"/>
  <c r="R376" i="1"/>
  <c r="R377" i="1"/>
  <c r="R378" i="1"/>
  <c r="R379" i="1"/>
  <c r="R380" i="1"/>
  <c r="R381" i="1"/>
  <c r="R382" i="1"/>
  <c r="R383" i="1"/>
  <c r="R384" i="1"/>
  <c r="R385" i="1"/>
  <c r="R386" i="1"/>
  <c r="R387" i="1"/>
  <c r="R388" i="1"/>
  <c r="R389" i="1"/>
  <c r="R57" i="1"/>
  <c r="R58"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59" i="1"/>
  <c r="R415" i="1"/>
  <c r="R416" i="1"/>
  <c r="R417" i="1"/>
  <c r="R419" i="1"/>
  <c r="R420" i="1"/>
  <c r="R421" i="1"/>
  <c r="R422" i="1"/>
  <c r="R60" i="1"/>
  <c r="R423" i="1"/>
  <c r="R424" i="1"/>
  <c r="R425" i="1"/>
  <c r="R426" i="1"/>
  <c r="R427" i="1"/>
  <c r="R428" i="1"/>
  <c r="R429" i="1"/>
  <c r="R430" i="1"/>
  <c r="R431" i="1"/>
  <c r="R432" i="1"/>
  <c r="R433" i="1"/>
  <c r="R434" i="1"/>
  <c r="R435" i="1"/>
  <c r="R436" i="1"/>
  <c r="R437" i="1"/>
  <c r="R438" i="1"/>
  <c r="R439" i="1"/>
  <c r="R440" i="1"/>
  <c r="R441" i="1"/>
  <c r="R442" i="1"/>
  <c r="R443" i="1"/>
  <c r="R444" i="1"/>
  <c r="R445" i="1"/>
  <c r="R446" i="1"/>
  <c r="R61" i="1"/>
  <c r="R447" i="1"/>
  <c r="R448" i="1"/>
  <c r="R449" i="1"/>
  <c r="R62" i="1"/>
  <c r="R63" i="1"/>
  <c r="R450" i="1"/>
  <c r="R451" i="1"/>
  <c r="R452" i="1"/>
  <c r="R64" i="1"/>
  <c r="R65" i="1"/>
  <c r="R456" i="1"/>
  <c r="R66" i="1"/>
  <c r="R67" i="1"/>
  <c r="R457" i="1"/>
  <c r="R458" i="1"/>
  <c r="R459" i="1"/>
  <c r="R460" i="1"/>
  <c r="R461" i="1"/>
  <c r="R462" i="1"/>
  <c r="R68" i="1"/>
  <c r="R463" i="1"/>
  <c r="R464" i="1"/>
  <c r="R465" i="1"/>
  <c r="R69" i="1"/>
  <c r="R466" i="1"/>
  <c r="R70" i="1"/>
  <c r="R467" i="1"/>
  <c r="R468" i="1"/>
  <c r="R469" i="1"/>
  <c r="R470" i="1"/>
  <c r="R71" i="1"/>
  <c r="R72" i="1"/>
  <c r="R471" i="1"/>
  <c r="R472" i="1"/>
  <c r="R73" i="1"/>
  <c r="R74" i="1"/>
  <c r="R473" i="1"/>
  <c r="R474" i="1"/>
  <c r="R475" i="1"/>
  <c r="R476" i="1"/>
  <c r="R477" i="1"/>
  <c r="R478" i="1"/>
  <c r="R75" i="1"/>
  <c r="R76" i="1"/>
  <c r="R479" i="1"/>
  <c r="R77" i="1"/>
  <c r="R211" i="1"/>
  <c r="R261" i="1"/>
  <c r="R274" i="1"/>
  <c r="R275" i="1"/>
  <c r="R361" i="1"/>
  <c r="R172" i="1"/>
  <c r="R179" i="1"/>
  <c r="R362" i="1"/>
  <c r="R418" i="1"/>
  <c r="R453" i="1"/>
  <c r="R454" i="1"/>
  <c r="R455"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78" i="1"/>
  <c r="R515" i="1"/>
  <c r="R516" i="1"/>
  <c r="R517" i="1"/>
  <c r="R519" i="1"/>
  <c r="R518" i="1"/>
  <c r="R520" i="1"/>
  <c r="R521" i="1"/>
  <c r="R79" i="1"/>
  <c r="R182" i="1"/>
  <c r="R80" i="1"/>
  <c r="R81" i="1"/>
  <c r="R82" i="1"/>
  <c r="R522" i="1"/>
  <c r="R523" i="1"/>
  <c r="R83" i="1"/>
  <c r="R524" i="1"/>
  <c r="R525" i="1"/>
  <c r="R526" i="1"/>
  <c r="R527" i="1"/>
  <c r="R528" i="1"/>
  <c r="R529" i="1"/>
  <c r="R84" i="1"/>
  <c r="R530" i="1"/>
  <c r="R531" i="1"/>
  <c r="R532" i="1"/>
  <c r="R533" i="1"/>
  <c r="R534" i="1"/>
  <c r="R535" i="1"/>
  <c r="R536" i="1"/>
  <c r="R537" i="1"/>
  <c r="R538" i="1"/>
  <c r="R539" i="1"/>
  <c r="R540" i="1"/>
  <c r="R541" i="1"/>
  <c r="R542" i="1"/>
  <c r="R543" i="1"/>
  <c r="R544" i="1"/>
  <c r="R85" i="1"/>
  <c r="R545" i="1"/>
  <c r="R546" i="1"/>
  <c r="R86" i="1"/>
  <c r="R87" i="1"/>
  <c r="R547" i="1"/>
  <c r="R548" i="1"/>
  <c r="R88" i="1"/>
  <c r="R549" i="1"/>
  <c r="R550" i="1"/>
  <c r="R551" i="1"/>
  <c r="R89" i="1"/>
  <c r="R90" i="1"/>
  <c r="R552" i="1"/>
  <c r="R553" i="1"/>
  <c r="R554" i="1"/>
  <c r="R555" i="1"/>
  <c r="R556" i="1"/>
  <c r="R558" i="1"/>
  <c r="R91" i="1"/>
  <c r="R559" i="1"/>
  <c r="R560" i="1"/>
  <c r="R561" i="1"/>
  <c r="R562" i="1"/>
  <c r="R563" i="1"/>
  <c r="R564" i="1"/>
  <c r="R565" i="1"/>
  <c r="R566" i="1"/>
  <c r="R92" i="1"/>
  <c r="R567" i="1"/>
  <c r="R93" i="1"/>
  <c r="R568" i="1"/>
  <c r="R94" i="1"/>
  <c r="R569" i="1"/>
  <c r="R570" i="1"/>
  <c r="R571" i="1"/>
  <c r="R572" i="1"/>
  <c r="R573" i="1"/>
  <c r="R95" i="1"/>
  <c r="R574" i="1"/>
  <c r="R575" i="1"/>
  <c r="R576" i="1"/>
  <c r="R96" i="1"/>
  <c r="R577" i="1"/>
  <c r="R97" i="1"/>
  <c r="R578" i="1"/>
  <c r="R579" i="1"/>
  <c r="R580" i="1"/>
  <c r="R581" i="1"/>
  <c r="R582" i="1"/>
  <c r="R583" i="1"/>
  <c r="R584" i="1"/>
  <c r="R98" i="1"/>
  <c r="R585" i="1"/>
  <c r="R586"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910" i="1"/>
  <c r="P173" i="1"/>
  <c r="P174" i="1"/>
  <c r="P175" i="1"/>
  <c r="P176" i="1"/>
  <c r="P177" i="1"/>
  <c r="P178" i="1"/>
  <c r="P11" i="1"/>
  <c r="P180" i="1"/>
  <c r="P181" i="1"/>
  <c r="Z181" i="1" s="1"/>
  <c r="P183" i="1"/>
  <c r="P184" i="1"/>
  <c r="P185" i="1"/>
  <c r="P186" i="1"/>
  <c r="P187" i="1"/>
  <c r="P188" i="1"/>
  <c r="P189" i="1"/>
  <c r="P190" i="1"/>
  <c r="P191" i="1"/>
  <c r="P192" i="1"/>
  <c r="P193" i="1"/>
  <c r="P194" i="1"/>
  <c r="P12" i="1"/>
  <c r="P195" i="1"/>
  <c r="P13" i="1"/>
  <c r="P196" i="1"/>
  <c r="P197" i="1"/>
  <c r="P14" i="1"/>
  <c r="P198" i="1"/>
  <c r="P199" i="1"/>
  <c r="P200" i="1"/>
  <c r="P201" i="1"/>
  <c r="P202" i="1"/>
  <c r="P203" i="1"/>
  <c r="P204" i="1"/>
  <c r="P205" i="1"/>
  <c r="P206" i="1"/>
  <c r="P207" i="1"/>
  <c r="P208" i="1"/>
  <c r="P209" i="1"/>
  <c r="P210" i="1"/>
  <c r="P212" i="1"/>
  <c r="P213" i="1"/>
  <c r="P214" i="1"/>
  <c r="P15" i="1"/>
  <c r="P16" i="1"/>
  <c r="P215" i="1"/>
  <c r="P216" i="1"/>
  <c r="P17" i="1"/>
  <c r="P18" i="1"/>
  <c r="P19" i="1"/>
  <c r="P217" i="1"/>
  <c r="P218" i="1"/>
  <c r="P219" i="1"/>
  <c r="P220" i="1"/>
  <c r="P221" i="1"/>
  <c r="P20" i="1"/>
  <c r="P21" i="1"/>
  <c r="P22" i="1"/>
  <c r="P23" i="1"/>
  <c r="P24" i="1"/>
  <c r="P25" i="1"/>
  <c r="P222" i="1"/>
  <c r="P223" i="1"/>
  <c r="P224" i="1"/>
  <c r="P225" i="1"/>
  <c r="P226" i="1"/>
  <c r="P227" i="1"/>
  <c r="P228" i="1"/>
  <c r="P229" i="1"/>
  <c r="P26" i="1"/>
  <c r="P27" i="1"/>
  <c r="P230" i="1"/>
  <c r="P28" i="1"/>
  <c r="P29" i="1"/>
  <c r="P231" i="1"/>
  <c r="P232" i="1"/>
  <c r="P233" i="1"/>
  <c r="P234" i="1"/>
  <c r="P235" i="1"/>
  <c r="P30" i="1"/>
  <c r="P31" i="1"/>
  <c r="P32" i="1"/>
  <c r="P236" i="1"/>
  <c r="P237" i="1"/>
  <c r="P238" i="1"/>
  <c r="P239" i="1"/>
  <c r="P33" i="1"/>
  <c r="P34" i="1"/>
  <c r="P35" i="1"/>
  <c r="P36" i="1"/>
  <c r="P240" i="1"/>
  <c r="P37" i="1"/>
  <c r="P241" i="1"/>
  <c r="P242" i="1"/>
  <c r="P38" i="1"/>
  <c r="P243" i="1"/>
  <c r="P244" i="1"/>
  <c r="P245" i="1"/>
  <c r="P246" i="1"/>
  <c r="P247" i="1"/>
  <c r="P248" i="1"/>
  <c r="P249" i="1"/>
  <c r="P250" i="1"/>
  <c r="P251" i="1"/>
  <c r="P252" i="1"/>
  <c r="P253" i="1"/>
  <c r="P254" i="1"/>
  <c r="P255" i="1"/>
  <c r="P557" i="1"/>
  <c r="P256" i="1"/>
  <c r="P257" i="1"/>
  <c r="P258" i="1"/>
  <c r="P259" i="1"/>
  <c r="P260" i="1"/>
  <c r="P262" i="1"/>
  <c r="P263" i="1"/>
  <c r="P264" i="1"/>
  <c r="P265" i="1"/>
  <c r="P266" i="1"/>
  <c r="P267" i="1"/>
  <c r="P268" i="1"/>
  <c r="P269" i="1"/>
  <c r="P270" i="1"/>
  <c r="P271" i="1"/>
  <c r="P272" i="1"/>
  <c r="P273"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9" i="1"/>
  <c r="P40" i="1"/>
  <c r="P41" i="1"/>
  <c r="P304" i="1"/>
  <c r="P42" i="1"/>
  <c r="P43" i="1"/>
  <c r="P305" i="1"/>
  <c r="P306" i="1"/>
  <c r="P44" i="1"/>
  <c r="P45" i="1"/>
  <c r="P307" i="1"/>
  <c r="P308" i="1"/>
  <c r="P46" i="1"/>
  <c r="P47" i="1"/>
  <c r="P48" i="1"/>
  <c r="P49" i="1"/>
  <c r="P50" i="1"/>
  <c r="P51"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3" i="1"/>
  <c r="P364" i="1"/>
  <c r="P365" i="1"/>
  <c r="P52" i="1"/>
  <c r="P366" i="1"/>
  <c r="P367" i="1"/>
  <c r="P53" i="1"/>
  <c r="P368" i="1"/>
  <c r="P54" i="1"/>
  <c r="P369" i="1"/>
  <c r="P370" i="1"/>
  <c r="P55" i="1"/>
  <c r="P371" i="1"/>
  <c r="P372" i="1"/>
  <c r="P373" i="1"/>
  <c r="P374" i="1"/>
  <c r="P375" i="1"/>
  <c r="P56" i="1"/>
  <c r="P376" i="1"/>
  <c r="P377" i="1"/>
  <c r="P378" i="1"/>
  <c r="P379" i="1"/>
  <c r="P380" i="1"/>
  <c r="P381" i="1"/>
  <c r="P382" i="1"/>
  <c r="P383" i="1"/>
  <c r="P384" i="1"/>
  <c r="P385" i="1"/>
  <c r="P386" i="1"/>
  <c r="P387" i="1"/>
  <c r="P388" i="1"/>
  <c r="P389" i="1"/>
  <c r="P57" i="1"/>
  <c r="P58"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59" i="1"/>
  <c r="P415" i="1"/>
  <c r="P416" i="1"/>
  <c r="P417" i="1"/>
  <c r="P419" i="1"/>
  <c r="P420" i="1"/>
  <c r="P421" i="1"/>
  <c r="P422" i="1"/>
  <c r="P60" i="1"/>
  <c r="P423" i="1"/>
  <c r="P424" i="1"/>
  <c r="P425" i="1"/>
  <c r="P426" i="1"/>
  <c r="P427" i="1"/>
  <c r="P428" i="1"/>
  <c r="P429" i="1"/>
  <c r="P430" i="1"/>
  <c r="P431" i="1"/>
  <c r="P432" i="1"/>
  <c r="P433" i="1"/>
  <c r="P434" i="1"/>
  <c r="P435" i="1"/>
  <c r="P436" i="1"/>
  <c r="P437" i="1"/>
  <c r="P438" i="1"/>
  <c r="P439" i="1"/>
  <c r="P440" i="1"/>
  <c r="P441" i="1"/>
  <c r="P442" i="1"/>
  <c r="P443" i="1"/>
  <c r="P444" i="1"/>
  <c r="P445" i="1"/>
  <c r="P446" i="1"/>
  <c r="P61" i="1"/>
  <c r="P447" i="1"/>
  <c r="P448" i="1"/>
  <c r="P449" i="1"/>
  <c r="P62" i="1"/>
  <c r="P63" i="1"/>
  <c r="P450" i="1"/>
  <c r="P451" i="1"/>
  <c r="P452" i="1"/>
  <c r="P64" i="1"/>
  <c r="P65" i="1"/>
  <c r="P456" i="1"/>
  <c r="P66" i="1"/>
  <c r="P67" i="1"/>
  <c r="P457" i="1"/>
  <c r="P458" i="1"/>
  <c r="P459" i="1"/>
  <c r="P460" i="1"/>
  <c r="P461" i="1"/>
  <c r="P462" i="1"/>
  <c r="P68" i="1"/>
  <c r="P463" i="1"/>
  <c r="P464" i="1"/>
  <c r="P465" i="1"/>
  <c r="P69" i="1"/>
  <c r="P466" i="1"/>
  <c r="P70" i="1"/>
  <c r="P467" i="1"/>
  <c r="P468" i="1"/>
  <c r="P469" i="1"/>
  <c r="P470" i="1"/>
  <c r="P71" i="1"/>
  <c r="P72" i="1"/>
  <c r="P471" i="1"/>
  <c r="P472" i="1"/>
  <c r="P73" i="1"/>
  <c r="P74" i="1"/>
  <c r="P473" i="1"/>
  <c r="P474" i="1"/>
  <c r="P475" i="1"/>
  <c r="P476" i="1"/>
  <c r="P477" i="1"/>
  <c r="P478" i="1"/>
  <c r="P75" i="1"/>
  <c r="P76" i="1"/>
  <c r="P479" i="1"/>
  <c r="P77" i="1"/>
  <c r="P211" i="1"/>
  <c r="P261" i="1"/>
  <c r="P274" i="1"/>
  <c r="P275" i="1"/>
  <c r="P361" i="1"/>
  <c r="P172" i="1"/>
  <c r="P179" i="1"/>
  <c r="P362" i="1"/>
  <c r="P418" i="1"/>
  <c r="P453" i="1"/>
  <c r="P454" i="1"/>
  <c r="P455"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78" i="1"/>
  <c r="P515" i="1"/>
  <c r="P516" i="1"/>
  <c r="P517" i="1"/>
  <c r="P519" i="1"/>
  <c r="P518" i="1"/>
  <c r="P520" i="1"/>
  <c r="P521" i="1"/>
  <c r="P79" i="1"/>
  <c r="P182" i="1"/>
  <c r="P80" i="1"/>
  <c r="P81" i="1"/>
  <c r="P82" i="1"/>
  <c r="P522" i="1"/>
  <c r="P523" i="1"/>
  <c r="P83" i="1"/>
  <c r="P524" i="1"/>
  <c r="P525" i="1"/>
  <c r="P526" i="1"/>
  <c r="P527" i="1"/>
  <c r="P528" i="1"/>
  <c r="P529" i="1"/>
  <c r="P84" i="1"/>
  <c r="P530" i="1"/>
  <c r="P531" i="1"/>
  <c r="P532" i="1"/>
  <c r="P533" i="1"/>
  <c r="P534" i="1"/>
  <c r="P535" i="1"/>
  <c r="P536" i="1"/>
  <c r="P537" i="1"/>
  <c r="P538" i="1"/>
  <c r="P539" i="1"/>
  <c r="P540" i="1"/>
  <c r="P541" i="1"/>
  <c r="P542" i="1"/>
  <c r="P543" i="1"/>
  <c r="P544" i="1"/>
  <c r="P85" i="1"/>
  <c r="P545" i="1"/>
  <c r="P546" i="1"/>
  <c r="P86" i="1"/>
  <c r="P87" i="1"/>
  <c r="P547" i="1"/>
  <c r="P548" i="1"/>
  <c r="P88" i="1"/>
  <c r="P549" i="1"/>
  <c r="P550" i="1"/>
  <c r="P551" i="1"/>
  <c r="P89" i="1"/>
  <c r="P90" i="1"/>
  <c r="P552" i="1"/>
  <c r="P553" i="1"/>
  <c r="P554" i="1"/>
  <c r="P555" i="1"/>
  <c r="P556" i="1"/>
  <c r="P558" i="1"/>
  <c r="P91" i="1"/>
  <c r="P559" i="1"/>
  <c r="P560" i="1"/>
  <c r="P561" i="1"/>
  <c r="P562" i="1"/>
  <c r="P563" i="1"/>
  <c r="P564" i="1"/>
  <c r="P565" i="1"/>
  <c r="P566" i="1"/>
  <c r="P92" i="1"/>
  <c r="P567" i="1"/>
  <c r="P93" i="1"/>
  <c r="P568" i="1"/>
  <c r="P94" i="1"/>
  <c r="P569" i="1"/>
  <c r="P570" i="1"/>
  <c r="P571" i="1"/>
  <c r="P572" i="1"/>
  <c r="P573" i="1"/>
  <c r="P95" i="1"/>
  <c r="P574" i="1"/>
  <c r="P575" i="1"/>
  <c r="P576" i="1"/>
  <c r="P96" i="1"/>
  <c r="P577" i="1"/>
  <c r="P97" i="1"/>
  <c r="P578" i="1"/>
  <c r="P579" i="1"/>
  <c r="P580" i="1"/>
  <c r="P581" i="1"/>
  <c r="P582" i="1"/>
  <c r="P583" i="1"/>
  <c r="P584" i="1"/>
  <c r="P98" i="1"/>
  <c r="P585" i="1"/>
  <c r="P586"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Z553" i="1" l="1"/>
  <c r="Z543" i="1"/>
  <c r="Z505" i="1"/>
  <c r="Z501" i="1"/>
  <c r="Z497" i="1"/>
  <c r="Z495" i="1"/>
  <c r="Z491" i="1"/>
  <c r="Z62" i="1"/>
  <c r="Z61" i="1"/>
  <c r="Z443" i="1"/>
  <c r="Z439" i="1"/>
  <c r="Z435" i="1"/>
  <c r="Z431" i="1"/>
  <c r="Z427" i="1"/>
  <c r="Z423" i="1"/>
  <c r="Z417" i="1"/>
  <c r="Z414" i="1"/>
  <c r="Z410" i="1"/>
  <c r="Z406" i="1"/>
  <c r="Z402" i="1"/>
  <c r="Z398" i="1"/>
  <c r="Z394" i="1"/>
  <c r="Z544" i="1"/>
  <c r="Z540" i="1"/>
  <c r="Z513" i="1"/>
  <c r="Z506" i="1"/>
  <c r="Z502" i="1"/>
  <c r="Z498" i="1"/>
  <c r="Z492" i="1"/>
  <c r="Z452" i="1"/>
  <c r="Z63" i="1"/>
  <c r="Z447" i="1"/>
  <c r="Z444" i="1"/>
  <c r="Z440" i="1"/>
  <c r="Z436" i="1"/>
  <c r="Z432" i="1"/>
  <c r="Z428" i="1"/>
  <c r="Z424" i="1"/>
  <c r="Z422" i="1"/>
  <c r="Z419" i="1"/>
  <c r="Z59" i="1"/>
  <c r="Z411" i="1"/>
  <c r="Z407" i="1"/>
  <c r="Z403" i="1"/>
  <c r="Z399" i="1"/>
  <c r="Z395" i="1"/>
  <c r="Z391" i="1"/>
  <c r="Z58" i="1"/>
  <c r="Z542" i="1"/>
  <c r="Z78" i="1"/>
  <c r="Z504" i="1"/>
  <c r="Z500" i="1"/>
  <c r="Z496" i="1"/>
  <c r="Z494" i="1"/>
  <c r="Z179" i="1"/>
  <c r="Z451" i="1"/>
  <c r="Z449" i="1"/>
  <c r="Z446" i="1"/>
  <c r="Z442" i="1"/>
  <c r="Z438" i="1"/>
  <c r="Z434" i="1"/>
  <c r="Z430" i="1"/>
  <c r="Z426" i="1"/>
  <c r="Z60" i="1"/>
  <c r="Z421" i="1"/>
  <c r="Z416" i="1"/>
  <c r="Z413" i="1"/>
  <c r="Z409" i="1"/>
  <c r="Z405" i="1"/>
  <c r="Z401" i="1"/>
  <c r="Z397" i="1"/>
  <c r="Z393" i="1"/>
  <c r="Z541" i="1"/>
  <c r="Z514" i="1"/>
  <c r="Z507" i="1"/>
  <c r="Z503" i="1"/>
  <c r="Z499" i="1"/>
  <c r="Z493" i="1"/>
  <c r="Z172" i="1"/>
  <c r="Z450" i="1"/>
  <c r="Z448" i="1"/>
  <c r="Z445" i="1"/>
  <c r="Z441" i="1"/>
  <c r="Z437" i="1"/>
  <c r="Z433" i="1"/>
  <c r="Z429" i="1"/>
  <c r="Z425" i="1"/>
  <c r="Z420" i="1"/>
  <c r="Z415" i="1"/>
  <c r="Z412" i="1"/>
  <c r="Z408" i="1"/>
  <c r="Z404" i="1"/>
  <c r="Z400" i="1"/>
  <c r="Z396" i="1"/>
  <c r="Z392" i="1"/>
  <c r="Z390" i="1"/>
  <c r="L360" i="1"/>
  <c r="L333" i="1"/>
  <c r="O5" i="1" s="1"/>
  <c r="W178" i="1" l="1"/>
  <c r="U910" i="1" l="1"/>
  <c r="X910" i="1"/>
  <c r="T244" i="1"/>
  <c r="U244" i="1" s="1"/>
  <c r="W244" i="1"/>
  <c r="X244" i="1" s="1"/>
  <c r="Z910" i="1" l="1"/>
  <c r="Y910" i="1"/>
  <c r="AA910" i="1" s="1"/>
  <c r="Y244" i="1"/>
  <c r="AA244" i="1" s="1"/>
  <c r="Z244" i="1"/>
  <c r="T478" i="1" l="1"/>
  <c r="T75" i="1"/>
  <c r="T76" i="1"/>
  <c r="T479" i="1"/>
  <c r="T77" i="1"/>
  <c r="T211" i="1"/>
  <c r="T261" i="1"/>
  <c r="T274" i="1"/>
  <c r="T275" i="1"/>
  <c r="T361" i="1"/>
  <c r="T172" i="1"/>
  <c r="T179" i="1"/>
  <c r="T362" i="1"/>
  <c r="T418" i="1"/>
  <c r="T453" i="1"/>
  <c r="T454" i="1"/>
  <c r="T455"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78" i="1"/>
  <c r="T515" i="1"/>
  <c r="T516" i="1"/>
  <c r="T517" i="1"/>
  <c r="T519" i="1"/>
  <c r="T518" i="1"/>
  <c r="T520" i="1"/>
  <c r="T521" i="1"/>
  <c r="T79" i="1"/>
  <c r="T182" i="1"/>
  <c r="T80" i="1"/>
  <c r="T81" i="1"/>
  <c r="T82" i="1"/>
  <c r="T522" i="1"/>
  <c r="T523" i="1"/>
  <c r="T83" i="1"/>
  <c r="T524" i="1"/>
  <c r="T525" i="1"/>
  <c r="T526" i="1"/>
  <c r="T527" i="1"/>
  <c r="T528" i="1"/>
  <c r="T529" i="1"/>
  <c r="T84" i="1"/>
  <c r="T530" i="1"/>
  <c r="T531" i="1"/>
  <c r="T532" i="1"/>
  <c r="T533" i="1"/>
  <c r="T534" i="1"/>
  <c r="T535" i="1"/>
  <c r="T536" i="1"/>
  <c r="T537" i="1"/>
  <c r="T538" i="1"/>
  <c r="T539" i="1"/>
  <c r="T540" i="1"/>
  <c r="T541" i="1"/>
  <c r="T542" i="1"/>
  <c r="T543" i="1"/>
  <c r="T544" i="1"/>
  <c r="T85" i="1"/>
  <c r="T545" i="1"/>
  <c r="T546" i="1"/>
  <c r="T86" i="1"/>
  <c r="T87" i="1"/>
  <c r="T547" i="1"/>
  <c r="T548" i="1"/>
  <c r="T88" i="1"/>
  <c r="T549" i="1"/>
  <c r="T550" i="1"/>
  <c r="T551" i="1"/>
  <c r="T89" i="1"/>
  <c r="T90" i="1"/>
  <c r="T552" i="1"/>
  <c r="T553" i="1"/>
  <c r="T554" i="1"/>
  <c r="T555" i="1"/>
  <c r="T556" i="1"/>
  <c r="T558" i="1"/>
  <c r="T91" i="1"/>
  <c r="T559" i="1"/>
  <c r="T560" i="1"/>
  <c r="T561" i="1"/>
  <c r="T562" i="1"/>
  <c r="T563" i="1"/>
  <c r="T564" i="1"/>
  <c r="T565" i="1"/>
  <c r="T566" i="1"/>
  <c r="T92" i="1"/>
  <c r="T567" i="1"/>
  <c r="T93" i="1"/>
  <c r="T568" i="1"/>
  <c r="T94" i="1"/>
  <c r="T569" i="1"/>
  <c r="T570" i="1"/>
  <c r="T571" i="1"/>
  <c r="T572" i="1"/>
  <c r="T573" i="1"/>
  <c r="T95" i="1"/>
  <c r="T574" i="1"/>
  <c r="T575" i="1"/>
  <c r="T576" i="1"/>
  <c r="T96" i="1"/>
  <c r="T577" i="1"/>
  <c r="T97" i="1"/>
  <c r="T578" i="1"/>
  <c r="T579" i="1"/>
  <c r="T580" i="1"/>
  <c r="T581" i="1"/>
  <c r="T582" i="1"/>
  <c r="T583" i="1"/>
  <c r="T584" i="1"/>
  <c r="T98" i="1"/>
  <c r="T585" i="1"/>
  <c r="T586"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T639" i="1"/>
  <c r="T640" i="1"/>
  <c r="T641" i="1"/>
  <c r="T642" i="1"/>
  <c r="T643" i="1"/>
  <c r="T644" i="1"/>
  <c r="T645" i="1"/>
  <c r="T646" i="1"/>
  <c r="T647" i="1"/>
  <c r="T648" i="1"/>
  <c r="T649" i="1"/>
  <c r="T650" i="1"/>
  <c r="T651" i="1"/>
  <c r="T652" i="1"/>
  <c r="T653" i="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T823" i="1"/>
  <c r="T824" i="1"/>
  <c r="T825" i="1"/>
  <c r="T826" i="1"/>
  <c r="T827" i="1"/>
  <c r="T828" i="1"/>
  <c r="T829" i="1"/>
  <c r="T830" i="1"/>
  <c r="T831" i="1"/>
  <c r="T832" i="1"/>
  <c r="T833" i="1"/>
  <c r="T834" i="1"/>
  <c r="T835" i="1"/>
  <c r="T836" i="1"/>
  <c r="T837" i="1"/>
  <c r="T838" i="1"/>
  <c r="T839" i="1"/>
  <c r="T840" i="1"/>
  <c r="T841" i="1"/>
  <c r="T842" i="1"/>
  <c r="T843" i="1"/>
  <c r="T844" i="1"/>
  <c r="T845" i="1"/>
  <c r="T846" i="1"/>
  <c r="T847" i="1"/>
  <c r="T848" i="1"/>
  <c r="T849" i="1"/>
  <c r="T850" i="1"/>
  <c r="T851" i="1"/>
  <c r="T852" i="1"/>
  <c r="T853" i="1"/>
  <c r="T854" i="1"/>
  <c r="T855" i="1"/>
  <c r="T856" i="1"/>
  <c r="T857" i="1"/>
  <c r="T858" i="1"/>
  <c r="T859" i="1"/>
  <c r="T860" i="1"/>
  <c r="T861" i="1"/>
  <c r="T862" i="1"/>
  <c r="T863" i="1"/>
  <c r="T864" i="1"/>
  <c r="T865" i="1"/>
  <c r="T866" i="1"/>
  <c r="T867" i="1"/>
  <c r="T868" i="1"/>
  <c r="T869" i="1"/>
  <c r="T870" i="1"/>
  <c r="T871" i="1"/>
  <c r="T872" i="1"/>
  <c r="T873" i="1"/>
  <c r="T874" i="1"/>
  <c r="T875" i="1"/>
  <c r="T876" i="1"/>
  <c r="T877" i="1"/>
  <c r="T878" i="1"/>
  <c r="T879" i="1"/>
  <c r="T880" i="1"/>
  <c r="T881" i="1"/>
  <c r="T882" i="1"/>
  <c r="T883" i="1"/>
  <c r="T884" i="1"/>
  <c r="T885" i="1"/>
  <c r="T886" i="1"/>
  <c r="T887" i="1"/>
  <c r="T888" i="1"/>
  <c r="T889" i="1"/>
  <c r="T890" i="1"/>
  <c r="T891" i="1"/>
  <c r="T892" i="1"/>
  <c r="T893" i="1"/>
  <c r="T894" i="1"/>
  <c r="T895" i="1"/>
  <c r="T896" i="1"/>
  <c r="T897" i="1"/>
  <c r="T898" i="1"/>
  <c r="T899" i="1"/>
  <c r="T900" i="1"/>
  <c r="T901" i="1"/>
  <c r="T902" i="1"/>
  <c r="T903" i="1"/>
  <c r="T904" i="1"/>
  <c r="T905" i="1"/>
  <c r="T906" i="1"/>
  <c r="T907" i="1"/>
  <c r="T908" i="1"/>
  <c r="M37" i="9"/>
  <c r="M36" i="9"/>
  <c r="M35" i="9"/>
  <c r="M34" i="9"/>
  <c r="M33" i="9"/>
  <c r="M32" i="9"/>
  <c r="M31" i="9"/>
  <c r="M30" i="9"/>
  <c r="M29" i="9"/>
  <c r="M28" i="9"/>
  <c r="M27" i="9"/>
  <c r="M26" i="9"/>
  <c r="M7" i="9" l="1"/>
  <c r="M8" i="9"/>
  <c r="M9" i="9"/>
  <c r="M10" i="9"/>
  <c r="M11" i="9"/>
  <c r="M12" i="9"/>
  <c r="M13" i="9"/>
  <c r="M14" i="9"/>
  <c r="M15" i="9"/>
  <c r="M16" i="9"/>
  <c r="M17" i="9"/>
  <c r="M18" i="9"/>
  <c r="M19" i="9"/>
  <c r="M6" i="9"/>
  <c r="L20" i="9"/>
  <c r="F20" i="9"/>
  <c r="T184" i="1"/>
  <c r="U184" i="1" s="1"/>
  <c r="W184" i="1"/>
  <c r="X184" i="1" s="1"/>
  <c r="T185" i="1"/>
  <c r="U185" i="1" s="1"/>
  <c r="W185" i="1"/>
  <c r="X185" i="1" s="1"/>
  <c r="T186" i="1"/>
  <c r="U186" i="1" s="1"/>
  <c r="W186" i="1"/>
  <c r="X186" i="1" s="1"/>
  <c r="T187" i="1"/>
  <c r="U187" i="1" s="1"/>
  <c r="W187" i="1"/>
  <c r="X187" i="1" s="1"/>
  <c r="T188" i="1"/>
  <c r="U188" i="1" s="1"/>
  <c r="W188" i="1"/>
  <c r="X188" i="1" s="1"/>
  <c r="T189" i="1"/>
  <c r="U189" i="1" s="1"/>
  <c r="W189" i="1"/>
  <c r="X189" i="1" s="1"/>
  <c r="T190" i="1"/>
  <c r="U190" i="1" s="1"/>
  <c r="W190" i="1"/>
  <c r="X190" i="1" s="1"/>
  <c r="T191" i="1"/>
  <c r="U191" i="1" s="1"/>
  <c r="W191" i="1"/>
  <c r="X191" i="1" s="1"/>
  <c r="T192" i="1"/>
  <c r="U192" i="1" s="1"/>
  <c r="W192" i="1"/>
  <c r="X192" i="1" s="1"/>
  <c r="T193" i="1"/>
  <c r="U193" i="1" s="1"/>
  <c r="W193" i="1"/>
  <c r="X193" i="1" s="1"/>
  <c r="T194" i="1"/>
  <c r="U194" i="1" s="1"/>
  <c r="W194" i="1"/>
  <c r="X194" i="1" s="1"/>
  <c r="T12" i="1"/>
  <c r="U12" i="1" s="1"/>
  <c r="W12" i="1"/>
  <c r="X12" i="1" s="1"/>
  <c r="T195" i="1"/>
  <c r="U195" i="1" s="1"/>
  <c r="W195" i="1"/>
  <c r="X195" i="1" s="1"/>
  <c r="T13" i="1"/>
  <c r="U13" i="1" s="1"/>
  <c r="W13" i="1"/>
  <c r="X13" i="1" s="1"/>
  <c r="T196" i="1"/>
  <c r="U196" i="1" s="1"/>
  <c r="W196" i="1"/>
  <c r="X196" i="1" s="1"/>
  <c r="T197" i="1"/>
  <c r="U197" i="1" s="1"/>
  <c r="W197" i="1"/>
  <c r="X197" i="1" s="1"/>
  <c r="T14" i="1"/>
  <c r="U14" i="1" s="1"/>
  <c r="W14" i="1"/>
  <c r="X14" i="1" s="1"/>
  <c r="T198" i="1"/>
  <c r="U198" i="1" s="1"/>
  <c r="W198" i="1"/>
  <c r="X198" i="1" s="1"/>
  <c r="T199" i="1"/>
  <c r="U199" i="1" s="1"/>
  <c r="W199" i="1"/>
  <c r="X199" i="1" s="1"/>
  <c r="T200" i="1"/>
  <c r="U200" i="1" s="1"/>
  <c r="W200" i="1"/>
  <c r="X200" i="1" s="1"/>
  <c r="T201" i="1"/>
  <c r="U201" i="1" s="1"/>
  <c r="W201" i="1"/>
  <c r="X201" i="1" s="1"/>
  <c r="T202" i="1"/>
  <c r="U202" i="1" s="1"/>
  <c r="W202" i="1"/>
  <c r="X202" i="1" s="1"/>
  <c r="T203" i="1"/>
  <c r="U203" i="1" s="1"/>
  <c r="W203" i="1"/>
  <c r="X203" i="1" s="1"/>
  <c r="T204" i="1"/>
  <c r="U204" i="1" s="1"/>
  <c r="W204" i="1"/>
  <c r="X204" i="1" s="1"/>
  <c r="T205" i="1"/>
  <c r="U205" i="1" s="1"/>
  <c r="W205" i="1"/>
  <c r="X205" i="1" s="1"/>
  <c r="T206" i="1"/>
  <c r="U206" i="1" s="1"/>
  <c r="W206" i="1"/>
  <c r="X206" i="1" s="1"/>
  <c r="T207" i="1"/>
  <c r="U207" i="1" s="1"/>
  <c r="W207" i="1"/>
  <c r="X207" i="1" s="1"/>
  <c r="T208" i="1"/>
  <c r="U208" i="1" s="1"/>
  <c r="W208" i="1"/>
  <c r="X208" i="1" s="1"/>
  <c r="T209" i="1"/>
  <c r="U209" i="1" s="1"/>
  <c r="W209" i="1"/>
  <c r="X209" i="1" s="1"/>
  <c r="T210" i="1"/>
  <c r="U210" i="1" s="1"/>
  <c r="W210" i="1"/>
  <c r="X210" i="1" s="1"/>
  <c r="T177" i="1"/>
  <c r="U177" i="1" s="1"/>
  <c r="W177" i="1"/>
  <c r="X177" i="1" s="1"/>
  <c r="T212" i="1"/>
  <c r="U212" i="1" s="1"/>
  <c r="W212" i="1"/>
  <c r="X212" i="1" s="1"/>
  <c r="T213" i="1"/>
  <c r="U213" i="1" s="1"/>
  <c r="W213" i="1"/>
  <c r="X213" i="1" s="1"/>
  <c r="T214" i="1"/>
  <c r="U214" i="1" s="1"/>
  <c r="W214" i="1"/>
  <c r="X214" i="1" s="1"/>
  <c r="T15" i="1"/>
  <c r="U15" i="1" s="1"/>
  <c r="W15" i="1"/>
  <c r="X15" i="1" s="1"/>
  <c r="T16" i="1"/>
  <c r="U16" i="1" s="1"/>
  <c r="W16" i="1"/>
  <c r="X16" i="1" s="1"/>
  <c r="T215" i="1"/>
  <c r="U215" i="1" s="1"/>
  <c r="W215" i="1"/>
  <c r="X215" i="1" s="1"/>
  <c r="T216" i="1"/>
  <c r="U216" i="1" s="1"/>
  <c r="W216" i="1"/>
  <c r="X216" i="1" s="1"/>
  <c r="T17" i="1"/>
  <c r="U17" i="1" s="1"/>
  <c r="W17" i="1"/>
  <c r="X17" i="1" s="1"/>
  <c r="T18" i="1"/>
  <c r="U18" i="1" s="1"/>
  <c r="W18" i="1"/>
  <c r="X18" i="1" s="1"/>
  <c r="T19" i="1"/>
  <c r="U19" i="1" s="1"/>
  <c r="W19" i="1"/>
  <c r="X19" i="1" s="1"/>
  <c r="T217" i="1"/>
  <c r="U217" i="1" s="1"/>
  <c r="W217" i="1"/>
  <c r="X217" i="1" s="1"/>
  <c r="T218" i="1"/>
  <c r="U218" i="1" s="1"/>
  <c r="W218" i="1"/>
  <c r="X218" i="1" s="1"/>
  <c r="T219" i="1"/>
  <c r="U219" i="1" s="1"/>
  <c r="W219" i="1"/>
  <c r="X219" i="1" s="1"/>
  <c r="T220" i="1"/>
  <c r="U220" i="1" s="1"/>
  <c r="W220" i="1"/>
  <c r="X220" i="1" s="1"/>
  <c r="T221" i="1"/>
  <c r="U221" i="1" s="1"/>
  <c r="W221" i="1"/>
  <c r="X221" i="1" s="1"/>
  <c r="T20" i="1"/>
  <c r="U20" i="1" s="1"/>
  <c r="W20" i="1"/>
  <c r="X20" i="1" s="1"/>
  <c r="T21" i="1"/>
  <c r="U21" i="1" s="1"/>
  <c r="W21" i="1"/>
  <c r="X21" i="1" s="1"/>
  <c r="T22" i="1"/>
  <c r="U22" i="1" s="1"/>
  <c r="W22" i="1"/>
  <c r="X22" i="1" s="1"/>
  <c r="T23" i="1"/>
  <c r="U23" i="1" s="1"/>
  <c r="W23" i="1"/>
  <c r="X23" i="1" s="1"/>
  <c r="T24" i="1"/>
  <c r="U24" i="1" s="1"/>
  <c r="W24" i="1"/>
  <c r="X24" i="1" s="1"/>
  <c r="T25" i="1"/>
  <c r="U25" i="1" s="1"/>
  <c r="W25" i="1"/>
  <c r="X25" i="1" s="1"/>
  <c r="T222" i="1"/>
  <c r="U222" i="1" s="1"/>
  <c r="W222" i="1"/>
  <c r="X222" i="1" s="1"/>
  <c r="T223" i="1"/>
  <c r="U223" i="1" s="1"/>
  <c r="W223" i="1"/>
  <c r="X223" i="1" s="1"/>
  <c r="T224" i="1"/>
  <c r="U224" i="1" s="1"/>
  <c r="W224" i="1"/>
  <c r="X224" i="1" s="1"/>
  <c r="T225" i="1"/>
  <c r="U225" i="1" s="1"/>
  <c r="W225" i="1"/>
  <c r="X225" i="1" s="1"/>
  <c r="T226" i="1"/>
  <c r="U226" i="1" s="1"/>
  <c r="W226" i="1"/>
  <c r="X226" i="1" s="1"/>
  <c r="T227" i="1"/>
  <c r="U227" i="1" s="1"/>
  <c r="W227" i="1"/>
  <c r="X227" i="1" s="1"/>
  <c r="T228" i="1"/>
  <c r="U228" i="1" s="1"/>
  <c r="W228" i="1"/>
  <c r="X228" i="1" s="1"/>
  <c r="T229" i="1"/>
  <c r="U229" i="1" s="1"/>
  <c r="W229" i="1"/>
  <c r="X229" i="1" s="1"/>
  <c r="T26" i="1"/>
  <c r="U26" i="1" s="1"/>
  <c r="W26" i="1"/>
  <c r="X26" i="1" s="1"/>
  <c r="T27" i="1"/>
  <c r="U27" i="1" s="1"/>
  <c r="W27" i="1"/>
  <c r="X27" i="1" s="1"/>
  <c r="T230" i="1"/>
  <c r="U230" i="1" s="1"/>
  <c r="W230" i="1"/>
  <c r="X230" i="1" s="1"/>
  <c r="T28" i="1"/>
  <c r="U28" i="1" s="1"/>
  <c r="W28" i="1"/>
  <c r="X28" i="1" s="1"/>
  <c r="T29" i="1"/>
  <c r="U29" i="1" s="1"/>
  <c r="W29" i="1"/>
  <c r="X29" i="1" s="1"/>
  <c r="T231" i="1"/>
  <c r="U231" i="1" s="1"/>
  <c r="W231" i="1"/>
  <c r="X231" i="1" s="1"/>
  <c r="T232" i="1"/>
  <c r="U232" i="1" s="1"/>
  <c r="W232" i="1"/>
  <c r="X232" i="1" s="1"/>
  <c r="T233" i="1"/>
  <c r="U233" i="1" s="1"/>
  <c r="W233" i="1"/>
  <c r="X233" i="1" s="1"/>
  <c r="T234" i="1"/>
  <c r="U234" i="1" s="1"/>
  <c r="W234" i="1"/>
  <c r="X234" i="1" s="1"/>
  <c r="T235" i="1"/>
  <c r="U235" i="1" s="1"/>
  <c r="W235" i="1"/>
  <c r="X235" i="1" s="1"/>
  <c r="T30" i="1"/>
  <c r="U30" i="1" s="1"/>
  <c r="W30" i="1"/>
  <c r="X30" i="1" s="1"/>
  <c r="T31" i="1"/>
  <c r="U31" i="1" s="1"/>
  <c r="W31" i="1"/>
  <c r="X31" i="1" s="1"/>
  <c r="T32" i="1"/>
  <c r="U32" i="1" s="1"/>
  <c r="W32" i="1"/>
  <c r="X32" i="1" s="1"/>
  <c r="T236" i="1"/>
  <c r="U236" i="1" s="1"/>
  <c r="W236" i="1"/>
  <c r="X236" i="1" s="1"/>
  <c r="T237" i="1"/>
  <c r="U237" i="1" s="1"/>
  <c r="W237" i="1"/>
  <c r="X237" i="1" s="1"/>
  <c r="T238" i="1"/>
  <c r="U238" i="1" s="1"/>
  <c r="W238" i="1"/>
  <c r="X238" i="1" s="1"/>
  <c r="T239" i="1"/>
  <c r="U239" i="1" s="1"/>
  <c r="W239" i="1"/>
  <c r="X239" i="1" s="1"/>
  <c r="T33" i="1"/>
  <c r="U33" i="1" s="1"/>
  <c r="W33" i="1"/>
  <c r="X33" i="1" s="1"/>
  <c r="T34" i="1"/>
  <c r="U34" i="1" s="1"/>
  <c r="W34" i="1"/>
  <c r="X34" i="1" s="1"/>
  <c r="T35" i="1"/>
  <c r="U35" i="1" s="1"/>
  <c r="W35" i="1"/>
  <c r="X35" i="1" s="1"/>
  <c r="T36" i="1"/>
  <c r="U36" i="1" s="1"/>
  <c r="W36" i="1"/>
  <c r="X36" i="1" s="1"/>
  <c r="T240" i="1"/>
  <c r="U240" i="1" s="1"/>
  <c r="W240" i="1"/>
  <c r="X240" i="1" s="1"/>
  <c r="T37" i="1"/>
  <c r="U37" i="1" s="1"/>
  <c r="W37" i="1"/>
  <c r="X37" i="1" s="1"/>
  <c r="T241" i="1"/>
  <c r="U241" i="1" s="1"/>
  <c r="W241" i="1"/>
  <c r="X241" i="1" s="1"/>
  <c r="T242" i="1"/>
  <c r="U242" i="1" s="1"/>
  <c r="W242" i="1"/>
  <c r="X242" i="1" s="1"/>
  <c r="T38" i="1"/>
  <c r="U38" i="1" s="1"/>
  <c r="W38" i="1"/>
  <c r="X38" i="1" s="1"/>
  <c r="T243" i="1"/>
  <c r="U243" i="1" s="1"/>
  <c r="W243" i="1"/>
  <c r="X243" i="1" s="1"/>
  <c r="T245" i="1"/>
  <c r="U245" i="1" s="1"/>
  <c r="W245" i="1"/>
  <c r="X245" i="1" s="1"/>
  <c r="T246" i="1"/>
  <c r="U246" i="1" s="1"/>
  <c r="W246" i="1"/>
  <c r="X246" i="1" s="1"/>
  <c r="T247" i="1"/>
  <c r="U247" i="1" s="1"/>
  <c r="W247" i="1"/>
  <c r="X247" i="1" s="1"/>
  <c r="T248" i="1"/>
  <c r="U248" i="1" s="1"/>
  <c r="W248" i="1"/>
  <c r="X248" i="1" s="1"/>
  <c r="T249" i="1"/>
  <c r="U249" i="1" s="1"/>
  <c r="W249" i="1"/>
  <c r="X249" i="1" s="1"/>
  <c r="T250" i="1"/>
  <c r="U250" i="1" s="1"/>
  <c r="W250" i="1"/>
  <c r="X250" i="1" s="1"/>
  <c r="T251" i="1"/>
  <c r="U251" i="1" s="1"/>
  <c r="W251" i="1"/>
  <c r="X251" i="1" s="1"/>
  <c r="T252" i="1"/>
  <c r="U252" i="1" s="1"/>
  <c r="W252" i="1"/>
  <c r="X252" i="1" s="1"/>
  <c r="T253" i="1"/>
  <c r="U253" i="1" s="1"/>
  <c r="W253" i="1"/>
  <c r="X253" i="1" s="1"/>
  <c r="T254" i="1"/>
  <c r="U254" i="1" s="1"/>
  <c r="W254" i="1"/>
  <c r="X254" i="1" s="1"/>
  <c r="T255" i="1"/>
  <c r="U255" i="1" s="1"/>
  <c r="W255" i="1"/>
  <c r="X255" i="1" s="1"/>
  <c r="T557" i="1"/>
  <c r="U557" i="1" s="1"/>
  <c r="W557" i="1"/>
  <c r="X557" i="1" s="1"/>
  <c r="T256" i="1"/>
  <c r="U256" i="1" s="1"/>
  <c r="W256" i="1"/>
  <c r="X256" i="1" s="1"/>
  <c r="T257" i="1"/>
  <c r="U257" i="1" s="1"/>
  <c r="W257" i="1"/>
  <c r="X257" i="1" s="1"/>
  <c r="T258" i="1"/>
  <c r="U258" i="1" s="1"/>
  <c r="W258" i="1"/>
  <c r="X258" i="1" s="1"/>
  <c r="T259" i="1"/>
  <c r="U259" i="1" s="1"/>
  <c r="W259" i="1"/>
  <c r="X259" i="1" s="1"/>
  <c r="T260" i="1"/>
  <c r="U260" i="1" s="1"/>
  <c r="W260" i="1"/>
  <c r="X260" i="1" s="1"/>
  <c r="T175" i="1"/>
  <c r="U175" i="1" s="1"/>
  <c r="W175" i="1"/>
  <c r="X175" i="1" s="1"/>
  <c r="T262" i="1"/>
  <c r="U262" i="1" s="1"/>
  <c r="W262" i="1"/>
  <c r="X262" i="1" s="1"/>
  <c r="T263" i="1"/>
  <c r="U263" i="1" s="1"/>
  <c r="W263" i="1"/>
  <c r="X263" i="1" s="1"/>
  <c r="T264" i="1"/>
  <c r="U264" i="1" s="1"/>
  <c r="W264" i="1"/>
  <c r="X264" i="1" s="1"/>
  <c r="T265" i="1"/>
  <c r="U265" i="1" s="1"/>
  <c r="W265" i="1"/>
  <c r="X265" i="1" s="1"/>
  <c r="T266" i="1"/>
  <c r="U266" i="1" s="1"/>
  <c r="W266" i="1"/>
  <c r="X266" i="1" s="1"/>
  <c r="T267" i="1"/>
  <c r="U267" i="1" s="1"/>
  <c r="W267" i="1"/>
  <c r="X267" i="1" s="1"/>
  <c r="T268" i="1"/>
  <c r="U268" i="1" s="1"/>
  <c r="W268" i="1"/>
  <c r="X268" i="1" s="1"/>
  <c r="T269" i="1"/>
  <c r="U269" i="1" s="1"/>
  <c r="W269" i="1"/>
  <c r="X269" i="1" s="1"/>
  <c r="T270" i="1"/>
  <c r="U270" i="1" s="1"/>
  <c r="W270" i="1"/>
  <c r="X270" i="1" s="1"/>
  <c r="T271" i="1"/>
  <c r="U271" i="1" s="1"/>
  <c r="W271" i="1"/>
  <c r="X271" i="1" s="1"/>
  <c r="T272" i="1"/>
  <c r="U272" i="1" s="1"/>
  <c r="W272" i="1"/>
  <c r="X272" i="1" s="1"/>
  <c r="T273" i="1"/>
  <c r="U273" i="1" s="1"/>
  <c r="W273" i="1"/>
  <c r="X273" i="1" s="1"/>
  <c r="T174" i="1"/>
  <c r="U174" i="1" s="1"/>
  <c r="W174" i="1"/>
  <c r="X174" i="1" s="1"/>
  <c r="T173" i="1"/>
  <c r="U173" i="1" s="1"/>
  <c r="W173" i="1"/>
  <c r="X173" i="1" s="1"/>
  <c r="T276" i="1"/>
  <c r="U276" i="1" s="1"/>
  <c r="W276" i="1"/>
  <c r="X276" i="1" s="1"/>
  <c r="T277" i="1"/>
  <c r="U277" i="1" s="1"/>
  <c r="W277" i="1"/>
  <c r="X277" i="1" s="1"/>
  <c r="T278" i="1"/>
  <c r="U278" i="1" s="1"/>
  <c r="W278" i="1"/>
  <c r="X278" i="1" s="1"/>
  <c r="T279" i="1"/>
  <c r="U279" i="1" s="1"/>
  <c r="W279" i="1"/>
  <c r="X279" i="1" s="1"/>
  <c r="T280" i="1"/>
  <c r="U280" i="1" s="1"/>
  <c r="W280" i="1"/>
  <c r="X280" i="1" s="1"/>
  <c r="T281" i="1"/>
  <c r="U281" i="1" s="1"/>
  <c r="W281" i="1"/>
  <c r="X281" i="1" s="1"/>
  <c r="T282" i="1"/>
  <c r="U282" i="1" s="1"/>
  <c r="W282" i="1"/>
  <c r="X282" i="1" s="1"/>
  <c r="T283" i="1"/>
  <c r="U283" i="1" s="1"/>
  <c r="W283" i="1"/>
  <c r="X283" i="1" s="1"/>
  <c r="T284" i="1"/>
  <c r="U284" i="1" s="1"/>
  <c r="W284" i="1"/>
  <c r="X284" i="1" s="1"/>
  <c r="T285" i="1"/>
  <c r="U285" i="1" s="1"/>
  <c r="W285" i="1"/>
  <c r="X285" i="1" s="1"/>
  <c r="T286" i="1"/>
  <c r="U286" i="1" s="1"/>
  <c r="W286" i="1"/>
  <c r="X286" i="1" s="1"/>
  <c r="T287" i="1"/>
  <c r="U287" i="1" s="1"/>
  <c r="W287" i="1"/>
  <c r="X287" i="1" s="1"/>
  <c r="T288" i="1"/>
  <c r="U288" i="1" s="1"/>
  <c r="W288" i="1"/>
  <c r="X288" i="1" s="1"/>
  <c r="T289" i="1"/>
  <c r="U289" i="1" s="1"/>
  <c r="W289" i="1"/>
  <c r="X289" i="1" s="1"/>
  <c r="T290" i="1"/>
  <c r="U290" i="1" s="1"/>
  <c r="W290" i="1"/>
  <c r="X290" i="1" s="1"/>
  <c r="T291" i="1"/>
  <c r="U291" i="1" s="1"/>
  <c r="W291" i="1"/>
  <c r="X291" i="1" s="1"/>
  <c r="T292" i="1"/>
  <c r="U292" i="1" s="1"/>
  <c r="W292" i="1"/>
  <c r="X292" i="1" s="1"/>
  <c r="T293" i="1"/>
  <c r="U293" i="1" s="1"/>
  <c r="W293" i="1"/>
  <c r="X293" i="1" s="1"/>
  <c r="T294" i="1"/>
  <c r="U294" i="1" s="1"/>
  <c r="W294" i="1"/>
  <c r="X294" i="1" s="1"/>
  <c r="T295" i="1"/>
  <c r="U295" i="1" s="1"/>
  <c r="W295" i="1"/>
  <c r="X295" i="1" s="1"/>
  <c r="T296" i="1"/>
  <c r="U296" i="1" s="1"/>
  <c r="W296" i="1"/>
  <c r="X296" i="1" s="1"/>
  <c r="T297" i="1"/>
  <c r="U297" i="1" s="1"/>
  <c r="W297" i="1"/>
  <c r="X297" i="1" s="1"/>
  <c r="T298" i="1"/>
  <c r="U298" i="1" s="1"/>
  <c r="W298" i="1"/>
  <c r="X298" i="1" s="1"/>
  <c r="T299" i="1"/>
  <c r="U299" i="1" s="1"/>
  <c r="W299" i="1"/>
  <c r="X299" i="1" s="1"/>
  <c r="T300" i="1"/>
  <c r="U300" i="1" s="1"/>
  <c r="W300" i="1"/>
  <c r="X300" i="1" s="1"/>
  <c r="T301" i="1"/>
  <c r="U301" i="1" s="1"/>
  <c r="W301" i="1"/>
  <c r="X301" i="1" s="1"/>
  <c r="T302" i="1"/>
  <c r="U302" i="1" s="1"/>
  <c r="W302" i="1"/>
  <c r="X302" i="1" s="1"/>
  <c r="T303" i="1"/>
  <c r="U303" i="1" s="1"/>
  <c r="W303" i="1"/>
  <c r="X303" i="1" s="1"/>
  <c r="T39" i="1"/>
  <c r="U39" i="1" s="1"/>
  <c r="W39" i="1"/>
  <c r="X39" i="1" s="1"/>
  <c r="T40" i="1"/>
  <c r="U40" i="1" s="1"/>
  <c r="W40" i="1"/>
  <c r="X40" i="1" s="1"/>
  <c r="T41" i="1"/>
  <c r="U41" i="1" s="1"/>
  <c r="W41" i="1"/>
  <c r="X41" i="1" s="1"/>
  <c r="T304" i="1"/>
  <c r="U304" i="1" s="1"/>
  <c r="W304" i="1"/>
  <c r="X304" i="1" s="1"/>
  <c r="T42" i="1"/>
  <c r="U42" i="1" s="1"/>
  <c r="W42" i="1"/>
  <c r="X42" i="1" s="1"/>
  <c r="T43" i="1"/>
  <c r="U43" i="1" s="1"/>
  <c r="W43" i="1"/>
  <c r="X43" i="1" s="1"/>
  <c r="T305" i="1"/>
  <c r="U305" i="1" s="1"/>
  <c r="W305" i="1"/>
  <c r="X305" i="1" s="1"/>
  <c r="T306" i="1"/>
  <c r="U306" i="1" s="1"/>
  <c r="W306" i="1"/>
  <c r="X306" i="1" s="1"/>
  <c r="T44" i="1"/>
  <c r="U44" i="1" s="1"/>
  <c r="W44" i="1"/>
  <c r="X44" i="1" s="1"/>
  <c r="T45" i="1"/>
  <c r="U45" i="1" s="1"/>
  <c r="W45" i="1"/>
  <c r="X45" i="1" s="1"/>
  <c r="T307" i="1"/>
  <c r="U307" i="1" s="1"/>
  <c r="W307" i="1"/>
  <c r="X307" i="1" s="1"/>
  <c r="T308" i="1"/>
  <c r="U308" i="1" s="1"/>
  <c r="W308" i="1"/>
  <c r="X308" i="1" s="1"/>
  <c r="T46" i="1"/>
  <c r="U46" i="1" s="1"/>
  <c r="W46" i="1"/>
  <c r="X46" i="1" s="1"/>
  <c r="T47" i="1"/>
  <c r="U47" i="1" s="1"/>
  <c r="W47" i="1"/>
  <c r="X47" i="1" s="1"/>
  <c r="T48" i="1"/>
  <c r="U48" i="1" s="1"/>
  <c r="W48" i="1"/>
  <c r="X48" i="1" s="1"/>
  <c r="T49" i="1"/>
  <c r="U49" i="1" s="1"/>
  <c r="W49" i="1"/>
  <c r="X49" i="1" s="1"/>
  <c r="T50" i="1"/>
  <c r="U50" i="1" s="1"/>
  <c r="W50" i="1"/>
  <c r="X50" i="1" s="1"/>
  <c r="T51" i="1"/>
  <c r="U51" i="1" s="1"/>
  <c r="W51" i="1"/>
  <c r="X51" i="1" s="1"/>
  <c r="T309" i="1"/>
  <c r="U309" i="1" s="1"/>
  <c r="W309" i="1"/>
  <c r="X309" i="1" s="1"/>
  <c r="T310" i="1"/>
  <c r="U310" i="1" s="1"/>
  <c r="W310" i="1"/>
  <c r="X310" i="1" s="1"/>
  <c r="T311" i="1"/>
  <c r="U311" i="1" s="1"/>
  <c r="W311" i="1"/>
  <c r="X311" i="1" s="1"/>
  <c r="T312" i="1"/>
  <c r="U312" i="1" s="1"/>
  <c r="W312" i="1"/>
  <c r="X312" i="1" s="1"/>
  <c r="T313" i="1"/>
  <c r="U313" i="1" s="1"/>
  <c r="W313" i="1"/>
  <c r="X313" i="1" s="1"/>
  <c r="T314" i="1"/>
  <c r="U314" i="1" s="1"/>
  <c r="W314" i="1"/>
  <c r="X314" i="1" s="1"/>
  <c r="T315" i="1"/>
  <c r="U315" i="1" s="1"/>
  <c r="W315" i="1"/>
  <c r="X315" i="1" s="1"/>
  <c r="T316" i="1"/>
  <c r="U316" i="1" s="1"/>
  <c r="W316" i="1"/>
  <c r="X316" i="1" s="1"/>
  <c r="T317" i="1"/>
  <c r="U317" i="1" s="1"/>
  <c r="W317" i="1"/>
  <c r="X317" i="1" s="1"/>
  <c r="T318" i="1"/>
  <c r="U318" i="1" s="1"/>
  <c r="W318" i="1"/>
  <c r="X318" i="1" s="1"/>
  <c r="T319" i="1"/>
  <c r="U319" i="1" s="1"/>
  <c r="W319" i="1"/>
  <c r="X319" i="1" s="1"/>
  <c r="T320" i="1"/>
  <c r="U320" i="1" s="1"/>
  <c r="W320" i="1"/>
  <c r="X320" i="1" s="1"/>
  <c r="T321" i="1"/>
  <c r="U321" i="1" s="1"/>
  <c r="W321" i="1"/>
  <c r="X321" i="1" s="1"/>
  <c r="T322" i="1"/>
  <c r="U322" i="1" s="1"/>
  <c r="W322" i="1"/>
  <c r="X322" i="1" s="1"/>
  <c r="T323" i="1"/>
  <c r="U323" i="1" s="1"/>
  <c r="W323" i="1"/>
  <c r="X323" i="1" s="1"/>
  <c r="T324" i="1"/>
  <c r="U324" i="1" s="1"/>
  <c r="W324" i="1"/>
  <c r="X324" i="1" s="1"/>
  <c r="T325" i="1"/>
  <c r="U325" i="1" s="1"/>
  <c r="W325" i="1"/>
  <c r="X325" i="1" s="1"/>
  <c r="T326" i="1"/>
  <c r="U326" i="1" s="1"/>
  <c r="W326" i="1"/>
  <c r="X326" i="1" s="1"/>
  <c r="T327" i="1"/>
  <c r="U327" i="1" s="1"/>
  <c r="W327" i="1"/>
  <c r="X327" i="1" s="1"/>
  <c r="T328" i="1"/>
  <c r="U328" i="1" s="1"/>
  <c r="W328" i="1"/>
  <c r="X328" i="1" s="1"/>
  <c r="T329" i="1"/>
  <c r="U329" i="1" s="1"/>
  <c r="W329" i="1"/>
  <c r="X329" i="1" s="1"/>
  <c r="T330" i="1"/>
  <c r="U330" i="1" s="1"/>
  <c r="W330" i="1"/>
  <c r="X330" i="1" s="1"/>
  <c r="T331" i="1"/>
  <c r="U331" i="1" s="1"/>
  <c r="W331" i="1"/>
  <c r="X331" i="1" s="1"/>
  <c r="T332" i="1"/>
  <c r="U332" i="1" s="1"/>
  <c r="W332" i="1"/>
  <c r="X332" i="1" s="1"/>
  <c r="T333" i="1"/>
  <c r="U333" i="1" s="1"/>
  <c r="W333" i="1"/>
  <c r="X333" i="1" s="1"/>
  <c r="T334" i="1"/>
  <c r="U334" i="1" s="1"/>
  <c r="W334" i="1"/>
  <c r="X334" i="1" s="1"/>
  <c r="T335" i="1"/>
  <c r="U335" i="1" s="1"/>
  <c r="W335" i="1"/>
  <c r="X335" i="1" s="1"/>
  <c r="T336" i="1"/>
  <c r="U336" i="1" s="1"/>
  <c r="W336" i="1"/>
  <c r="X336" i="1" s="1"/>
  <c r="T337" i="1"/>
  <c r="U337" i="1" s="1"/>
  <c r="W337" i="1"/>
  <c r="X337" i="1" s="1"/>
  <c r="T338" i="1"/>
  <c r="U338" i="1" s="1"/>
  <c r="W338" i="1"/>
  <c r="X338" i="1" s="1"/>
  <c r="T339" i="1"/>
  <c r="U339" i="1" s="1"/>
  <c r="W339" i="1"/>
  <c r="X339" i="1" s="1"/>
  <c r="T340" i="1"/>
  <c r="U340" i="1" s="1"/>
  <c r="W340" i="1"/>
  <c r="X340" i="1" s="1"/>
  <c r="T341" i="1"/>
  <c r="U341" i="1" s="1"/>
  <c r="W341" i="1"/>
  <c r="X341" i="1" s="1"/>
  <c r="T342" i="1"/>
  <c r="U342" i="1" s="1"/>
  <c r="W342" i="1"/>
  <c r="X342" i="1" s="1"/>
  <c r="T343" i="1"/>
  <c r="U343" i="1" s="1"/>
  <c r="W343" i="1"/>
  <c r="X343" i="1" s="1"/>
  <c r="T344" i="1"/>
  <c r="U344" i="1" s="1"/>
  <c r="W344" i="1"/>
  <c r="X344" i="1" s="1"/>
  <c r="T345" i="1"/>
  <c r="U345" i="1" s="1"/>
  <c r="W345" i="1"/>
  <c r="X345" i="1" s="1"/>
  <c r="T346" i="1"/>
  <c r="U346" i="1" s="1"/>
  <c r="W346" i="1"/>
  <c r="X346" i="1" s="1"/>
  <c r="T347" i="1"/>
  <c r="U347" i="1" s="1"/>
  <c r="W347" i="1"/>
  <c r="X347" i="1" s="1"/>
  <c r="T348" i="1"/>
  <c r="U348" i="1" s="1"/>
  <c r="W348" i="1"/>
  <c r="X348" i="1" s="1"/>
  <c r="T349" i="1"/>
  <c r="U349" i="1" s="1"/>
  <c r="W349" i="1"/>
  <c r="X349" i="1" s="1"/>
  <c r="T350" i="1"/>
  <c r="U350" i="1" s="1"/>
  <c r="W350" i="1"/>
  <c r="X350" i="1" s="1"/>
  <c r="T351" i="1"/>
  <c r="U351" i="1" s="1"/>
  <c r="W351" i="1"/>
  <c r="X351" i="1" s="1"/>
  <c r="T352" i="1"/>
  <c r="U352" i="1" s="1"/>
  <c r="W352" i="1"/>
  <c r="X352" i="1" s="1"/>
  <c r="T353" i="1"/>
  <c r="U353" i="1" s="1"/>
  <c r="W353" i="1"/>
  <c r="X353" i="1" s="1"/>
  <c r="T354" i="1"/>
  <c r="U354" i="1" s="1"/>
  <c r="W354" i="1"/>
  <c r="X354" i="1" s="1"/>
  <c r="T355" i="1"/>
  <c r="U355" i="1" s="1"/>
  <c r="W355" i="1"/>
  <c r="X355" i="1" s="1"/>
  <c r="T356" i="1"/>
  <c r="U356" i="1" s="1"/>
  <c r="W356" i="1"/>
  <c r="X356" i="1" s="1"/>
  <c r="T357" i="1"/>
  <c r="U357" i="1" s="1"/>
  <c r="W357" i="1"/>
  <c r="X357" i="1" s="1"/>
  <c r="T358" i="1"/>
  <c r="U358" i="1" s="1"/>
  <c r="W358" i="1"/>
  <c r="X358" i="1" s="1"/>
  <c r="T359" i="1"/>
  <c r="U359" i="1" s="1"/>
  <c r="W359" i="1"/>
  <c r="X359" i="1" s="1"/>
  <c r="T360" i="1"/>
  <c r="U360" i="1" s="1"/>
  <c r="W360" i="1"/>
  <c r="X360" i="1" s="1"/>
  <c r="T11" i="1"/>
  <c r="U11" i="1" s="1"/>
  <c r="W11" i="1"/>
  <c r="X11" i="1" s="1"/>
  <c r="T363" i="1"/>
  <c r="U363" i="1" s="1"/>
  <c r="W363" i="1"/>
  <c r="X363" i="1" s="1"/>
  <c r="T364" i="1"/>
  <c r="U364" i="1" s="1"/>
  <c r="W364" i="1"/>
  <c r="X364" i="1" s="1"/>
  <c r="T365" i="1"/>
  <c r="U365" i="1" s="1"/>
  <c r="W365" i="1"/>
  <c r="X365" i="1" s="1"/>
  <c r="T52" i="1"/>
  <c r="U52" i="1" s="1"/>
  <c r="W52" i="1"/>
  <c r="X52" i="1" s="1"/>
  <c r="T366" i="1"/>
  <c r="U366" i="1" s="1"/>
  <c r="W366" i="1"/>
  <c r="X366" i="1" s="1"/>
  <c r="T367" i="1"/>
  <c r="U367" i="1" s="1"/>
  <c r="W367" i="1"/>
  <c r="X367" i="1" s="1"/>
  <c r="T53" i="1"/>
  <c r="U53" i="1" s="1"/>
  <c r="W53" i="1"/>
  <c r="X53" i="1" s="1"/>
  <c r="T368" i="1"/>
  <c r="U368" i="1" s="1"/>
  <c r="W368" i="1"/>
  <c r="X368" i="1" s="1"/>
  <c r="T54" i="1"/>
  <c r="U54" i="1" s="1"/>
  <c r="W54" i="1"/>
  <c r="X54" i="1" s="1"/>
  <c r="T369" i="1"/>
  <c r="U369" i="1" s="1"/>
  <c r="W369" i="1"/>
  <c r="X369" i="1" s="1"/>
  <c r="T370" i="1"/>
  <c r="U370" i="1" s="1"/>
  <c r="W370" i="1"/>
  <c r="X370" i="1" s="1"/>
  <c r="T55" i="1"/>
  <c r="U55" i="1" s="1"/>
  <c r="W55" i="1"/>
  <c r="X55" i="1" s="1"/>
  <c r="T371" i="1"/>
  <c r="U371" i="1" s="1"/>
  <c r="W371" i="1"/>
  <c r="X371" i="1" s="1"/>
  <c r="T372" i="1"/>
  <c r="U372" i="1" s="1"/>
  <c r="W372" i="1"/>
  <c r="X372" i="1" s="1"/>
  <c r="T373" i="1"/>
  <c r="U373" i="1" s="1"/>
  <c r="W373" i="1"/>
  <c r="X373" i="1" s="1"/>
  <c r="T374" i="1"/>
  <c r="U374" i="1" s="1"/>
  <c r="W374" i="1"/>
  <c r="X374" i="1" s="1"/>
  <c r="T375" i="1"/>
  <c r="U375" i="1" s="1"/>
  <c r="W375" i="1"/>
  <c r="X375" i="1" s="1"/>
  <c r="T56" i="1"/>
  <c r="U56" i="1" s="1"/>
  <c r="W56" i="1"/>
  <c r="X56" i="1" s="1"/>
  <c r="T376" i="1"/>
  <c r="U376" i="1" s="1"/>
  <c r="W376" i="1"/>
  <c r="X376" i="1" s="1"/>
  <c r="T377" i="1"/>
  <c r="U377" i="1" s="1"/>
  <c r="W377" i="1"/>
  <c r="X377" i="1" s="1"/>
  <c r="T378" i="1"/>
  <c r="U378" i="1" s="1"/>
  <c r="W378" i="1"/>
  <c r="X378" i="1" s="1"/>
  <c r="T379" i="1"/>
  <c r="U379" i="1" s="1"/>
  <c r="W379" i="1"/>
  <c r="X379" i="1" s="1"/>
  <c r="T380" i="1"/>
  <c r="U380" i="1" s="1"/>
  <c r="W380" i="1"/>
  <c r="X380" i="1" s="1"/>
  <c r="T381" i="1"/>
  <c r="U381" i="1" s="1"/>
  <c r="W381" i="1"/>
  <c r="X381" i="1" s="1"/>
  <c r="T382" i="1"/>
  <c r="U382" i="1" s="1"/>
  <c r="W382" i="1"/>
  <c r="X382" i="1" s="1"/>
  <c r="T383" i="1"/>
  <c r="U383" i="1" s="1"/>
  <c r="W383" i="1"/>
  <c r="X383" i="1" s="1"/>
  <c r="T384" i="1"/>
  <c r="U384" i="1" s="1"/>
  <c r="W384" i="1"/>
  <c r="X384" i="1" s="1"/>
  <c r="T385" i="1"/>
  <c r="U385" i="1" s="1"/>
  <c r="W385" i="1"/>
  <c r="X385" i="1" s="1"/>
  <c r="T386" i="1"/>
  <c r="U386" i="1" s="1"/>
  <c r="W386" i="1"/>
  <c r="X386" i="1" s="1"/>
  <c r="T387" i="1"/>
  <c r="U387" i="1" s="1"/>
  <c r="W387" i="1"/>
  <c r="X387" i="1" s="1"/>
  <c r="T388" i="1"/>
  <c r="U388" i="1" s="1"/>
  <c r="W388" i="1"/>
  <c r="X388" i="1" s="1"/>
  <c r="T389" i="1"/>
  <c r="U389" i="1" s="1"/>
  <c r="W389" i="1"/>
  <c r="X389" i="1" s="1"/>
  <c r="T57" i="1"/>
  <c r="U57" i="1" s="1"/>
  <c r="W57" i="1"/>
  <c r="X57" i="1" s="1"/>
  <c r="T58" i="1"/>
  <c r="U58" i="1" s="1"/>
  <c r="W58" i="1"/>
  <c r="X58" i="1" s="1"/>
  <c r="T390" i="1"/>
  <c r="U390" i="1" s="1"/>
  <c r="W390" i="1"/>
  <c r="X390" i="1" s="1"/>
  <c r="T391" i="1"/>
  <c r="U391" i="1" s="1"/>
  <c r="W391" i="1"/>
  <c r="X391" i="1" s="1"/>
  <c r="T392" i="1"/>
  <c r="U392" i="1" s="1"/>
  <c r="W392" i="1"/>
  <c r="X392" i="1" s="1"/>
  <c r="T393" i="1"/>
  <c r="U393" i="1" s="1"/>
  <c r="W393" i="1"/>
  <c r="X393" i="1" s="1"/>
  <c r="T394" i="1"/>
  <c r="U394" i="1" s="1"/>
  <c r="W394" i="1"/>
  <c r="X394" i="1" s="1"/>
  <c r="T395" i="1"/>
  <c r="U395" i="1" s="1"/>
  <c r="W395" i="1"/>
  <c r="X395" i="1" s="1"/>
  <c r="T396" i="1"/>
  <c r="U396" i="1" s="1"/>
  <c r="W396" i="1"/>
  <c r="X396" i="1" s="1"/>
  <c r="T397" i="1"/>
  <c r="U397" i="1" s="1"/>
  <c r="W397" i="1"/>
  <c r="X397" i="1" s="1"/>
  <c r="T398" i="1"/>
  <c r="U398" i="1" s="1"/>
  <c r="W398" i="1"/>
  <c r="X398" i="1" s="1"/>
  <c r="T399" i="1"/>
  <c r="U399" i="1" s="1"/>
  <c r="W399" i="1"/>
  <c r="X399" i="1" s="1"/>
  <c r="T400" i="1"/>
  <c r="U400" i="1" s="1"/>
  <c r="W400" i="1"/>
  <c r="X400" i="1" s="1"/>
  <c r="T401" i="1"/>
  <c r="U401" i="1" s="1"/>
  <c r="W401" i="1"/>
  <c r="X401" i="1" s="1"/>
  <c r="T402" i="1"/>
  <c r="U402" i="1" s="1"/>
  <c r="W402" i="1"/>
  <c r="X402" i="1" s="1"/>
  <c r="T403" i="1"/>
  <c r="U403" i="1" s="1"/>
  <c r="W403" i="1"/>
  <c r="X403" i="1" s="1"/>
  <c r="T404" i="1"/>
  <c r="U404" i="1" s="1"/>
  <c r="W404" i="1"/>
  <c r="X404" i="1" s="1"/>
  <c r="T405" i="1"/>
  <c r="U405" i="1" s="1"/>
  <c r="W405" i="1"/>
  <c r="X405" i="1" s="1"/>
  <c r="T406" i="1"/>
  <c r="U406" i="1" s="1"/>
  <c r="W406" i="1"/>
  <c r="X406" i="1" s="1"/>
  <c r="T407" i="1"/>
  <c r="U407" i="1" s="1"/>
  <c r="W407" i="1"/>
  <c r="X407" i="1" s="1"/>
  <c r="T408" i="1"/>
  <c r="U408" i="1" s="1"/>
  <c r="W408" i="1"/>
  <c r="X408" i="1" s="1"/>
  <c r="T409" i="1"/>
  <c r="U409" i="1" s="1"/>
  <c r="W409" i="1"/>
  <c r="X409" i="1" s="1"/>
  <c r="T410" i="1"/>
  <c r="U410" i="1" s="1"/>
  <c r="W410" i="1"/>
  <c r="X410" i="1" s="1"/>
  <c r="T411" i="1"/>
  <c r="U411" i="1" s="1"/>
  <c r="W411" i="1"/>
  <c r="X411" i="1" s="1"/>
  <c r="T412" i="1"/>
  <c r="U412" i="1" s="1"/>
  <c r="W412" i="1"/>
  <c r="X412" i="1" s="1"/>
  <c r="T413" i="1"/>
  <c r="U413" i="1" s="1"/>
  <c r="W413" i="1"/>
  <c r="X413" i="1" s="1"/>
  <c r="T414" i="1"/>
  <c r="U414" i="1" s="1"/>
  <c r="W414" i="1"/>
  <c r="X414" i="1" s="1"/>
  <c r="T59" i="1"/>
  <c r="U59" i="1" s="1"/>
  <c r="W59" i="1"/>
  <c r="X59" i="1" s="1"/>
  <c r="T415" i="1"/>
  <c r="U415" i="1" s="1"/>
  <c r="W415" i="1"/>
  <c r="X415" i="1" s="1"/>
  <c r="T416" i="1"/>
  <c r="U416" i="1" s="1"/>
  <c r="W416" i="1"/>
  <c r="X416" i="1" s="1"/>
  <c r="T417" i="1"/>
  <c r="U417" i="1" s="1"/>
  <c r="W417" i="1"/>
  <c r="X417" i="1" s="1"/>
  <c r="T181" i="1"/>
  <c r="U181" i="1" s="1"/>
  <c r="W181" i="1"/>
  <c r="X181" i="1" s="1"/>
  <c r="T419" i="1"/>
  <c r="U419" i="1" s="1"/>
  <c r="W419" i="1"/>
  <c r="X419" i="1" s="1"/>
  <c r="T420" i="1"/>
  <c r="U420" i="1" s="1"/>
  <c r="W420" i="1"/>
  <c r="X420" i="1" s="1"/>
  <c r="T421" i="1"/>
  <c r="U421" i="1" s="1"/>
  <c r="W421" i="1"/>
  <c r="X421" i="1" s="1"/>
  <c r="T422" i="1"/>
  <c r="U422" i="1" s="1"/>
  <c r="W422" i="1"/>
  <c r="X422" i="1" s="1"/>
  <c r="T60" i="1"/>
  <c r="U60" i="1" s="1"/>
  <c r="W60" i="1"/>
  <c r="X60" i="1" s="1"/>
  <c r="T423" i="1"/>
  <c r="U423" i="1" s="1"/>
  <c r="W423" i="1"/>
  <c r="X423" i="1" s="1"/>
  <c r="T424" i="1"/>
  <c r="U424" i="1" s="1"/>
  <c r="W424" i="1"/>
  <c r="X424" i="1" s="1"/>
  <c r="T425" i="1"/>
  <c r="U425" i="1" s="1"/>
  <c r="W425" i="1"/>
  <c r="X425" i="1" s="1"/>
  <c r="T426" i="1"/>
  <c r="U426" i="1" s="1"/>
  <c r="W426" i="1"/>
  <c r="X426" i="1" s="1"/>
  <c r="T427" i="1"/>
  <c r="U427" i="1" s="1"/>
  <c r="W427" i="1"/>
  <c r="X427" i="1" s="1"/>
  <c r="T428" i="1"/>
  <c r="U428" i="1" s="1"/>
  <c r="W428" i="1"/>
  <c r="X428" i="1" s="1"/>
  <c r="T429" i="1"/>
  <c r="U429" i="1" s="1"/>
  <c r="W429" i="1"/>
  <c r="X429" i="1" s="1"/>
  <c r="T430" i="1"/>
  <c r="U430" i="1" s="1"/>
  <c r="W430" i="1"/>
  <c r="X430" i="1" s="1"/>
  <c r="T431" i="1"/>
  <c r="U431" i="1" s="1"/>
  <c r="W431" i="1"/>
  <c r="X431" i="1" s="1"/>
  <c r="T432" i="1"/>
  <c r="U432" i="1" s="1"/>
  <c r="W432" i="1"/>
  <c r="X432" i="1" s="1"/>
  <c r="T433" i="1"/>
  <c r="U433" i="1" s="1"/>
  <c r="W433" i="1"/>
  <c r="X433" i="1" s="1"/>
  <c r="T434" i="1"/>
  <c r="U434" i="1" s="1"/>
  <c r="W434" i="1"/>
  <c r="X434" i="1" s="1"/>
  <c r="T435" i="1"/>
  <c r="U435" i="1" s="1"/>
  <c r="W435" i="1"/>
  <c r="X435" i="1" s="1"/>
  <c r="T436" i="1"/>
  <c r="U436" i="1" s="1"/>
  <c r="W436" i="1"/>
  <c r="X436" i="1" s="1"/>
  <c r="T437" i="1"/>
  <c r="U437" i="1" s="1"/>
  <c r="W437" i="1"/>
  <c r="X437" i="1" s="1"/>
  <c r="T438" i="1"/>
  <c r="U438" i="1" s="1"/>
  <c r="W438" i="1"/>
  <c r="X438" i="1" s="1"/>
  <c r="T439" i="1"/>
  <c r="U439" i="1" s="1"/>
  <c r="W439" i="1"/>
  <c r="X439" i="1" s="1"/>
  <c r="T440" i="1"/>
  <c r="U440" i="1" s="1"/>
  <c r="W440" i="1"/>
  <c r="X440" i="1" s="1"/>
  <c r="T441" i="1"/>
  <c r="U441" i="1" s="1"/>
  <c r="W441" i="1"/>
  <c r="X441" i="1" s="1"/>
  <c r="T442" i="1"/>
  <c r="U442" i="1" s="1"/>
  <c r="W442" i="1"/>
  <c r="X442" i="1" s="1"/>
  <c r="T443" i="1"/>
  <c r="U443" i="1" s="1"/>
  <c r="W443" i="1"/>
  <c r="X443" i="1" s="1"/>
  <c r="T444" i="1"/>
  <c r="U444" i="1" s="1"/>
  <c r="W444" i="1"/>
  <c r="X444" i="1" s="1"/>
  <c r="T445" i="1"/>
  <c r="U445" i="1" s="1"/>
  <c r="W445" i="1"/>
  <c r="X445" i="1" s="1"/>
  <c r="T446" i="1"/>
  <c r="U446" i="1" s="1"/>
  <c r="W446" i="1"/>
  <c r="X446" i="1" s="1"/>
  <c r="T61" i="1"/>
  <c r="U61" i="1" s="1"/>
  <c r="W61" i="1"/>
  <c r="X61" i="1" s="1"/>
  <c r="T447" i="1"/>
  <c r="U447" i="1" s="1"/>
  <c r="W447" i="1"/>
  <c r="X447" i="1" s="1"/>
  <c r="T448" i="1"/>
  <c r="U448" i="1" s="1"/>
  <c r="W448" i="1"/>
  <c r="X448" i="1" s="1"/>
  <c r="T449" i="1"/>
  <c r="U449" i="1" s="1"/>
  <c r="W449" i="1"/>
  <c r="X449" i="1" s="1"/>
  <c r="T62" i="1"/>
  <c r="U62" i="1" s="1"/>
  <c r="W62" i="1"/>
  <c r="X62" i="1" s="1"/>
  <c r="T63" i="1"/>
  <c r="U63" i="1" s="1"/>
  <c r="W63" i="1"/>
  <c r="X63" i="1" s="1"/>
  <c r="T450" i="1"/>
  <c r="U450" i="1" s="1"/>
  <c r="W450" i="1"/>
  <c r="X450" i="1" s="1"/>
  <c r="T451" i="1"/>
  <c r="U451" i="1" s="1"/>
  <c r="W451" i="1"/>
  <c r="X451" i="1" s="1"/>
  <c r="T452" i="1"/>
  <c r="U452" i="1" s="1"/>
  <c r="W452" i="1"/>
  <c r="X452" i="1" s="1"/>
  <c r="T176" i="1"/>
  <c r="U176" i="1" s="1"/>
  <c r="W176" i="1"/>
  <c r="X176" i="1" s="1"/>
  <c r="T64" i="1"/>
  <c r="U64" i="1" s="1"/>
  <c r="W64" i="1"/>
  <c r="X64" i="1" s="1"/>
  <c r="T178" i="1"/>
  <c r="U178" i="1" s="1"/>
  <c r="X178" i="1"/>
  <c r="T65" i="1"/>
  <c r="U65" i="1" s="1"/>
  <c r="W65" i="1"/>
  <c r="X65" i="1" s="1"/>
  <c r="T180" i="1"/>
  <c r="U180" i="1" s="1"/>
  <c r="W180" i="1"/>
  <c r="X180" i="1" s="1"/>
  <c r="T456" i="1"/>
  <c r="U456" i="1" s="1"/>
  <c r="W456" i="1"/>
  <c r="X456" i="1" s="1"/>
  <c r="T66" i="1"/>
  <c r="U66" i="1" s="1"/>
  <c r="W66" i="1"/>
  <c r="X66" i="1" s="1"/>
  <c r="T67" i="1"/>
  <c r="U67" i="1" s="1"/>
  <c r="W67" i="1"/>
  <c r="X67" i="1" s="1"/>
  <c r="T457" i="1"/>
  <c r="U457" i="1" s="1"/>
  <c r="W457" i="1"/>
  <c r="X457" i="1" s="1"/>
  <c r="T458" i="1"/>
  <c r="U458" i="1" s="1"/>
  <c r="W458" i="1"/>
  <c r="X458" i="1" s="1"/>
  <c r="T459" i="1"/>
  <c r="U459" i="1" s="1"/>
  <c r="W459" i="1"/>
  <c r="X459" i="1" s="1"/>
  <c r="T460" i="1"/>
  <c r="U460" i="1" s="1"/>
  <c r="W460" i="1"/>
  <c r="X460" i="1" s="1"/>
  <c r="T461" i="1"/>
  <c r="U461" i="1" s="1"/>
  <c r="W461" i="1"/>
  <c r="X461" i="1" s="1"/>
  <c r="T462" i="1"/>
  <c r="U462" i="1" s="1"/>
  <c r="W462" i="1"/>
  <c r="X462" i="1" s="1"/>
  <c r="T68" i="1"/>
  <c r="U68" i="1" s="1"/>
  <c r="W68" i="1"/>
  <c r="X68" i="1" s="1"/>
  <c r="T463" i="1"/>
  <c r="U463" i="1" s="1"/>
  <c r="W463" i="1"/>
  <c r="X463" i="1" s="1"/>
  <c r="T464" i="1"/>
  <c r="U464" i="1" s="1"/>
  <c r="W464" i="1"/>
  <c r="X464" i="1" s="1"/>
  <c r="T465" i="1"/>
  <c r="U465" i="1" s="1"/>
  <c r="W465" i="1"/>
  <c r="X465" i="1" s="1"/>
  <c r="T69" i="1"/>
  <c r="U69" i="1" s="1"/>
  <c r="W69" i="1"/>
  <c r="X69" i="1" s="1"/>
  <c r="T466" i="1"/>
  <c r="U466" i="1" s="1"/>
  <c r="W466" i="1"/>
  <c r="X466" i="1" s="1"/>
  <c r="T70" i="1"/>
  <c r="U70" i="1" s="1"/>
  <c r="W70" i="1"/>
  <c r="X70" i="1" s="1"/>
  <c r="T467" i="1"/>
  <c r="U467" i="1" s="1"/>
  <c r="W467" i="1"/>
  <c r="X467" i="1" s="1"/>
  <c r="T468" i="1"/>
  <c r="U468" i="1" s="1"/>
  <c r="W468" i="1"/>
  <c r="X468" i="1" s="1"/>
  <c r="T469" i="1"/>
  <c r="U469" i="1" s="1"/>
  <c r="W469" i="1"/>
  <c r="X469" i="1" s="1"/>
  <c r="T470" i="1"/>
  <c r="U470" i="1" s="1"/>
  <c r="W470" i="1"/>
  <c r="X470" i="1" s="1"/>
  <c r="T71" i="1"/>
  <c r="U71" i="1" s="1"/>
  <c r="W71" i="1"/>
  <c r="X71" i="1" s="1"/>
  <c r="T72" i="1"/>
  <c r="U72" i="1" s="1"/>
  <c r="W72" i="1"/>
  <c r="X72" i="1" s="1"/>
  <c r="T471" i="1"/>
  <c r="U471" i="1" s="1"/>
  <c r="W471" i="1"/>
  <c r="X471" i="1" s="1"/>
  <c r="T472" i="1"/>
  <c r="U472" i="1" s="1"/>
  <c r="W472" i="1"/>
  <c r="X472" i="1" s="1"/>
  <c r="T73" i="1"/>
  <c r="U73" i="1" s="1"/>
  <c r="W73" i="1"/>
  <c r="X73" i="1" s="1"/>
  <c r="T74" i="1"/>
  <c r="U74" i="1" s="1"/>
  <c r="W74" i="1"/>
  <c r="X74" i="1" s="1"/>
  <c r="T473" i="1"/>
  <c r="U473" i="1" s="1"/>
  <c r="W473" i="1"/>
  <c r="X473" i="1" s="1"/>
  <c r="T474" i="1"/>
  <c r="U474" i="1" s="1"/>
  <c r="W474" i="1"/>
  <c r="X474" i="1" s="1"/>
  <c r="T475" i="1"/>
  <c r="U475" i="1" s="1"/>
  <c r="W475" i="1"/>
  <c r="X475" i="1" s="1"/>
  <c r="T476" i="1"/>
  <c r="U476" i="1" s="1"/>
  <c r="W476" i="1"/>
  <c r="X476" i="1" s="1"/>
  <c r="T477" i="1"/>
  <c r="U477" i="1" s="1"/>
  <c r="W477" i="1"/>
  <c r="X477" i="1" s="1"/>
  <c r="U478" i="1"/>
  <c r="W478" i="1"/>
  <c r="X478" i="1" s="1"/>
  <c r="U75" i="1"/>
  <c r="W75" i="1"/>
  <c r="X75" i="1" s="1"/>
  <c r="U76" i="1"/>
  <c r="W76" i="1"/>
  <c r="X76" i="1" s="1"/>
  <c r="U479" i="1"/>
  <c r="W479" i="1"/>
  <c r="X479" i="1" s="1"/>
  <c r="U77" i="1"/>
  <c r="W77" i="1"/>
  <c r="X77" i="1" s="1"/>
  <c r="U211" i="1"/>
  <c r="W211" i="1"/>
  <c r="X211" i="1" s="1"/>
  <c r="U261" i="1"/>
  <c r="W261" i="1"/>
  <c r="X261" i="1" s="1"/>
  <c r="U274" i="1"/>
  <c r="W274" i="1"/>
  <c r="X274" i="1" s="1"/>
  <c r="U275" i="1"/>
  <c r="W275" i="1"/>
  <c r="X275" i="1" s="1"/>
  <c r="U361" i="1"/>
  <c r="W361" i="1"/>
  <c r="X361" i="1" s="1"/>
  <c r="U172" i="1"/>
  <c r="W172" i="1"/>
  <c r="X172" i="1" s="1"/>
  <c r="U179" i="1"/>
  <c r="W179" i="1"/>
  <c r="X179" i="1" s="1"/>
  <c r="U362" i="1"/>
  <c r="W362" i="1"/>
  <c r="X362" i="1" s="1"/>
  <c r="U418" i="1"/>
  <c r="W418" i="1"/>
  <c r="X418" i="1" s="1"/>
  <c r="U453" i="1"/>
  <c r="W453" i="1"/>
  <c r="X453" i="1" s="1"/>
  <c r="U454" i="1"/>
  <c r="W454" i="1"/>
  <c r="X454" i="1" s="1"/>
  <c r="U455" i="1"/>
  <c r="W455" i="1"/>
  <c r="X455" i="1" s="1"/>
  <c r="U480" i="1"/>
  <c r="W480" i="1"/>
  <c r="X480" i="1" s="1"/>
  <c r="U481" i="1"/>
  <c r="W481" i="1"/>
  <c r="X481" i="1" s="1"/>
  <c r="U482" i="1"/>
  <c r="W482" i="1"/>
  <c r="X482" i="1" s="1"/>
  <c r="U483" i="1"/>
  <c r="W483" i="1"/>
  <c r="X483" i="1" s="1"/>
  <c r="U484" i="1"/>
  <c r="W484" i="1"/>
  <c r="X484" i="1" s="1"/>
  <c r="U485" i="1"/>
  <c r="W485" i="1"/>
  <c r="X485" i="1" s="1"/>
  <c r="U486" i="1"/>
  <c r="W486" i="1"/>
  <c r="X486" i="1" s="1"/>
  <c r="U487" i="1"/>
  <c r="W487" i="1"/>
  <c r="X487" i="1" s="1"/>
  <c r="U488" i="1"/>
  <c r="W488" i="1"/>
  <c r="X488" i="1" s="1"/>
  <c r="U489" i="1"/>
  <c r="W489" i="1"/>
  <c r="X489" i="1" s="1"/>
  <c r="U490" i="1"/>
  <c r="W490" i="1"/>
  <c r="X490" i="1" s="1"/>
  <c r="U491" i="1"/>
  <c r="W491" i="1"/>
  <c r="X491" i="1" s="1"/>
  <c r="U492" i="1"/>
  <c r="W492" i="1"/>
  <c r="X492" i="1" s="1"/>
  <c r="U493" i="1"/>
  <c r="W493" i="1"/>
  <c r="X493" i="1" s="1"/>
  <c r="U494" i="1"/>
  <c r="W494" i="1"/>
  <c r="X494" i="1" s="1"/>
  <c r="U495" i="1"/>
  <c r="W495" i="1"/>
  <c r="X495" i="1" s="1"/>
  <c r="U496" i="1"/>
  <c r="W496" i="1"/>
  <c r="X496" i="1" s="1"/>
  <c r="U497" i="1"/>
  <c r="W497" i="1"/>
  <c r="X497" i="1" s="1"/>
  <c r="U498" i="1"/>
  <c r="W498" i="1"/>
  <c r="X498" i="1" s="1"/>
  <c r="U499" i="1"/>
  <c r="W499" i="1"/>
  <c r="X499" i="1" s="1"/>
  <c r="U500" i="1"/>
  <c r="W500" i="1"/>
  <c r="X500" i="1" s="1"/>
  <c r="U501" i="1"/>
  <c r="W501" i="1"/>
  <c r="X501" i="1" s="1"/>
  <c r="U502" i="1"/>
  <c r="W502" i="1"/>
  <c r="X502" i="1" s="1"/>
  <c r="U503" i="1"/>
  <c r="W503" i="1"/>
  <c r="X503" i="1" s="1"/>
  <c r="U504" i="1"/>
  <c r="W504" i="1"/>
  <c r="X504" i="1" s="1"/>
  <c r="U505" i="1"/>
  <c r="W505" i="1"/>
  <c r="X505" i="1" s="1"/>
  <c r="U506" i="1"/>
  <c r="W506" i="1"/>
  <c r="X506" i="1" s="1"/>
  <c r="U507" i="1"/>
  <c r="W507" i="1"/>
  <c r="X507" i="1" s="1"/>
  <c r="U508" i="1"/>
  <c r="W508" i="1"/>
  <c r="X508" i="1" s="1"/>
  <c r="U509" i="1"/>
  <c r="W509" i="1"/>
  <c r="X509" i="1" s="1"/>
  <c r="U510" i="1"/>
  <c r="W510" i="1"/>
  <c r="X510" i="1" s="1"/>
  <c r="U511" i="1"/>
  <c r="W511" i="1"/>
  <c r="X511" i="1" s="1"/>
  <c r="U512" i="1"/>
  <c r="W512" i="1"/>
  <c r="X512" i="1" s="1"/>
  <c r="U513" i="1"/>
  <c r="W513" i="1"/>
  <c r="X513" i="1" s="1"/>
  <c r="U514" i="1"/>
  <c r="W514" i="1"/>
  <c r="X514" i="1" s="1"/>
  <c r="U78" i="1"/>
  <c r="W78" i="1"/>
  <c r="X78" i="1" s="1"/>
  <c r="U515" i="1"/>
  <c r="W515" i="1"/>
  <c r="X515" i="1" s="1"/>
  <c r="U516" i="1"/>
  <c r="W516" i="1"/>
  <c r="X516" i="1" s="1"/>
  <c r="U517" i="1"/>
  <c r="W517" i="1"/>
  <c r="X517" i="1" s="1"/>
  <c r="U519" i="1"/>
  <c r="W519" i="1"/>
  <c r="X519" i="1" s="1"/>
  <c r="U518" i="1"/>
  <c r="W518" i="1"/>
  <c r="X518" i="1" s="1"/>
  <c r="U520" i="1"/>
  <c r="W520" i="1"/>
  <c r="X520" i="1" s="1"/>
  <c r="U521" i="1"/>
  <c r="W521" i="1"/>
  <c r="X521" i="1" s="1"/>
  <c r="U79" i="1"/>
  <c r="W79" i="1"/>
  <c r="X79" i="1" s="1"/>
  <c r="U182" i="1"/>
  <c r="W182" i="1"/>
  <c r="X182" i="1" s="1"/>
  <c r="U80" i="1"/>
  <c r="W80" i="1"/>
  <c r="X80" i="1" s="1"/>
  <c r="U81" i="1"/>
  <c r="W81" i="1"/>
  <c r="X81" i="1" s="1"/>
  <c r="U82" i="1"/>
  <c r="W82" i="1"/>
  <c r="X82" i="1" s="1"/>
  <c r="U522" i="1"/>
  <c r="W522" i="1"/>
  <c r="X522" i="1" s="1"/>
  <c r="U523" i="1"/>
  <c r="W523" i="1"/>
  <c r="X523" i="1" s="1"/>
  <c r="U83" i="1"/>
  <c r="W83" i="1"/>
  <c r="X83" i="1" s="1"/>
  <c r="U524" i="1"/>
  <c r="W524" i="1"/>
  <c r="X524" i="1" s="1"/>
  <c r="U525" i="1"/>
  <c r="W525" i="1"/>
  <c r="X525" i="1" s="1"/>
  <c r="U526" i="1"/>
  <c r="W526" i="1"/>
  <c r="X526" i="1" s="1"/>
  <c r="U527" i="1"/>
  <c r="W527" i="1"/>
  <c r="X527" i="1" s="1"/>
  <c r="U528" i="1"/>
  <c r="W528" i="1"/>
  <c r="X528" i="1" s="1"/>
  <c r="U529" i="1"/>
  <c r="W529" i="1"/>
  <c r="X529" i="1" s="1"/>
  <c r="U84" i="1"/>
  <c r="W84" i="1"/>
  <c r="X84" i="1" s="1"/>
  <c r="U530" i="1"/>
  <c r="W530" i="1"/>
  <c r="X530" i="1" s="1"/>
  <c r="U531" i="1"/>
  <c r="W531" i="1"/>
  <c r="X531" i="1" s="1"/>
  <c r="U532" i="1"/>
  <c r="W532" i="1"/>
  <c r="X532" i="1" s="1"/>
  <c r="U533" i="1"/>
  <c r="W533" i="1"/>
  <c r="X533" i="1" s="1"/>
  <c r="U534" i="1"/>
  <c r="W534" i="1"/>
  <c r="X534" i="1" s="1"/>
  <c r="U535" i="1"/>
  <c r="W535" i="1"/>
  <c r="X535" i="1" s="1"/>
  <c r="U536" i="1"/>
  <c r="W536" i="1"/>
  <c r="X536" i="1" s="1"/>
  <c r="U537" i="1"/>
  <c r="W537" i="1"/>
  <c r="X537" i="1" s="1"/>
  <c r="U538" i="1"/>
  <c r="W538" i="1"/>
  <c r="X538" i="1" s="1"/>
  <c r="U539" i="1"/>
  <c r="W539" i="1"/>
  <c r="X539" i="1" s="1"/>
  <c r="U540" i="1"/>
  <c r="W540" i="1"/>
  <c r="X540" i="1" s="1"/>
  <c r="U541" i="1"/>
  <c r="W541" i="1"/>
  <c r="X541" i="1" s="1"/>
  <c r="U542" i="1"/>
  <c r="W542" i="1"/>
  <c r="X542" i="1" s="1"/>
  <c r="U543" i="1"/>
  <c r="W543" i="1"/>
  <c r="X543" i="1" s="1"/>
  <c r="U544" i="1"/>
  <c r="Y544" i="1" s="1"/>
  <c r="AA544" i="1" s="1"/>
  <c r="U85" i="1"/>
  <c r="W85" i="1"/>
  <c r="X85" i="1" s="1"/>
  <c r="U545" i="1"/>
  <c r="W545" i="1"/>
  <c r="X545" i="1" s="1"/>
  <c r="U546" i="1"/>
  <c r="W546" i="1"/>
  <c r="X546" i="1" s="1"/>
  <c r="U86" i="1"/>
  <c r="W86" i="1"/>
  <c r="X86" i="1" s="1"/>
  <c r="U87" i="1"/>
  <c r="W87" i="1"/>
  <c r="X87" i="1" s="1"/>
  <c r="U547" i="1"/>
  <c r="W547" i="1"/>
  <c r="X547" i="1" s="1"/>
  <c r="U548" i="1"/>
  <c r="W548" i="1"/>
  <c r="X548" i="1" s="1"/>
  <c r="U88" i="1"/>
  <c r="W88" i="1"/>
  <c r="X88" i="1" s="1"/>
  <c r="U549" i="1"/>
  <c r="W549" i="1"/>
  <c r="X549" i="1" s="1"/>
  <c r="U550" i="1"/>
  <c r="W550" i="1"/>
  <c r="X550" i="1" s="1"/>
  <c r="U551" i="1"/>
  <c r="W551" i="1"/>
  <c r="X551" i="1" s="1"/>
  <c r="U89" i="1"/>
  <c r="W89" i="1"/>
  <c r="X89" i="1" s="1"/>
  <c r="U90" i="1"/>
  <c r="W90" i="1"/>
  <c r="X90" i="1" s="1"/>
  <c r="U552" i="1"/>
  <c r="W552" i="1"/>
  <c r="X552" i="1" s="1"/>
  <c r="U553" i="1"/>
  <c r="W553" i="1"/>
  <c r="X553" i="1" s="1"/>
  <c r="U554" i="1"/>
  <c r="W554" i="1"/>
  <c r="X554" i="1" s="1"/>
  <c r="U555" i="1"/>
  <c r="W555" i="1"/>
  <c r="X555" i="1" s="1"/>
  <c r="U556" i="1"/>
  <c r="W556" i="1"/>
  <c r="X556" i="1" s="1"/>
  <c r="U558" i="1"/>
  <c r="W558" i="1"/>
  <c r="X558" i="1" s="1"/>
  <c r="U91" i="1"/>
  <c r="W91" i="1"/>
  <c r="X91" i="1" s="1"/>
  <c r="U559" i="1"/>
  <c r="W559" i="1"/>
  <c r="X559" i="1" s="1"/>
  <c r="U560" i="1"/>
  <c r="W560" i="1"/>
  <c r="X560" i="1" s="1"/>
  <c r="U561" i="1"/>
  <c r="W561" i="1"/>
  <c r="X561" i="1" s="1"/>
  <c r="U562" i="1"/>
  <c r="W562" i="1"/>
  <c r="X562" i="1" s="1"/>
  <c r="U563" i="1"/>
  <c r="W563" i="1"/>
  <c r="X563" i="1" s="1"/>
  <c r="U564" i="1"/>
  <c r="W564" i="1"/>
  <c r="X564" i="1" s="1"/>
  <c r="U565" i="1"/>
  <c r="W565" i="1"/>
  <c r="X565" i="1" s="1"/>
  <c r="U566" i="1"/>
  <c r="W566" i="1"/>
  <c r="X566" i="1" s="1"/>
  <c r="U92" i="1"/>
  <c r="W92" i="1"/>
  <c r="X92" i="1" s="1"/>
  <c r="U567" i="1"/>
  <c r="W567" i="1"/>
  <c r="X567" i="1" s="1"/>
  <c r="U93" i="1"/>
  <c r="W93" i="1"/>
  <c r="X93" i="1" s="1"/>
  <c r="U568" i="1"/>
  <c r="W568" i="1"/>
  <c r="X568" i="1" s="1"/>
  <c r="U94" i="1"/>
  <c r="W94" i="1"/>
  <c r="X94" i="1" s="1"/>
  <c r="U569" i="1"/>
  <c r="W569" i="1"/>
  <c r="X569" i="1" s="1"/>
  <c r="U570" i="1"/>
  <c r="W570" i="1"/>
  <c r="X570" i="1" s="1"/>
  <c r="U571" i="1"/>
  <c r="W571" i="1"/>
  <c r="X571" i="1" s="1"/>
  <c r="U572" i="1"/>
  <c r="W572" i="1"/>
  <c r="X572" i="1" s="1"/>
  <c r="U573" i="1"/>
  <c r="W573" i="1"/>
  <c r="X573" i="1" s="1"/>
  <c r="U95" i="1"/>
  <c r="W95" i="1"/>
  <c r="X95" i="1" s="1"/>
  <c r="U574" i="1"/>
  <c r="W574" i="1"/>
  <c r="X574" i="1" s="1"/>
  <c r="U575" i="1"/>
  <c r="W575" i="1"/>
  <c r="X575" i="1" s="1"/>
  <c r="U576" i="1"/>
  <c r="W576" i="1"/>
  <c r="X576" i="1" s="1"/>
  <c r="U96" i="1"/>
  <c r="W96" i="1"/>
  <c r="X96" i="1" s="1"/>
  <c r="U577" i="1"/>
  <c r="W577" i="1"/>
  <c r="X577" i="1" s="1"/>
  <c r="U97" i="1"/>
  <c r="W97" i="1"/>
  <c r="X97" i="1" s="1"/>
  <c r="U578" i="1"/>
  <c r="W578" i="1"/>
  <c r="X578" i="1" s="1"/>
  <c r="U579" i="1"/>
  <c r="W579" i="1"/>
  <c r="X579" i="1" s="1"/>
  <c r="U580" i="1"/>
  <c r="W580" i="1"/>
  <c r="X580" i="1" s="1"/>
  <c r="U581" i="1"/>
  <c r="W581" i="1"/>
  <c r="X581" i="1" s="1"/>
  <c r="U582" i="1"/>
  <c r="W582" i="1"/>
  <c r="X582" i="1" s="1"/>
  <c r="U583" i="1"/>
  <c r="W583" i="1"/>
  <c r="X583" i="1" s="1"/>
  <c r="U584" i="1"/>
  <c r="W584" i="1"/>
  <c r="X584" i="1" s="1"/>
  <c r="U98" i="1"/>
  <c r="W98" i="1"/>
  <c r="X98" i="1" s="1"/>
  <c r="U585" i="1"/>
  <c r="W585" i="1"/>
  <c r="X585" i="1" s="1"/>
  <c r="U586" i="1"/>
  <c r="W586" i="1"/>
  <c r="X586" i="1" s="1"/>
  <c r="U99" i="1"/>
  <c r="W99" i="1"/>
  <c r="X99" i="1" s="1"/>
  <c r="U100" i="1"/>
  <c r="W100" i="1"/>
  <c r="X100" i="1" s="1"/>
  <c r="U101" i="1"/>
  <c r="W101" i="1"/>
  <c r="X101" i="1" s="1"/>
  <c r="U102" i="1"/>
  <c r="W102" i="1"/>
  <c r="X102" i="1" s="1"/>
  <c r="U103" i="1"/>
  <c r="W103" i="1"/>
  <c r="X103" i="1" s="1"/>
  <c r="U104" i="1"/>
  <c r="W104" i="1"/>
  <c r="X104" i="1" s="1"/>
  <c r="U105" i="1"/>
  <c r="W105" i="1"/>
  <c r="X105" i="1" s="1"/>
  <c r="U106" i="1"/>
  <c r="W106" i="1"/>
  <c r="X106" i="1" s="1"/>
  <c r="U107" i="1"/>
  <c r="W107" i="1"/>
  <c r="X107" i="1" s="1"/>
  <c r="U108" i="1"/>
  <c r="W108" i="1"/>
  <c r="X108" i="1" s="1"/>
  <c r="U109" i="1"/>
  <c r="W109" i="1"/>
  <c r="X109" i="1" s="1"/>
  <c r="U110" i="1"/>
  <c r="W110" i="1"/>
  <c r="X110" i="1" s="1"/>
  <c r="U111" i="1"/>
  <c r="W111" i="1"/>
  <c r="X111" i="1" s="1"/>
  <c r="U112" i="1"/>
  <c r="W112" i="1"/>
  <c r="X112" i="1" s="1"/>
  <c r="U113" i="1"/>
  <c r="W113" i="1"/>
  <c r="X113" i="1" s="1"/>
  <c r="U114" i="1"/>
  <c r="W114" i="1"/>
  <c r="X114" i="1" s="1"/>
  <c r="U115" i="1"/>
  <c r="W115" i="1"/>
  <c r="X115" i="1" s="1"/>
  <c r="U116" i="1"/>
  <c r="W116" i="1"/>
  <c r="X116" i="1" s="1"/>
  <c r="U117" i="1"/>
  <c r="W117" i="1"/>
  <c r="X117" i="1" s="1"/>
  <c r="U118" i="1"/>
  <c r="W118" i="1"/>
  <c r="X118" i="1" s="1"/>
  <c r="U119" i="1"/>
  <c r="W119" i="1"/>
  <c r="X119" i="1" s="1"/>
  <c r="U120" i="1"/>
  <c r="W120" i="1"/>
  <c r="X120" i="1" s="1"/>
  <c r="U121" i="1"/>
  <c r="W121" i="1"/>
  <c r="X121" i="1" s="1"/>
  <c r="U122" i="1"/>
  <c r="W122" i="1"/>
  <c r="X122" i="1" s="1"/>
  <c r="U123" i="1"/>
  <c r="W123" i="1"/>
  <c r="X123" i="1" s="1"/>
  <c r="U124" i="1"/>
  <c r="W124" i="1"/>
  <c r="X124" i="1" s="1"/>
  <c r="U125" i="1"/>
  <c r="W125" i="1"/>
  <c r="X125" i="1" s="1"/>
  <c r="U126" i="1"/>
  <c r="W126" i="1"/>
  <c r="X126" i="1" s="1"/>
  <c r="U127" i="1"/>
  <c r="W127" i="1"/>
  <c r="X127" i="1" s="1"/>
  <c r="U128" i="1"/>
  <c r="W128" i="1"/>
  <c r="X128" i="1" s="1"/>
  <c r="U129" i="1"/>
  <c r="W129" i="1"/>
  <c r="X129" i="1" s="1"/>
  <c r="U130" i="1"/>
  <c r="W130" i="1"/>
  <c r="X130" i="1" s="1"/>
  <c r="U131" i="1"/>
  <c r="W131" i="1"/>
  <c r="X131" i="1" s="1"/>
  <c r="U132" i="1"/>
  <c r="W132" i="1"/>
  <c r="X132" i="1" s="1"/>
  <c r="U133" i="1"/>
  <c r="W133" i="1"/>
  <c r="X133" i="1" s="1"/>
  <c r="U134" i="1"/>
  <c r="W134" i="1"/>
  <c r="X134" i="1" s="1"/>
  <c r="U135" i="1"/>
  <c r="W135" i="1"/>
  <c r="X135" i="1" s="1"/>
  <c r="U136" i="1"/>
  <c r="W136" i="1"/>
  <c r="X136" i="1" s="1"/>
  <c r="U137" i="1"/>
  <c r="W137" i="1"/>
  <c r="X137" i="1" s="1"/>
  <c r="U138" i="1"/>
  <c r="W138" i="1"/>
  <c r="X138" i="1" s="1"/>
  <c r="U139" i="1"/>
  <c r="W139" i="1"/>
  <c r="X139" i="1" s="1"/>
  <c r="U140" i="1"/>
  <c r="W140" i="1"/>
  <c r="X140" i="1" s="1"/>
  <c r="U141" i="1"/>
  <c r="W141" i="1"/>
  <c r="X141" i="1" s="1"/>
  <c r="U142" i="1"/>
  <c r="W142" i="1"/>
  <c r="X142" i="1" s="1"/>
  <c r="U143" i="1"/>
  <c r="W143" i="1"/>
  <c r="X143" i="1" s="1"/>
  <c r="U144" i="1"/>
  <c r="W144" i="1"/>
  <c r="X144" i="1" s="1"/>
  <c r="U145" i="1"/>
  <c r="W145" i="1"/>
  <c r="X145" i="1" s="1"/>
  <c r="U146" i="1"/>
  <c r="W146" i="1"/>
  <c r="X146" i="1" s="1"/>
  <c r="U147" i="1"/>
  <c r="W147" i="1"/>
  <c r="X147" i="1" s="1"/>
  <c r="U148" i="1"/>
  <c r="W148" i="1"/>
  <c r="X148" i="1" s="1"/>
  <c r="U149" i="1"/>
  <c r="W149" i="1"/>
  <c r="X149" i="1" s="1"/>
  <c r="U150" i="1"/>
  <c r="W150" i="1"/>
  <c r="X150" i="1" s="1"/>
  <c r="U151" i="1"/>
  <c r="W151" i="1"/>
  <c r="X151" i="1" s="1"/>
  <c r="U152" i="1"/>
  <c r="W152" i="1"/>
  <c r="X152" i="1" s="1"/>
  <c r="U153" i="1"/>
  <c r="W153" i="1"/>
  <c r="X153" i="1" s="1"/>
  <c r="U154" i="1"/>
  <c r="W154" i="1"/>
  <c r="X154" i="1" s="1"/>
  <c r="U155" i="1"/>
  <c r="W155" i="1"/>
  <c r="X155" i="1" s="1"/>
  <c r="U156" i="1"/>
  <c r="W156" i="1"/>
  <c r="X156" i="1" s="1"/>
  <c r="U157" i="1"/>
  <c r="W157" i="1"/>
  <c r="X157" i="1" s="1"/>
  <c r="U158" i="1"/>
  <c r="W158" i="1"/>
  <c r="X158" i="1" s="1"/>
  <c r="U159" i="1"/>
  <c r="W159" i="1"/>
  <c r="X159" i="1" s="1"/>
  <c r="U160" i="1"/>
  <c r="W160" i="1"/>
  <c r="X160" i="1" s="1"/>
  <c r="U161" i="1"/>
  <c r="W161" i="1"/>
  <c r="X161" i="1" s="1"/>
  <c r="U162" i="1"/>
  <c r="W162" i="1"/>
  <c r="X162" i="1" s="1"/>
  <c r="U163" i="1"/>
  <c r="W163" i="1"/>
  <c r="X163" i="1" s="1"/>
  <c r="U164" i="1"/>
  <c r="W164" i="1"/>
  <c r="X164" i="1" s="1"/>
  <c r="U165" i="1"/>
  <c r="W165" i="1"/>
  <c r="X165" i="1" s="1"/>
  <c r="U166" i="1"/>
  <c r="W166" i="1"/>
  <c r="X166" i="1" s="1"/>
  <c r="U167" i="1"/>
  <c r="W167" i="1"/>
  <c r="X167" i="1" s="1"/>
  <c r="U168" i="1"/>
  <c r="W168" i="1"/>
  <c r="X168" i="1" s="1"/>
  <c r="U169" i="1"/>
  <c r="W169" i="1"/>
  <c r="X169" i="1" s="1"/>
  <c r="U170" i="1"/>
  <c r="W170" i="1"/>
  <c r="X170" i="1" s="1"/>
  <c r="U171" i="1"/>
  <c r="W171" i="1"/>
  <c r="X171" i="1" s="1"/>
  <c r="U587" i="1"/>
  <c r="W587" i="1"/>
  <c r="X587" i="1" s="1"/>
  <c r="U588" i="1"/>
  <c r="W588" i="1"/>
  <c r="X588" i="1" s="1"/>
  <c r="U589" i="1"/>
  <c r="W589" i="1"/>
  <c r="X589" i="1" s="1"/>
  <c r="U590" i="1"/>
  <c r="W590" i="1"/>
  <c r="X590" i="1" s="1"/>
  <c r="U591" i="1"/>
  <c r="W591" i="1"/>
  <c r="X591" i="1" s="1"/>
  <c r="U592" i="1"/>
  <c r="W592" i="1"/>
  <c r="X592" i="1" s="1"/>
  <c r="U593" i="1"/>
  <c r="W593" i="1"/>
  <c r="X593" i="1" s="1"/>
  <c r="U594" i="1"/>
  <c r="W594" i="1"/>
  <c r="X594" i="1" s="1"/>
  <c r="U595" i="1"/>
  <c r="W595" i="1"/>
  <c r="X595" i="1" s="1"/>
  <c r="U596" i="1"/>
  <c r="W596" i="1"/>
  <c r="X596" i="1" s="1"/>
  <c r="U597" i="1"/>
  <c r="W597" i="1"/>
  <c r="X597" i="1" s="1"/>
  <c r="U598" i="1"/>
  <c r="W598" i="1"/>
  <c r="X598" i="1" s="1"/>
  <c r="U599" i="1"/>
  <c r="W599" i="1"/>
  <c r="X599" i="1" s="1"/>
  <c r="U600" i="1"/>
  <c r="W600" i="1"/>
  <c r="X600" i="1" s="1"/>
  <c r="U601" i="1"/>
  <c r="W601" i="1"/>
  <c r="X601" i="1" s="1"/>
  <c r="U602" i="1"/>
  <c r="W602" i="1"/>
  <c r="X602" i="1" s="1"/>
  <c r="U603" i="1"/>
  <c r="W603" i="1"/>
  <c r="X603" i="1" s="1"/>
  <c r="U604" i="1"/>
  <c r="W604" i="1"/>
  <c r="X604" i="1" s="1"/>
  <c r="U605" i="1"/>
  <c r="W605" i="1"/>
  <c r="X605" i="1" s="1"/>
  <c r="U606" i="1"/>
  <c r="W606" i="1"/>
  <c r="X606" i="1" s="1"/>
  <c r="U607" i="1"/>
  <c r="W607" i="1"/>
  <c r="X607" i="1" s="1"/>
  <c r="U608" i="1"/>
  <c r="W608" i="1"/>
  <c r="X608" i="1" s="1"/>
  <c r="U609" i="1"/>
  <c r="W609" i="1"/>
  <c r="X609" i="1" s="1"/>
  <c r="U610" i="1"/>
  <c r="W610" i="1"/>
  <c r="X610" i="1" s="1"/>
  <c r="U611" i="1"/>
  <c r="W611" i="1"/>
  <c r="X611" i="1" s="1"/>
  <c r="U612" i="1"/>
  <c r="W612" i="1"/>
  <c r="X612" i="1" s="1"/>
  <c r="U613" i="1"/>
  <c r="W613" i="1"/>
  <c r="X613" i="1" s="1"/>
  <c r="U614" i="1"/>
  <c r="W614" i="1"/>
  <c r="X614" i="1" s="1"/>
  <c r="U615" i="1"/>
  <c r="W615" i="1"/>
  <c r="X615" i="1" s="1"/>
  <c r="U616" i="1"/>
  <c r="W616" i="1"/>
  <c r="X616" i="1" s="1"/>
  <c r="U617" i="1"/>
  <c r="W617" i="1"/>
  <c r="X617" i="1" s="1"/>
  <c r="U618" i="1"/>
  <c r="W618" i="1"/>
  <c r="X618" i="1" s="1"/>
  <c r="U619" i="1"/>
  <c r="W619" i="1"/>
  <c r="X619" i="1" s="1"/>
  <c r="U620" i="1"/>
  <c r="W620" i="1"/>
  <c r="X620" i="1" s="1"/>
  <c r="U621" i="1"/>
  <c r="W621" i="1"/>
  <c r="X621" i="1" s="1"/>
  <c r="U622" i="1"/>
  <c r="W622" i="1"/>
  <c r="X622" i="1" s="1"/>
  <c r="U623" i="1"/>
  <c r="W623" i="1"/>
  <c r="X623" i="1" s="1"/>
  <c r="U624" i="1"/>
  <c r="W624" i="1"/>
  <c r="X624" i="1" s="1"/>
  <c r="U625" i="1"/>
  <c r="W625" i="1"/>
  <c r="X625" i="1" s="1"/>
  <c r="U626" i="1"/>
  <c r="W626" i="1"/>
  <c r="X626" i="1" s="1"/>
  <c r="U627" i="1"/>
  <c r="W627" i="1"/>
  <c r="X627" i="1" s="1"/>
  <c r="U628" i="1"/>
  <c r="W628" i="1"/>
  <c r="X628" i="1" s="1"/>
  <c r="U629" i="1"/>
  <c r="W629" i="1"/>
  <c r="X629" i="1" s="1"/>
  <c r="U630" i="1"/>
  <c r="W630" i="1"/>
  <c r="X630" i="1" s="1"/>
  <c r="U631" i="1"/>
  <c r="W631" i="1"/>
  <c r="X631" i="1" s="1"/>
  <c r="U632" i="1"/>
  <c r="W632" i="1"/>
  <c r="X632" i="1" s="1"/>
  <c r="U633" i="1"/>
  <c r="W633" i="1"/>
  <c r="X633" i="1" s="1"/>
  <c r="U634" i="1"/>
  <c r="W634" i="1"/>
  <c r="X634" i="1" s="1"/>
  <c r="U635" i="1"/>
  <c r="W635" i="1"/>
  <c r="X635" i="1" s="1"/>
  <c r="U636" i="1"/>
  <c r="W636" i="1"/>
  <c r="X636" i="1" s="1"/>
  <c r="U637" i="1"/>
  <c r="W637" i="1"/>
  <c r="X637" i="1" s="1"/>
  <c r="U638" i="1"/>
  <c r="W638" i="1"/>
  <c r="X638" i="1" s="1"/>
  <c r="U639" i="1"/>
  <c r="W639" i="1"/>
  <c r="X639" i="1" s="1"/>
  <c r="U640" i="1"/>
  <c r="W640" i="1"/>
  <c r="X640" i="1" s="1"/>
  <c r="U641" i="1"/>
  <c r="W641" i="1"/>
  <c r="X641" i="1" s="1"/>
  <c r="U642" i="1"/>
  <c r="W642" i="1"/>
  <c r="X642" i="1" s="1"/>
  <c r="U643" i="1"/>
  <c r="W643" i="1"/>
  <c r="X643" i="1" s="1"/>
  <c r="U644" i="1"/>
  <c r="W644" i="1"/>
  <c r="X644" i="1" s="1"/>
  <c r="U645" i="1"/>
  <c r="W645" i="1"/>
  <c r="X645" i="1" s="1"/>
  <c r="U646" i="1"/>
  <c r="W646" i="1"/>
  <c r="X646" i="1" s="1"/>
  <c r="U647" i="1"/>
  <c r="W647" i="1"/>
  <c r="X647" i="1" s="1"/>
  <c r="U648" i="1"/>
  <c r="W648" i="1"/>
  <c r="X648" i="1" s="1"/>
  <c r="U649" i="1"/>
  <c r="W649" i="1"/>
  <c r="X649" i="1" s="1"/>
  <c r="U650" i="1"/>
  <c r="W650" i="1"/>
  <c r="X650" i="1" s="1"/>
  <c r="U651" i="1"/>
  <c r="W651" i="1"/>
  <c r="X651" i="1" s="1"/>
  <c r="U652" i="1"/>
  <c r="W652" i="1"/>
  <c r="X652" i="1" s="1"/>
  <c r="U653" i="1"/>
  <c r="W653" i="1"/>
  <c r="X653" i="1" s="1"/>
  <c r="U654" i="1"/>
  <c r="W654" i="1"/>
  <c r="X654" i="1" s="1"/>
  <c r="U655" i="1"/>
  <c r="W655" i="1"/>
  <c r="X655" i="1" s="1"/>
  <c r="U656" i="1"/>
  <c r="W656" i="1"/>
  <c r="X656" i="1" s="1"/>
  <c r="U657" i="1"/>
  <c r="W657" i="1"/>
  <c r="X657" i="1" s="1"/>
  <c r="U658" i="1"/>
  <c r="W658" i="1"/>
  <c r="X658" i="1" s="1"/>
  <c r="U659" i="1"/>
  <c r="W659" i="1"/>
  <c r="X659" i="1" s="1"/>
  <c r="U660" i="1"/>
  <c r="W660" i="1"/>
  <c r="X660" i="1" s="1"/>
  <c r="U661" i="1"/>
  <c r="W661" i="1"/>
  <c r="X661" i="1" s="1"/>
  <c r="U662" i="1"/>
  <c r="W662" i="1"/>
  <c r="X662" i="1" s="1"/>
  <c r="U663" i="1"/>
  <c r="W663" i="1"/>
  <c r="X663" i="1" s="1"/>
  <c r="U664" i="1"/>
  <c r="W664" i="1"/>
  <c r="X664" i="1" s="1"/>
  <c r="U665" i="1"/>
  <c r="W665" i="1"/>
  <c r="X665" i="1" s="1"/>
  <c r="U666" i="1"/>
  <c r="W666" i="1"/>
  <c r="X666" i="1" s="1"/>
  <c r="U667" i="1"/>
  <c r="W667" i="1"/>
  <c r="X667" i="1" s="1"/>
  <c r="U668" i="1"/>
  <c r="W668" i="1"/>
  <c r="X668" i="1" s="1"/>
  <c r="U669" i="1"/>
  <c r="W669" i="1"/>
  <c r="X669" i="1" s="1"/>
  <c r="U670" i="1"/>
  <c r="W670" i="1"/>
  <c r="X670" i="1" s="1"/>
  <c r="U671" i="1"/>
  <c r="W671" i="1"/>
  <c r="X671" i="1" s="1"/>
  <c r="U672" i="1"/>
  <c r="W672" i="1"/>
  <c r="X672" i="1" s="1"/>
  <c r="U673" i="1"/>
  <c r="W673" i="1"/>
  <c r="X673" i="1" s="1"/>
  <c r="U674" i="1"/>
  <c r="W674" i="1"/>
  <c r="X674" i="1" s="1"/>
  <c r="U675" i="1"/>
  <c r="W675" i="1"/>
  <c r="X675" i="1" s="1"/>
  <c r="U676" i="1"/>
  <c r="W676" i="1"/>
  <c r="X676" i="1" s="1"/>
  <c r="U677" i="1"/>
  <c r="W677" i="1"/>
  <c r="X677" i="1" s="1"/>
  <c r="U678" i="1"/>
  <c r="W678" i="1"/>
  <c r="X678" i="1" s="1"/>
  <c r="U679" i="1"/>
  <c r="W679" i="1"/>
  <c r="X679" i="1" s="1"/>
  <c r="U680" i="1"/>
  <c r="W680" i="1"/>
  <c r="X680" i="1" s="1"/>
  <c r="U681" i="1"/>
  <c r="W681" i="1"/>
  <c r="X681" i="1" s="1"/>
  <c r="U682" i="1"/>
  <c r="W682" i="1"/>
  <c r="X682" i="1" s="1"/>
  <c r="U683" i="1"/>
  <c r="W683" i="1"/>
  <c r="X683" i="1" s="1"/>
  <c r="U684" i="1"/>
  <c r="W684" i="1"/>
  <c r="X684" i="1" s="1"/>
  <c r="U685" i="1"/>
  <c r="W685" i="1"/>
  <c r="X685" i="1" s="1"/>
  <c r="U686" i="1"/>
  <c r="W686" i="1"/>
  <c r="X686" i="1" s="1"/>
  <c r="U687" i="1"/>
  <c r="W687" i="1"/>
  <c r="X687" i="1" s="1"/>
  <c r="U688" i="1"/>
  <c r="W688" i="1"/>
  <c r="X688" i="1" s="1"/>
  <c r="U689" i="1"/>
  <c r="W689" i="1"/>
  <c r="X689" i="1" s="1"/>
  <c r="U690" i="1"/>
  <c r="W690" i="1"/>
  <c r="X690" i="1" s="1"/>
  <c r="U691" i="1"/>
  <c r="W691" i="1"/>
  <c r="X691" i="1" s="1"/>
  <c r="U692" i="1"/>
  <c r="W692" i="1"/>
  <c r="X692" i="1" s="1"/>
  <c r="U693" i="1"/>
  <c r="W693" i="1"/>
  <c r="X693" i="1" s="1"/>
  <c r="U694" i="1"/>
  <c r="W694" i="1"/>
  <c r="X694" i="1" s="1"/>
  <c r="U695" i="1"/>
  <c r="W695" i="1"/>
  <c r="X695" i="1" s="1"/>
  <c r="U696" i="1"/>
  <c r="W696" i="1"/>
  <c r="X696" i="1" s="1"/>
  <c r="U697" i="1"/>
  <c r="W697" i="1"/>
  <c r="X697" i="1" s="1"/>
  <c r="U698" i="1"/>
  <c r="W698" i="1"/>
  <c r="X698" i="1" s="1"/>
  <c r="U699" i="1"/>
  <c r="W699" i="1"/>
  <c r="X699" i="1" s="1"/>
  <c r="U700" i="1"/>
  <c r="W700" i="1"/>
  <c r="X700" i="1" s="1"/>
  <c r="U701" i="1"/>
  <c r="W701" i="1"/>
  <c r="X701" i="1" s="1"/>
  <c r="U702" i="1"/>
  <c r="W702" i="1"/>
  <c r="X702" i="1" s="1"/>
  <c r="U703" i="1"/>
  <c r="W703" i="1"/>
  <c r="X703" i="1" s="1"/>
  <c r="U704" i="1"/>
  <c r="W704" i="1"/>
  <c r="X704" i="1" s="1"/>
  <c r="U705" i="1"/>
  <c r="W705" i="1"/>
  <c r="X705" i="1" s="1"/>
  <c r="U706" i="1"/>
  <c r="W706" i="1"/>
  <c r="X706" i="1" s="1"/>
  <c r="U707" i="1"/>
  <c r="W707" i="1"/>
  <c r="X707" i="1" s="1"/>
  <c r="U708" i="1"/>
  <c r="W708" i="1"/>
  <c r="X708" i="1" s="1"/>
  <c r="U709" i="1"/>
  <c r="W709" i="1"/>
  <c r="X709" i="1" s="1"/>
  <c r="U710" i="1"/>
  <c r="W710" i="1"/>
  <c r="X710" i="1" s="1"/>
  <c r="U711" i="1"/>
  <c r="W711" i="1"/>
  <c r="X711" i="1" s="1"/>
  <c r="U712" i="1"/>
  <c r="W712" i="1"/>
  <c r="X712" i="1" s="1"/>
  <c r="U713" i="1"/>
  <c r="W713" i="1"/>
  <c r="X713" i="1" s="1"/>
  <c r="U714" i="1"/>
  <c r="W714" i="1"/>
  <c r="X714" i="1" s="1"/>
  <c r="U715" i="1"/>
  <c r="W715" i="1"/>
  <c r="X715" i="1" s="1"/>
  <c r="U716" i="1"/>
  <c r="W716" i="1"/>
  <c r="X716" i="1" s="1"/>
  <c r="U717" i="1"/>
  <c r="W717" i="1"/>
  <c r="X717" i="1" s="1"/>
  <c r="U718" i="1"/>
  <c r="W718" i="1"/>
  <c r="X718" i="1" s="1"/>
  <c r="U719" i="1"/>
  <c r="W719" i="1"/>
  <c r="X719" i="1" s="1"/>
  <c r="U720" i="1"/>
  <c r="W720" i="1"/>
  <c r="X720" i="1" s="1"/>
  <c r="U721" i="1"/>
  <c r="W721" i="1"/>
  <c r="X721" i="1" s="1"/>
  <c r="U722" i="1"/>
  <c r="W722" i="1"/>
  <c r="X722" i="1" s="1"/>
  <c r="U723" i="1"/>
  <c r="W723" i="1"/>
  <c r="X723" i="1" s="1"/>
  <c r="U724" i="1"/>
  <c r="W724" i="1"/>
  <c r="X724" i="1" s="1"/>
  <c r="U725" i="1"/>
  <c r="W725" i="1"/>
  <c r="X725" i="1" s="1"/>
  <c r="U726" i="1"/>
  <c r="W726" i="1"/>
  <c r="X726" i="1" s="1"/>
  <c r="U727" i="1"/>
  <c r="W727" i="1"/>
  <c r="X727" i="1" s="1"/>
  <c r="U728" i="1"/>
  <c r="W728" i="1"/>
  <c r="X728" i="1" s="1"/>
  <c r="U729" i="1"/>
  <c r="W729" i="1"/>
  <c r="X729" i="1" s="1"/>
  <c r="U730" i="1"/>
  <c r="W730" i="1"/>
  <c r="X730" i="1" s="1"/>
  <c r="U731" i="1"/>
  <c r="W731" i="1"/>
  <c r="X731" i="1" s="1"/>
  <c r="U732" i="1"/>
  <c r="W732" i="1"/>
  <c r="X732" i="1" s="1"/>
  <c r="U733" i="1"/>
  <c r="W733" i="1"/>
  <c r="X733" i="1" s="1"/>
  <c r="U734" i="1"/>
  <c r="W734" i="1"/>
  <c r="X734" i="1" s="1"/>
  <c r="U735" i="1"/>
  <c r="W735" i="1"/>
  <c r="X735" i="1" s="1"/>
  <c r="U736" i="1"/>
  <c r="W736" i="1"/>
  <c r="X736" i="1" s="1"/>
  <c r="U737" i="1"/>
  <c r="W737" i="1"/>
  <c r="X737" i="1" s="1"/>
  <c r="U738" i="1"/>
  <c r="W738" i="1"/>
  <c r="X738" i="1" s="1"/>
  <c r="U739" i="1"/>
  <c r="W739" i="1"/>
  <c r="X739" i="1" s="1"/>
  <c r="U740" i="1"/>
  <c r="W740" i="1"/>
  <c r="X740" i="1" s="1"/>
  <c r="U741" i="1"/>
  <c r="W741" i="1"/>
  <c r="X741" i="1" s="1"/>
  <c r="U742" i="1"/>
  <c r="W742" i="1"/>
  <c r="X742" i="1" s="1"/>
  <c r="U743" i="1"/>
  <c r="W743" i="1"/>
  <c r="X743" i="1" s="1"/>
  <c r="U744" i="1"/>
  <c r="W744" i="1"/>
  <c r="X744" i="1" s="1"/>
  <c r="U745" i="1"/>
  <c r="W745" i="1"/>
  <c r="X745" i="1" s="1"/>
  <c r="U746" i="1"/>
  <c r="W746" i="1"/>
  <c r="X746" i="1" s="1"/>
  <c r="U747" i="1"/>
  <c r="W747" i="1"/>
  <c r="X747" i="1" s="1"/>
  <c r="U748" i="1"/>
  <c r="W748" i="1"/>
  <c r="X748" i="1" s="1"/>
  <c r="U749" i="1"/>
  <c r="W749" i="1"/>
  <c r="X749" i="1" s="1"/>
  <c r="U750" i="1"/>
  <c r="W750" i="1"/>
  <c r="X750" i="1" s="1"/>
  <c r="U751" i="1"/>
  <c r="W751" i="1"/>
  <c r="X751" i="1" s="1"/>
  <c r="U752" i="1"/>
  <c r="W752" i="1"/>
  <c r="X752" i="1" s="1"/>
  <c r="U753" i="1"/>
  <c r="W753" i="1"/>
  <c r="X753" i="1" s="1"/>
  <c r="U754" i="1"/>
  <c r="W754" i="1"/>
  <c r="X754" i="1" s="1"/>
  <c r="U755" i="1"/>
  <c r="W755" i="1"/>
  <c r="X755" i="1" s="1"/>
  <c r="U756" i="1"/>
  <c r="W756" i="1"/>
  <c r="X756" i="1" s="1"/>
  <c r="U757" i="1"/>
  <c r="W757" i="1"/>
  <c r="X757" i="1" s="1"/>
  <c r="U758" i="1"/>
  <c r="W758" i="1"/>
  <c r="X758" i="1" s="1"/>
  <c r="U759" i="1"/>
  <c r="W759" i="1"/>
  <c r="X759" i="1" s="1"/>
  <c r="U760" i="1"/>
  <c r="W760" i="1"/>
  <c r="X760" i="1" s="1"/>
  <c r="U761" i="1"/>
  <c r="W761" i="1"/>
  <c r="X761" i="1" s="1"/>
  <c r="U762" i="1"/>
  <c r="W762" i="1"/>
  <c r="X762" i="1" s="1"/>
  <c r="U763" i="1"/>
  <c r="W763" i="1"/>
  <c r="X763" i="1" s="1"/>
  <c r="U764" i="1"/>
  <c r="W764" i="1"/>
  <c r="X764" i="1" s="1"/>
  <c r="U765" i="1"/>
  <c r="W765" i="1"/>
  <c r="X765" i="1" s="1"/>
  <c r="U766" i="1"/>
  <c r="W766" i="1"/>
  <c r="X766" i="1" s="1"/>
  <c r="U767" i="1"/>
  <c r="W767" i="1"/>
  <c r="X767" i="1" s="1"/>
  <c r="U768" i="1"/>
  <c r="W768" i="1"/>
  <c r="X768" i="1" s="1"/>
  <c r="U769" i="1"/>
  <c r="W769" i="1"/>
  <c r="X769" i="1" s="1"/>
  <c r="U770" i="1"/>
  <c r="W770" i="1"/>
  <c r="X770" i="1" s="1"/>
  <c r="U771" i="1"/>
  <c r="W771" i="1"/>
  <c r="X771" i="1" s="1"/>
  <c r="U772" i="1"/>
  <c r="W772" i="1"/>
  <c r="X772" i="1" s="1"/>
  <c r="U773" i="1"/>
  <c r="W773" i="1"/>
  <c r="X773" i="1" s="1"/>
  <c r="U774" i="1"/>
  <c r="W774" i="1"/>
  <c r="X774" i="1" s="1"/>
  <c r="U775" i="1"/>
  <c r="W775" i="1"/>
  <c r="X775" i="1" s="1"/>
  <c r="U776" i="1"/>
  <c r="W776" i="1"/>
  <c r="X776" i="1" s="1"/>
  <c r="U777" i="1"/>
  <c r="W777" i="1"/>
  <c r="X777" i="1" s="1"/>
  <c r="U778" i="1"/>
  <c r="W778" i="1"/>
  <c r="X778" i="1" s="1"/>
  <c r="U779" i="1"/>
  <c r="W779" i="1"/>
  <c r="X779" i="1" s="1"/>
  <c r="U780" i="1"/>
  <c r="W780" i="1"/>
  <c r="X780" i="1" s="1"/>
  <c r="U781" i="1"/>
  <c r="W781" i="1"/>
  <c r="X781" i="1" s="1"/>
  <c r="U782" i="1"/>
  <c r="W782" i="1"/>
  <c r="X782" i="1" s="1"/>
  <c r="U783" i="1"/>
  <c r="W783" i="1"/>
  <c r="X783" i="1" s="1"/>
  <c r="U784" i="1"/>
  <c r="W784" i="1"/>
  <c r="X784" i="1" s="1"/>
  <c r="U785" i="1"/>
  <c r="W785" i="1"/>
  <c r="X785" i="1" s="1"/>
  <c r="U786" i="1"/>
  <c r="W786" i="1"/>
  <c r="X786" i="1" s="1"/>
  <c r="U787" i="1"/>
  <c r="W787" i="1"/>
  <c r="X787" i="1" s="1"/>
  <c r="U788" i="1"/>
  <c r="W788" i="1"/>
  <c r="X788" i="1" s="1"/>
  <c r="U789" i="1"/>
  <c r="W789" i="1"/>
  <c r="X789" i="1" s="1"/>
  <c r="U790" i="1"/>
  <c r="W790" i="1"/>
  <c r="X790" i="1" s="1"/>
  <c r="U791" i="1"/>
  <c r="W791" i="1"/>
  <c r="X791" i="1" s="1"/>
  <c r="U792" i="1"/>
  <c r="W792" i="1"/>
  <c r="X792" i="1" s="1"/>
  <c r="U793" i="1"/>
  <c r="W793" i="1"/>
  <c r="X793" i="1" s="1"/>
  <c r="U794" i="1"/>
  <c r="W794" i="1"/>
  <c r="X794" i="1" s="1"/>
  <c r="U795" i="1"/>
  <c r="W795" i="1"/>
  <c r="X795" i="1" s="1"/>
  <c r="U796" i="1"/>
  <c r="W796" i="1"/>
  <c r="X796" i="1" s="1"/>
  <c r="U797" i="1"/>
  <c r="W797" i="1"/>
  <c r="X797" i="1" s="1"/>
  <c r="U798" i="1"/>
  <c r="W798" i="1"/>
  <c r="X798" i="1" s="1"/>
  <c r="U799" i="1"/>
  <c r="W799" i="1"/>
  <c r="X799" i="1" s="1"/>
  <c r="U800" i="1"/>
  <c r="W800" i="1"/>
  <c r="X800" i="1" s="1"/>
  <c r="U801" i="1"/>
  <c r="W801" i="1"/>
  <c r="X801" i="1" s="1"/>
  <c r="U802" i="1"/>
  <c r="W802" i="1"/>
  <c r="X802" i="1" s="1"/>
  <c r="U803" i="1"/>
  <c r="W803" i="1"/>
  <c r="X803" i="1" s="1"/>
  <c r="U804" i="1"/>
  <c r="W804" i="1"/>
  <c r="X804" i="1" s="1"/>
  <c r="U805" i="1"/>
  <c r="W805" i="1"/>
  <c r="X805" i="1" s="1"/>
  <c r="U806" i="1"/>
  <c r="W806" i="1"/>
  <c r="X806" i="1" s="1"/>
  <c r="U807" i="1"/>
  <c r="W807" i="1"/>
  <c r="X807" i="1" s="1"/>
  <c r="U808" i="1"/>
  <c r="W808" i="1"/>
  <c r="X808" i="1" s="1"/>
  <c r="U809" i="1"/>
  <c r="W809" i="1"/>
  <c r="X809" i="1" s="1"/>
  <c r="U810" i="1"/>
  <c r="W810" i="1"/>
  <c r="X810" i="1" s="1"/>
  <c r="U811" i="1"/>
  <c r="W811" i="1"/>
  <c r="X811" i="1" s="1"/>
  <c r="U812" i="1"/>
  <c r="W812" i="1"/>
  <c r="X812" i="1" s="1"/>
  <c r="U813" i="1"/>
  <c r="W813" i="1"/>
  <c r="X813" i="1" s="1"/>
  <c r="U814" i="1"/>
  <c r="W814" i="1"/>
  <c r="X814" i="1" s="1"/>
  <c r="U815" i="1"/>
  <c r="W815" i="1"/>
  <c r="X815" i="1" s="1"/>
  <c r="U816" i="1"/>
  <c r="W816" i="1"/>
  <c r="X816" i="1" s="1"/>
  <c r="U817" i="1"/>
  <c r="W817" i="1"/>
  <c r="X817" i="1" s="1"/>
  <c r="U818" i="1"/>
  <c r="W818" i="1"/>
  <c r="X818" i="1" s="1"/>
  <c r="U819" i="1"/>
  <c r="W819" i="1"/>
  <c r="X819" i="1" s="1"/>
  <c r="U820" i="1"/>
  <c r="W820" i="1"/>
  <c r="X820" i="1" s="1"/>
  <c r="U821" i="1"/>
  <c r="W821" i="1"/>
  <c r="X821" i="1" s="1"/>
  <c r="U822" i="1"/>
  <c r="W822" i="1"/>
  <c r="X822" i="1" s="1"/>
  <c r="U823" i="1"/>
  <c r="W823" i="1"/>
  <c r="X823" i="1" s="1"/>
  <c r="U824" i="1"/>
  <c r="W824" i="1"/>
  <c r="X824" i="1" s="1"/>
  <c r="U825" i="1"/>
  <c r="W825" i="1"/>
  <c r="X825" i="1" s="1"/>
  <c r="U826" i="1"/>
  <c r="W826" i="1"/>
  <c r="X826" i="1" s="1"/>
  <c r="U827" i="1"/>
  <c r="W827" i="1"/>
  <c r="X827" i="1" s="1"/>
  <c r="U828" i="1"/>
  <c r="W828" i="1"/>
  <c r="X828" i="1" s="1"/>
  <c r="U829" i="1"/>
  <c r="W829" i="1"/>
  <c r="X829" i="1" s="1"/>
  <c r="U830" i="1"/>
  <c r="W830" i="1"/>
  <c r="X830" i="1" s="1"/>
  <c r="U831" i="1"/>
  <c r="W831" i="1"/>
  <c r="X831" i="1" s="1"/>
  <c r="U832" i="1"/>
  <c r="W832" i="1"/>
  <c r="X832" i="1" s="1"/>
  <c r="U833" i="1"/>
  <c r="W833" i="1"/>
  <c r="X833" i="1" s="1"/>
  <c r="U834" i="1"/>
  <c r="W834" i="1"/>
  <c r="X834" i="1" s="1"/>
  <c r="U835" i="1"/>
  <c r="W835" i="1"/>
  <c r="X835" i="1" s="1"/>
  <c r="U836" i="1"/>
  <c r="W836" i="1"/>
  <c r="X836" i="1" s="1"/>
  <c r="U837" i="1"/>
  <c r="W837" i="1"/>
  <c r="X837" i="1" s="1"/>
  <c r="U838" i="1"/>
  <c r="W838" i="1"/>
  <c r="X838" i="1" s="1"/>
  <c r="U839" i="1"/>
  <c r="W839" i="1"/>
  <c r="X839" i="1" s="1"/>
  <c r="U840" i="1"/>
  <c r="W840" i="1"/>
  <c r="X840" i="1" s="1"/>
  <c r="U841" i="1"/>
  <c r="W841" i="1"/>
  <c r="X841" i="1" s="1"/>
  <c r="U842" i="1"/>
  <c r="W842" i="1"/>
  <c r="X842" i="1" s="1"/>
  <c r="U843" i="1"/>
  <c r="W843" i="1"/>
  <c r="X843" i="1" s="1"/>
  <c r="U844" i="1"/>
  <c r="W844" i="1"/>
  <c r="X844" i="1" s="1"/>
  <c r="U845" i="1"/>
  <c r="W845" i="1"/>
  <c r="X845" i="1" s="1"/>
  <c r="U846" i="1"/>
  <c r="W846" i="1"/>
  <c r="X846" i="1" s="1"/>
  <c r="U847" i="1"/>
  <c r="W847" i="1"/>
  <c r="X847" i="1" s="1"/>
  <c r="U848" i="1"/>
  <c r="W848" i="1"/>
  <c r="X848" i="1" s="1"/>
  <c r="U849" i="1"/>
  <c r="W849" i="1"/>
  <c r="X849" i="1" s="1"/>
  <c r="U850" i="1"/>
  <c r="W850" i="1"/>
  <c r="X850" i="1" s="1"/>
  <c r="U851" i="1"/>
  <c r="W851" i="1"/>
  <c r="X851" i="1" s="1"/>
  <c r="U852" i="1"/>
  <c r="W852" i="1"/>
  <c r="X852" i="1" s="1"/>
  <c r="U853" i="1"/>
  <c r="W853" i="1"/>
  <c r="X853" i="1" s="1"/>
  <c r="U854" i="1"/>
  <c r="W854" i="1"/>
  <c r="X854" i="1" s="1"/>
  <c r="U855" i="1"/>
  <c r="W855" i="1"/>
  <c r="X855" i="1" s="1"/>
  <c r="U856" i="1"/>
  <c r="W856" i="1"/>
  <c r="X856" i="1" s="1"/>
  <c r="U857" i="1"/>
  <c r="W857" i="1"/>
  <c r="X857" i="1" s="1"/>
  <c r="U858" i="1"/>
  <c r="W858" i="1"/>
  <c r="X858" i="1" s="1"/>
  <c r="U859" i="1"/>
  <c r="W859" i="1"/>
  <c r="X859" i="1" s="1"/>
  <c r="U860" i="1"/>
  <c r="W860" i="1"/>
  <c r="X860" i="1" s="1"/>
  <c r="U861" i="1"/>
  <c r="W861" i="1"/>
  <c r="X861" i="1" s="1"/>
  <c r="U862" i="1"/>
  <c r="W862" i="1"/>
  <c r="X862" i="1" s="1"/>
  <c r="U863" i="1"/>
  <c r="W863" i="1"/>
  <c r="X863" i="1" s="1"/>
  <c r="U864" i="1"/>
  <c r="W864" i="1"/>
  <c r="X864" i="1" s="1"/>
  <c r="U865" i="1"/>
  <c r="W865" i="1"/>
  <c r="X865" i="1" s="1"/>
  <c r="U866" i="1"/>
  <c r="W866" i="1"/>
  <c r="X866" i="1" s="1"/>
  <c r="U867" i="1"/>
  <c r="W867" i="1"/>
  <c r="X867" i="1" s="1"/>
  <c r="U868" i="1"/>
  <c r="W868" i="1"/>
  <c r="X868" i="1" s="1"/>
  <c r="U869" i="1"/>
  <c r="W869" i="1"/>
  <c r="X869" i="1" s="1"/>
  <c r="U870" i="1"/>
  <c r="W870" i="1"/>
  <c r="X870" i="1" s="1"/>
  <c r="U871" i="1"/>
  <c r="W871" i="1"/>
  <c r="X871" i="1" s="1"/>
  <c r="Y172" i="1" l="1"/>
  <c r="AA172" i="1" s="1"/>
  <c r="M20" i="9"/>
  <c r="Z79" i="1"/>
  <c r="Z816" i="1"/>
  <c r="Z812" i="1"/>
  <c r="Y83" i="1"/>
  <c r="AA83" i="1" s="1"/>
  <c r="Y163" i="1"/>
  <c r="AA163" i="1" s="1"/>
  <c r="Y736" i="1"/>
  <c r="AA736" i="1" s="1"/>
  <c r="Y101" i="1"/>
  <c r="AA101" i="1" s="1"/>
  <c r="Y90" i="1"/>
  <c r="AA90" i="1" s="1"/>
  <c r="Y153" i="1"/>
  <c r="AA153" i="1" s="1"/>
  <c r="Y112" i="1"/>
  <c r="AA112" i="1" s="1"/>
  <c r="Y792" i="1"/>
  <c r="AA792" i="1" s="1"/>
  <c r="Y768" i="1"/>
  <c r="AA768" i="1" s="1"/>
  <c r="Y688" i="1"/>
  <c r="AA688" i="1" s="1"/>
  <c r="Y362" i="1"/>
  <c r="AA362" i="1" s="1"/>
  <c r="Y77" i="1"/>
  <c r="AA77" i="1" s="1"/>
  <c r="Y588" i="1"/>
  <c r="AA588" i="1" s="1"/>
  <c r="Y108" i="1"/>
  <c r="AA108" i="1" s="1"/>
  <c r="Y482" i="1"/>
  <c r="AA482" i="1" s="1"/>
  <c r="Y798" i="1"/>
  <c r="AA798" i="1" s="1"/>
  <c r="Y726" i="1"/>
  <c r="AA726" i="1" s="1"/>
  <c r="Y718" i="1"/>
  <c r="AA718" i="1" s="1"/>
  <c r="Y710" i="1"/>
  <c r="AA710" i="1" s="1"/>
  <c r="Y626" i="1"/>
  <c r="AA626" i="1" s="1"/>
  <c r="Y618" i="1"/>
  <c r="AA618" i="1" s="1"/>
  <c r="Y602" i="1"/>
  <c r="AA602" i="1" s="1"/>
  <c r="Y352" i="1"/>
  <c r="AA352" i="1" s="1"/>
  <c r="Y361" i="1"/>
  <c r="AA361" i="1" s="1"/>
  <c r="Y211" i="1"/>
  <c r="AA211" i="1" s="1"/>
  <c r="Y188" i="1"/>
  <c r="AA188" i="1" s="1"/>
  <c r="Z53" i="1"/>
  <c r="Z351" i="1"/>
  <c r="Y816" i="1"/>
  <c r="AA816" i="1" s="1"/>
  <c r="Y811" i="1"/>
  <c r="AA811" i="1" s="1"/>
  <c r="Z764" i="1"/>
  <c r="Y733" i="1"/>
  <c r="AA733" i="1" s="1"/>
  <c r="Z732" i="1"/>
  <c r="Y620" i="1"/>
  <c r="AA620" i="1" s="1"/>
  <c r="Y130" i="1"/>
  <c r="AA130" i="1" s="1"/>
  <c r="Y122" i="1"/>
  <c r="AA122" i="1" s="1"/>
  <c r="Z567" i="1"/>
  <c r="Y548" i="1"/>
  <c r="AA548" i="1" s="1"/>
  <c r="Y486" i="1"/>
  <c r="AA486" i="1" s="1"/>
  <c r="Y424" i="1"/>
  <c r="AA424" i="1" s="1"/>
  <c r="Y423" i="1"/>
  <c r="AA423" i="1" s="1"/>
  <c r="Y371" i="1"/>
  <c r="AA371" i="1" s="1"/>
  <c r="Y871" i="1"/>
  <c r="AA871" i="1" s="1"/>
  <c r="Y763" i="1"/>
  <c r="AA763" i="1" s="1"/>
  <c r="Y731" i="1"/>
  <c r="AA731" i="1" s="1"/>
  <c r="Y581" i="1"/>
  <c r="AA581" i="1" s="1"/>
  <c r="Z38" i="1"/>
  <c r="Z209" i="1"/>
  <c r="Y863" i="1"/>
  <c r="AA863" i="1" s="1"/>
  <c r="Y847" i="1"/>
  <c r="AA847" i="1" s="1"/>
  <c r="Y839" i="1"/>
  <c r="AA839" i="1" s="1"/>
  <c r="Z780" i="1"/>
  <c r="Y55" i="1"/>
  <c r="AA55" i="1" s="1"/>
  <c r="Z332" i="1"/>
  <c r="Z308" i="1"/>
  <c r="Z46" i="1"/>
  <c r="Z315" i="1"/>
  <c r="Y674" i="1"/>
  <c r="AA674" i="1" s="1"/>
  <c r="Y610" i="1"/>
  <c r="AA610" i="1" s="1"/>
  <c r="Y604" i="1"/>
  <c r="AA604" i="1" s="1"/>
  <c r="Y138" i="1"/>
  <c r="AA138" i="1" s="1"/>
  <c r="Y567" i="1"/>
  <c r="AA567" i="1" s="1"/>
  <c r="Y88" i="1"/>
  <c r="AA88" i="1" s="1"/>
  <c r="Y86" i="1"/>
  <c r="AA86" i="1" s="1"/>
  <c r="Y533" i="1"/>
  <c r="AA533" i="1" s="1"/>
  <c r="Y483" i="1"/>
  <c r="AA483" i="1" s="1"/>
  <c r="Z483" i="1"/>
  <c r="Z482" i="1"/>
  <c r="Y418" i="1"/>
  <c r="AA418" i="1" s="1"/>
  <c r="Y261" i="1"/>
  <c r="AA261" i="1" s="1"/>
  <c r="Y452" i="1"/>
  <c r="AA452" i="1" s="1"/>
  <c r="Y434" i="1"/>
  <c r="AA434" i="1" s="1"/>
  <c r="Y402" i="1"/>
  <c r="AA402" i="1" s="1"/>
  <c r="Y384" i="1"/>
  <c r="AA384" i="1" s="1"/>
  <c r="Y54" i="1"/>
  <c r="AA54" i="1" s="1"/>
  <c r="Z54" i="1"/>
  <c r="Y832" i="1"/>
  <c r="AA832" i="1" s="1"/>
  <c r="Z814" i="1"/>
  <c r="Z800" i="1"/>
  <c r="Y766" i="1"/>
  <c r="AA766" i="1" s="1"/>
  <c r="Z838" i="1"/>
  <c r="Y814" i="1"/>
  <c r="AA814" i="1" s="1"/>
  <c r="Y800" i="1"/>
  <c r="AA800" i="1" s="1"/>
  <c r="Y765" i="1"/>
  <c r="AA765" i="1" s="1"/>
  <c r="Z688" i="1"/>
  <c r="Z684" i="1"/>
  <c r="Y682" i="1"/>
  <c r="AA682" i="1" s="1"/>
  <c r="Z681" i="1"/>
  <c r="Y652" i="1"/>
  <c r="AA652" i="1" s="1"/>
  <c r="Y143" i="1"/>
  <c r="AA143" i="1" s="1"/>
  <c r="Y117" i="1"/>
  <c r="AA117" i="1" s="1"/>
  <c r="Y99" i="1"/>
  <c r="AA99" i="1" s="1"/>
  <c r="Y513" i="1"/>
  <c r="AA513" i="1" s="1"/>
  <c r="Y411" i="1"/>
  <c r="AA411" i="1" s="1"/>
  <c r="Y405" i="1"/>
  <c r="AA405" i="1" s="1"/>
  <c r="Y376" i="1"/>
  <c r="AA376" i="1" s="1"/>
  <c r="Y345" i="1"/>
  <c r="AA345" i="1" s="1"/>
  <c r="Z335" i="1"/>
  <c r="Y333" i="1"/>
  <c r="AA333" i="1" s="1"/>
  <c r="Y837" i="1"/>
  <c r="AA837" i="1" s="1"/>
  <c r="Y829" i="1"/>
  <c r="AA829" i="1" s="1"/>
  <c r="Y693" i="1"/>
  <c r="AA693" i="1" s="1"/>
  <c r="Y111" i="1"/>
  <c r="AA111" i="1" s="1"/>
  <c r="Z107" i="1"/>
  <c r="Y104" i="1"/>
  <c r="AA104" i="1" s="1"/>
  <c r="Y488" i="1"/>
  <c r="AA488" i="1" s="1"/>
  <c r="Y388" i="1"/>
  <c r="AA388" i="1" s="1"/>
  <c r="Z382" i="1"/>
  <c r="Z270" i="1"/>
  <c r="Z253" i="1"/>
  <c r="Z806" i="1"/>
  <c r="Z796" i="1"/>
  <c r="Y784" i="1"/>
  <c r="AA784" i="1" s="1"/>
  <c r="Y781" i="1"/>
  <c r="AA781" i="1" s="1"/>
  <c r="Y758" i="1"/>
  <c r="AA758" i="1" s="1"/>
  <c r="Y750" i="1"/>
  <c r="AA750" i="1" s="1"/>
  <c r="Y742" i="1"/>
  <c r="AA742" i="1" s="1"/>
  <c r="Y728" i="1"/>
  <c r="AA728" i="1" s="1"/>
  <c r="Y650" i="1"/>
  <c r="AA650" i="1" s="1"/>
  <c r="Z648" i="1"/>
  <c r="Y646" i="1"/>
  <c r="AA646" i="1" s="1"/>
  <c r="Y642" i="1"/>
  <c r="AA642" i="1" s="1"/>
  <c r="Y636" i="1"/>
  <c r="AA636" i="1" s="1"/>
  <c r="Y634" i="1"/>
  <c r="AA634" i="1" s="1"/>
  <c r="Z167" i="1"/>
  <c r="Y165" i="1"/>
  <c r="AA165" i="1" s="1"/>
  <c r="Y161" i="1"/>
  <c r="AA161" i="1" s="1"/>
  <c r="Y134" i="1"/>
  <c r="AA134" i="1" s="1"/>
  <c r="Z126" i="1"/>
  <c r="Z574" i="1"/>
  <c r="Y556" i="1"/>
  <c r="AA556" i="1" s="1"/>
  <c r="Z555" i="1"/>
  <c r="Y433" i="1"/>
  <c r="AA433" i="1" s="1"/>
  <c r="Y844" i="1"/>
  <c r="AA844" i="1" s="1"/>
  <c r="Y790" i="1"/>
  <c r="AA790" i="1" s="1"/>
  <c r="Z784" i="1"/>
  <c r="Y734" i="1"/>
  <c r="AA734" i="1" s="1"/>
  <c r="Z734" i="1"/>
  <c r="Z716" i="1"/>
  <c r="Z708" i="1"/>
  <c r="Y683" i="1"/>
  <c r="AA683" i="1" s="1"/>
  <c r="Y869" i="1"/>
  <c r="AA869" i="1" s="1"/>
  <c r="Z855" i="1"/>
  <c r="Z852" i="1"/>
  <c r="Y823" i="1"/>
  <c r="AA823" i="1" s="1"/>
  <c r="Z798" i="1"/>
  <c r="Z779" i="1"/>
  <c r="Z766" i="1"/>
  <c r="Z763" i="1"/>
  <c r="Z756" i="1"/>
  <c r="Z748" i="1"/>
  <c r="Y666" i="1"/>
  <c r="AA666" i="1" s="1"/>
  <c r="Z664" i="1"/>
  <c r="Y662" i="1"/>
  <c r="AA662" i="1" s="1"/>
  <c r="Y658" i="1"/>
  <c r="AA658" i="1" s="1"/>
  <c r="Y594" i="1"/>
  <c r="AA594" i="1" s="1"/>
  <c r="Y157" i="1"/>
  <c r="AA157" i="1" s="1"/>
  <c r="Y151" i="1"/>
  <c r="AA151" i="1" s="1"/>
  <c r="Z149" i="1"/>
  <c r="Y148" i="1"/>
  <c r="AA148" i="1" s="1"/>
  <c r="Z139" i="1"/>
  <c r="Y113" i="1"/>
  <c r="AA113" i="1" s="1"/>
  <c r="Z112" i="1"/>
  <c r="Y94" i="1"/>
  <c r="AA94" i="1" s="1"/>
  <c r="Y549" i="1"/>
  <c r="AA549" i="1" s="1"/>
  <c r="Z88" i="1"/>
  <c r="Y545" i="1"/>
  <c r="AA545" i="1" s="1"/>
  <c r="Z85" i="1"/>
  <c r="Y543" i="1"/>
  <c r="AA543" i="1" s="1"/>
  <c r="Z536" i="1"/>
  <c r="Z535" i="1"/>
  <c r="Z523" i="1"/>
  <c r="Z518" i="1"/>
  <c r="Z860" i="1"/>
  <c r="Z844" i="1"/>
  <c r="Z827" i="1"/>
  <c r="Z790" i="1"/>
  <c r="Y739" i="1"/>
  <c r="AA739" i="1" s="1"/>
  <c r="Z144" i="1"/>
  <c r="Z134" i="1"/>
  <c r="Z118" i="1"/>
  <c r="Z99" i="1"/>
  <c r="Z532" i="1"/>
  <c r="Y505" i="1"/>
  <c r="AA505" i="1" s="1"/>
  <c r="Y497" i="1"/>
  <c r="AA497" i="1" s="1"/>
  <c r="Y494" i="1"/>
  <c r="AA494" i="1" s="1"/>
  <c r="Z476" i="1"/>
  <c r="Y73" i="1"/>
  <c r="AA73" i="1" s="1"/>
  <c r="Y470" i="1"/>
  <c r="AA470" i="1" s="1"/>
  <c r="Y467" i="1"/>
  <c r="AA467" i="1" s="1"/>
  <c r="Y464" i="1"/>
  <c r="AA464" i="1" s="1"/>
  <c r="Y462" i="1"/>
  <c r="AA462" i="1" s="1"/>
  <c r="Y176" i="1"/>
  <c r="AA176" i="1" s="1"/>
  <c r="Y421" i="1"/>
  <c r="AA421" i="1" s="1"/>
  <c r="Z371" i="1"/>
  <c r="Z366" i="1"/>
  <c r="Z52" i="1"/>
  <c r="Z343" i="1"/>
  <c r="Z340" i="1"/>
  <c r="Y338" i="1"/>
  <c r="AA338" i="1" s="1"/>
  <c r="Z324" i="1"/>
  <c r="Z305" i="1"/>
  <c r="Z287" i="1"/>
  <c r="Y284" i="1"/>
  <c r="AA284" i="1" s="1"/>
  <c r="Y252" i="1"/>
  <c r="AA252" i="1" s="1"/>
  <c r="Y248" i="1"/>
  <c r="AA248" i="1" s="1"/>
  <c r="Z347" i="1"/>
  <c r="Z328" i="1"/>
  <c r="Y319" i="1"/>
  <c r="AA319" i="1" s="1"/>
  <c r="Z50" i="1"/>
  <c r="Y41" i="1"/>
  <c r="AA41" i="1" s="1"/>
  <c r="Z278" i="1"/>
  <c r="Y28" i="1"/>
  <c r="AA28" i="1" s="1"/>
  <c r="Z230" i="1"/>
  <c r="Z27" i="1"/>
  <c r="Z228" i="1"/>
  <c r="Y22" i="1"/>
  <c r="AA22" i="1" s="1"/>
  <c r="Z203" i="1"/>
  <c r="Y202" i="1"/>
  <c r="AA202" i="1" s="1"/>
  <c r="Z186" i="1"/>
  <c r="Z184" i="1"/>
  <c r="Z512" i="1"/>
  <c r="Y503" i="1"/>
  <c r="AA503" i="1" s="1"/>
  <c r="Y502" i="1"/>
  <c r="AA502" i="1" s="1"/>
  <c r="Y499" i="1"/>
  <c r="AA499" i="1" s="1"/>
  <c r="Y498" i="1"/>
  <c r="AA498" i="1" s="1"/>
  <c r="Y489" i="1"/>
  <c r="AA489" i="1" s="1"/>
  <c r="Z488" i="1"/>
  <c r="Y475" i="1"/>
  <c r="AA475" i="1" s="1"/>
  <c r="Y471" i="1"/>
  <c r="AA471" i="1" s="1"/>
  <c r="Y72" i="1"/>
  <c r="AA72" i="1" s="1"/>
  <c r="Z71" i="1"/>
  <c r="Y466" i="1"/>
  <c r="AA466" i="1" s="1"/>
  <c r="Y69" i="1"/>
  <c r="AA69" i="1" s="1"/>
  <c r="Z465" i="1"/>
  <c r="Y460" i="1"/>
  <c r="AA460" i="1" s="1"/>
  <c r="Y459" i="1"/>
  <c r="AA459" i="1" s="1"/>
  <c r="Z458" i="1"/>
  <c r="Y66" i="1"/>
  <c r="AA66" i="1" s="1"/>
  <c r="Y456" i="1"/>
  <c r="AA456" i="1" s="1"/>
  <c r="Z180" i="1"/>
  <c r="Z64" i="1"/>
  <c r="Y449" i="1"/>
  <c r="AA449" i="1" s="1"/>
  <c r="Y440" i="1"/>
  <c r="AA440" i="1" s="1"/>
  <c r="Y439" i="1"/>
  <c r="AA439" i="1" s="1"/>
  <c r="Y427" i="1"/>
  <c r="AA427" i="1" s="1"/>
  <c r="Y399" i="1"/>
  <c r="AA399" i="1" s="1"/>
  <c r="Z389" i="1"/>
  <c r="Z374" i="1"/>
  <c r="Z359" i="1"/>
  <c r="Y327" i="1"/>
  <c r="AA327" i="1" s="1"/>
  <c r="Y322" i="1"/>
  <c r="AA322" i="1" s="1"/>
  <c r="Z256" i="1"/>
  <c r="Z34" i="1"/>
  <c r="Y239" i="1"/>
  <c r="AA239" i="1" s="1"/>
  <c r="Y234" i="1"/>
  <c r="AA234" i="1" s="1"/>
  <c r="Y227" i="1"/>
  <c r="AA227" i="1" s="1"/>
  <c r="Z192" i="1"/>
  <c r="Z190" i="1"/>
  <c r="Y301" i="1"/>
  <c r="AA301" i="1" s="1"/>
  <c r="Y288" i="1"/>
  <c r="AA288" i="1" s="1"/>
  <c r="Y282" i="1"/>
  <c r="AA282" i="1" s="1"/>
  <c r="Z286" i="1"/>
  <c r="Z272" i="1"/>
  <c r="Z294" i="1"/>
  <c r="Z303" i="1"/>
  <c r="Z276" i="1"/>
  <c r="Y258" i="1"/>
  <c r="AA258" i="1" s="1"/>
  <c r="Y255" i="1"/>
  <c r="AA255" i="1" s="1"/>
  <c r="Z260" i="1"/>
  <c r="Z245" i="1"/>
  <c r="Z254" i="1"/>
  <c r="Y231" i="1"/>
  <c r="AA231" i="1" s="1"/>
  <c r="Y220" i="1"/>
  <c r="AA220" i="1" s="1"/>
  <c r="Y19" i="1"/>
  <c r="AA19" i="1" s="1"/>
  <c r="Y216" i="1"/>
  <c r="AA216" i="1" s="1"/>
  <c r="Z234" i="1"/>
  <c r="Z222" i="1"/>
  <c r="Z221" i="1"/>
  <c r="Z16" i="1"/>
  <c r="Z237" i="1"/>
  <c r="Z839" i="1"/>
  <c r="Y838" i="1"/>
  <c r="AA838" i="1" s="1"/>
  <c r="Y834" i="1"/>
  <c r="AA834" i="1" s="1"/>
  <c r="Z826" i="1"/>
  <c r="Y825" i="1"/>
  <c r="AA825" i="1" s="1"/>
  <c r="Y821" i="1"/>
  <c r="AA821" i="1" s="1"/>
  <c r="Z818" i="1"/>
  <c r="Y805" i="1"/>
  <c r="AA805" i="1" s="1"/>
  <c r="Z802" i="1"/>
  <c r="Y795" i="1"/>
  <c r="AA795" i="1" s="1"/>
  <c r="Y789" i="1"/>
  <c r="AA789" i="1" s="1"/>
  <c r="Z786" i="1"/>
  <c r="Y771" i="1"/>
  <c r="AA771" i="1" s="1"/>
  <c r="Y760" i="1"/>
  <c r="AA760" i="1" s="1"/>
  <c r="Y757" i="1"/>
  <c r="AA757" i="1" s="1"/>
  <c r="Z750" i="1"/>
  <c r="Y747" i="1"/>
  <c r="AA747" i="1" s="1"/>
  <c r="Y744" i="1"/>
  <c r="AA744" i="1" s="1"/>
  <c r="Y723" i="1"/>
  <c r="AA723" i="1" s="1"/>
  <c r="Y720" i="1"/>
  <c r="AA720" i="1" s="1"/>
  <c r="Z710" i="1"/>
  <c r="Y707" i="1"/>
  <c r="AA707" i="1" s="1"/>
  <c r="Y704" i="1"/>
  <c r="AA704" i="1" s="1"/>
  <c r="Y699" i="1"/>
  <c r="AA699" i="1" s="1"/>
  <c r="Y696" i="1"/>
  <c r="AA696" i="1" s="1"/>
  <c r="Z683" i="1"/>
  <c r="Y678" i="1"/>
  <c r="AA678" i="1" s="1"/>
  <c r="Y670" i="1"/>
  <c r="AA670" i="1" s="1"/>
  <c r="Y654" i="1"/>
  <c r="AA654" i="1" s="1"/>
  <c r="Z653" i="1"/>
  <c r="Y638" i="1"/>
  <c r="AA638" i="1" s="1"/>
  <c r="Z637" i="1"/>
  <c r="Y622" i="1"/>
  <c r="AA622" i="1" s="1"/>
  <c r="Z621" i="1"/>
  <c r="Y606" i="1"/>
  <c r="AA606" i="1" s="1"/>
  <c r="Z605" i="1"/>
  <c r="Y590" i="1"/>
  <c r="AA590" i="1" s="1"/>
  <c r="Y170" i="1"/>
  <c r="AA170" i="1" s="1"/>
  <c r="Y136" i="1"/>
  <c r="AA136" i="1" s="1"/>
  <c r="Y120" i="1"/>
  <c r="AA120" i="1" s="1"/>
  <c r="Y585" i="1"/>
  <c r="AA585" i="1" s="1"/>
  <c r="Y96" i="1"/>
  <c r="AA96" i="1" s="1"/>
  <c r="Y91" i="1"/>
  <c r="AA91" i="1" s="1"/>
  <c r="Y527" i="1"/>
  <c r="AA527" i="1" s="1"/>
  <c r="Y861" i="1"/>
  <c r="AA861" i="1" s="1"/>
  <c r="Y858" i="1"/>
  <c r="AA858" i="1" s="1"/>
  <c r="Z848" i="1"/>
  <c r="Y845" i="1"/>
  <c r="AA845" i="1" s="1"/>
  <c r="Z841" i="1"/>
  <c r="Z836" i="1"/>
  <c r="Y808" i="1"/>
  <c r="AA808" i="1" s="1"/>
  <c r="Z804" i="1"/>
  <c r="Z792" i="1"/>
  <c r="Z772" i="1"/>
  <c r="Z726" i="1"/>
  <c r="Z724" i="1"/>
  <c r="Z702" i="1"/>
  <c r="Z692" i="1"/>
  <c r="Y664" i="1"/>
  <c r="AA664" i="1" s="1"/>
  <c r="Z662" i="1"/>
  <c r="Y660" i="1"/>
  <c r="AA660" i="1" s="1"/>
  <c r="Y656" i="1"/>
  <c r="AA656" i="1" s="1"/>
  <c r="Z655" i="1"/>
  <c r="Y648" i="1"/>
  <c r="AA648" i="1" s="1"/>
  <c r="Z646" i="1"/>
  <c r="Y644" i="1"/>
  <c r="AA644" i="1" s="1"/>
  <c r="Y640" i="1"/>
  <c r="AA640" i="1" s="1"/>
  <c r="Z639" i="1"/>
  <c r="Z630" i="1"/>
  <c r="Y628" i="1"/>
  <c r="AA628" i="1" s="1"/>
  <c r="Y624" i="1"/>
  <c r="AA624" i="1" s="1"/>
  <c r="Z623" i="1"/>
  <c r="Z614" i="1"/>
  <c r="Y612" i="1"/>
  <c r="AA612" i="1" s="1"/>
  <c r="Y608" i="1"/>
  <c r="AA608" i="1" s="1"/>
  <c r="Z607" i="1"/>
  <c r="Z598" i="1"/>
  <c r="Y596" i="1"/>
  <c r="AA596" i="1" s="1"/>
  <c r="Y592" i="1"/>
  <c r="AA592" i="1" s="1"/>
  <c r="Y587" i="1"/>
  <c r="AA587" i="1" s="1"/>
  <c r="Z170" i="1"/>
  <c r="Z108" i="1"/>
  <c r="Z97" i="1"/>
  <c r="Z560" i="1"/>
  <c r="Z870" i="1"/>
  <c r="Z857" i="1"/>
  <c r="Z854" i="1"/>
  <c r="Y866" i="1"/>
  <c r="AA866" i="1" s="1"/>
  <c r="Z862" i="1"/>
  <c r="Y842" i="1"/>
  <c r="AA842" i="1" s="1"/>
  <c r="Z842" i="1"/>
  <c r="Y830" i="1"/>
  <c r="AA830" i="1" s="1"/>
  <c r="Y824" i="1"/>
  <c r="AA824" i="1" s="1"/>
  <c r="Y822" i="1"/>
  <c r="AA822" i="1" s="1"/>
  <c r="Z820" i="1"/>
  <c r="Z808" i="1"/>
  <c r="Y806" i="1"/>
  <c r="AA806" i="1" s="1"/>
  <c r="Z788" i="1"/>
  <c r="Z868" i="1"/>
  <c r="Y860" i="1"/>
  <c r="AA860" i="1" s="1"/>
  <c r="Y854" i="1"/>
  <c r="AA854" i="1" s="1"/>
  <c r="Y853" i="1"/>
  <c r="AA853" i="1" s="1"/>
  <c r="Y850" i="1"/>
  <c r="AA850" i="1" s="1"/>
  <c r="Z846" i="1"/>
  <c r="Z828" i="1"/>
  <c r="Z825" i="1"/>
  <c r="Y819" i="1"/>
  <c r="AA819" i="1" s="1"/>
  <c r="Y813" i="1"/>
  <c r="AA813" i="1" s="1"/>
  <c r="Z810" i="1"/>
  <c r="Y803" i="1"/>
  <c r="AA803" i="1" s="1"/>
  <c r="Y797" i="1"/>
  <c r="AA797" i="1" s="1"/>
  <c r="Z794" i="1"/>
  <c r="Y787" i="1"/>
  <c r="AA787" i="1" s="1"/>
  <c r="Y782" i="1"/>
  <c r="AA782" i="1" s="1"/>
  <c r="Y776" i="1"/>
  <c r="AA776" i="1" s="1"/>
  <c r="Z769" i="1"/>
  <c r="Z758" i="1"/>
  <c r="Y755" i="1"/>
  <c r="AA755" i="1" s="1"/>
  <c r="Y752" i="1"/>
  <c r="AA752" i="1" s="1"/>
  <c r="Y749" i="1"/>
  <c r="AA749" i="1" s="1"/>
  <c r="Z742" i="1"/>
  <c r="Z740" i="1"/>
  <c r="Z718" i="1"/>
  <c r="Y715" i="1"/>
  <c r="AA715" i="1" s="1"/>
  <c r="Y712" i="1"/>
  <c r="AA712" i="1" s="1"/>
  <c r="Y701" i="1"/>
  <c r="AA701" i="1" s="1"/>
  <c r="Z700" i="1"/>
  <c r="Y694" i="1"/>
  <c r="AA694" i="1" s="1"/>
  <c r="Y691" i="1"/>
  <c r="AA691" i="1" s="1"/>
  <c r="Y686" i="1"/>
  <c r="AA686" i="1" s="1"/>
  <c r="Y685" i="1"/>
  <c r="AA685" i="1" s="1"/>
  <c r="Y679" i="1"/>
  <c r="AA679" i="1" s="1"/>
  <c r="Y635" i="1"/>
  <c r="AA635" i="1" s="1"/>
  <c r="Y633" i="1"/>
  <c r="AA633" i="1" s="1"/>
  <c r="Z632" i="1"/>
  <c r="Y619" i="1"/>
  <c r="AA619" i="1" s="1"/>
  <c r="Y617" i="1"/>
  <c r="AA617" i="1" s="1"/>
  <c r="Z616" i="1"/>
  <c r="Y603" i="1"/>
  <c r="AA603" i="1" s="1"/>
  <c r="Y601" i="1"/>
  <c r="AA601" i="1" s="1"/>
  <c r="Z600" i="1"/>
  <c r="Z587" i="1"/>
  <c r="Y171" i="1"/>
  <c r="AA171" i="1" s="1"/>
  <c r="Y145" i="1"/>
  <c r="AA145" i="1" s="1"/>
  <c r="Z135" i="1"/>
  <c r="Y128" i="1"/>
  <c r="AA128" i="1" s="1"/>
  <c r="Y125" i="1"/>
  <c r="AA125" i="1" s="1"/>
  <c r="Y100" i="1"/>
  <c r="AA100" i="1" s="1"/>
  <c r="Z572" i="1"/>
  <c r="Y555" i="1"/>
  <c r="AA555" i="1" s="1"/>
  <c r="Z552" i="1"/>
  <c r="Y395" i="1"/>
  <c r="AA395" i="1" s="1"/>
  <c r="Z169" i="1"/>
  <c r="Y155" i="1"/>
  <c r="AA155" i="1" s="1"/>
  <c r="Z141" i="1"/>
  <c r="Z132" i="1"/>
  <c r="Z124" i="1"/>
  <c r="Z121" i="1"/>
  <c r="Z110" i="1"/>
  <c r="Z104" i="1"/>
  <c r="Y586" i="1"/>
  <c r="AA586" i="1" s="1"/>
  <c r="Y580" i="1"/>
  <c r="AA580" i="1" s="1"/>
  <c r="Z579" i="1"/>
  <c r="Y576" i="1"/>
  <c r="AA576" i="1" s="1"/>
  <c r="Y572" i="1"/>
  <c r="AA572" i="1" s="1"/>
  <c r="Y563" i="1"/>
  <c r="AA563" i="1" s="1"/>
  <c r="Z558" i="1"/>
  <c r="Y541" i="1"/>
  <c r="AA541" i="1" s="1"/>
  <c r="Z538" i="1"/>
  <c r="Z527" i="1"/>
  <c r="Y519" i="1"/>
  <c r="AA519" i="1" s="1"/>
  <c r="Y506" i="1"/>
  <c r="AA506" i="1" s="1"/>
  <c r="Y495" i="1"/>
  <c r="AA495" i="1" s="1"/>
  <c r="Y492" i="1"/>
  <c r="AA492" i="1" s="1"/>
  <c r="Z490" i="1"/>
  <c r="Y485" i="1"/>
  <c r="AA485" i="1" s="1"/>
  <c r="Z485" i="1"/>
  <c r="Y455" i="1"/>
  <c r="AA455" i="1" s="1"/>
  <c r="Y454" i="1"/>
  <c r="AA454" i="1" s="1"/>
  <c r="Z362" i="1"/>
  <c r="Z261" i="1"/>
  <c r="Y476" i="1"/>
  <c r="AA476" i="1" s="1"/>
  <c r="Z471" i="1"/>
  <c r="Z466" i="1"/>
  <c r="Z460" i="1"/>
  <c r="Z66" i="1"/>
  <c r="Y441" i="1"/>
  <c r="AA441" i="1" s="1"/>
  <c r="Y435" i="1"/>
  <c r="AA435" i="1" s="1"/>
  <c r="Y432" i="1"/>
  <c r="AA432" i="1" s="1"/>
  <c r="Y431" i="1"/>
  <c r="AA431" i="1" s="1"/>
  <c r="Y426" i="1"/>
  <c r="AA426" i="1" s="1"/>
  <c r="Y413" i="1"/>
  <c r="AA413" i="1" s="1"/>
  <c r="Y407" i="1"/>
  <c r="AA407" i="1" s="1"/>
  <c r="Y394" i="1"/>
  <c r="AA394" i="1" s="1"/>
  <c r="Y46" i="1"/>
  <c r="AA46" i="1" s="1"/>
  <c r="Z307" i="1"/>
  <c r="Y15" i="1"/>
  <c r="AA15" i="1" s="1"/>
  <c r="Z520" i="1"/>
  <c r="Y448" i="1"/>
  <c r="AA448" i="1" s="1"/>
  <c r="Y443" i="1"/>
  <c r="AA443" i="1" s="1"/>
  <c r="Y420" i="1"/>
  <c r="AA420" i="1" s="1"/>
  <c r="Y59" i="1"/>
  <c r="AA59" i="1" s="1"/>
  <c r="Y412" i="1"/>
  <c r="AA412" i="1" s="1"/>
  <c r="Y406" i="1"/>
  <c r="AA406" i="1" s="1"/>
  <c r="Y403" i="1"/>
  <c r="AA403" i="1" s="1"/>
  <c r="Y396" i="1"/>
  <c r="AA396" i="1" s="1"/>
  <c r="Z331" i="1"/>
  <c r="Y223" i="1"/>
  <c r="AA223" i="1" s="1"/>
  <c r="Y159" i="1"/>
  <c r="AA159" i="1" s="1"/>
  <c r="Z152" i="1"/>
  <c r="Z147" i="1"/>
  <c r="Y146" i="1"/>
  <c r="AA146" i="1" s="1"/>
  <c r="Z142" i="1"/>
  <c r="Y141" i="1"/>
  <c r="AA141" i="1" s="1"/>
  <c r="Y132" i="1"/>
  <c r="AA132" i="1" s="1"/>
  <c r="Y124" i="1"/>
  <c r="AA124" i="1" s="1"/>
  <c r="Y106" i="1"/>
  <c r="AA106" i="1" s="1"/>
  <c r="Z105" i="1"/>
  <c r="Y103" i="1"/>
  <c r="AA103" i="1" s="1"/>
  <c r="Z100" i="1"/>
  <c r="Z586" i="1"/>
  <c r="Y579" i="1"/>
  <c r="AA579" i="1" s="1"/>
  <c r="Y578" i="1"/>
  <c r="AA578" i="1" s="1"/>
  <c r="Z576" i="1"/>
  <c r="Y570" i="1"/>
  <c r="AA570" i="1" s="1"/>
  <c r="Y568" i="1"/>
  <c r="AA568" i="1" s="1"/>
  <c r="Y562" i="1"/>
  <c r="AA562" i="1" s="1"/>
  <c r="Y560" i="1"/>
  <c r="AA560" i="1" s="1"/>
  <c r="Y552" i="1"/>
  <c r="AA552" i="1" s="1"/>
  <c r="Z546" i="1"/>
  <c r="Y540" i="1"/>
  <c r="AA540" i="1" s="1"/>
  <c r="Z530" i="1"/>
  <c r="Y81" i="1"/>
  <c r="AA81" i="1" s="1"/>
  <c r="Y516" i="1"/>
  <c r="AA516" i="1" s="1"/>
  <c r="Z509" i="1"/>
  <c r="Y496" i="1"/>
  <c r="AA496" i="1" s="1"/>
  <c r="Z489" i="1"/>
  <c r="Y484" i="1"/>
  <c r="AA484" i="1" s="1"/>
  <c r="Y480" i="1"/>
  <c r="AA480" i="1" s="1"/>
  <c r="Y453" i="1"/>
  <c r="AA453" i="1" s="1"/>
  <c r="Y479" i="1"/>
  <c r="AA479" i="1" s="1"/>
  <c r="Y477" i="1"/>
  <c r="AA477" i="1" s="1"/>
  <c r="Y474" i="1"/>
  <c r="AA474" i="1" s="1"/>
  <c r="Y62" i="1"/>
  <c r="AA62" i="1" s="1"/>
  <c r="Y447" i="1"/>
  <c r="AA447" i="1" s="1"/>
  <c r="Y61" i="1"/>
  <c r="AA61" i="1" s="1"/>
  <c r="Y442" i="1"/>
  <c r="AA442" i="1" s="1"/>
  <c r="Y425" i="1"/>
  <c r="AA425" i="1" s="1"/>
  <c r="Y419" i="1"/>
  <c r="AA419" i="1" s="1"/>
  <c r="Y181" i="1"/>
  <c r="AA181" i="1" s="1"/>
  <c r="Y414" i="1"/>
  <c r="AA414" i="1" s="1"/>
  <c r="Y401" i="1"/>
  <c r="AA401" i="1" s="1"/>
  <c r="Y393" i="1"/>
  <c r="AA393" i="1" s="1"/>
  <c r="Y391" i="1"/>
  <c r="AA391" i="1" s="1"/>
  <c r="Z379" i="1"/>
  <c r="Y377" i="1"/>
  <c r="AA377" i="1" s="1"/>
  <c r="Y270" i="1"/>
  <c r="AA270" i="1" s="1"/>
  <c r="Y264" i="1"/>
  <c r="AA264" i="1" s="1"/>
  <c r="Y366" i="1"/>
  <c r="AA366" i="1" s="1"/>
  <c r="Y363" i="1"/>
  <c r="AA363" i="1" s="1"/>
  <c r="Y360" i="1"/>
  <c r="AA360" i="1" s="1"/>
  <c r="Z319" i="1"/>
  <c r="Z314" i="1"/>
  <c r="Z41" i="1"/>
  <c r="Z298" i="1"/>
  <c r="Z295" i="1"/>
  <c r="Y294" i="1"/>
  <c r="AA294" i="1" s="1"/>
  <c r="Y286" i="1"/>
  <c r="AA286" i="1" s="1"/>
  <c r="Z283" i="1"/>
  <c r="Z174" i="1"/>
  <c r="Y251" i="1"/>
  <c r="AA251" i="1" s="1"/>
  <c r="Y35" i="1"/>
  <c r="AA35" i="1" s="1"/>
  <c r="Z239" i="1"/>
  <c r="Y31" i="1"/>
  <c r="AA31" i="1" s="1"/>
  <c r="Z30" i="1"/>
  <c r="Z28" i="1"/>
  <c r="Y228" i="1"/>
  <c r="AA228" i="1" s="1"/>
  <c r="Y224" i="1"/>
  <c r="AA224" i="1" s="1"/>
  <c r="Z224" i="1"/>
  <c r="Z21" i="1"/>
  <c r="Z220" i="1"/>
  <c r="Y215" i="1"/>
  <c r="AA215" i="1" s="1"/>
  <c r="Y214" i="1"/>
  <c r="AA214" i="1" s="1"/>
  <c r="Z213" i="1"/>
  <c r="Y205" i="1"/>
  <c r="AA205" i="1" s="1"/>
  <c r="Z188" i="1"/>
  <c r="Z187" i="1"/>
  <c r="Y57" i="1"/>
  <c r="AA57" i="1" s="1"/>
  <c r="Z387" i="1"/>
  <c r="Y385" i="1"/>
  <c r="AA385" i="1" s="1"/>
  <c r="Z380" i="1"/>
  <c r="Y379" i="1"/>
  <c r="AA379" i="1" s="1"/>
  <c r="Y56" i="1"/>
  <c r="AA56" i="1" s="1"/>
  <c r="Y368" i="1"/>
  <c r="AA368" i="1" s="1"/>
  <c r="Z364" i="1"/>
  <c r="Y350" i="1"/>
  <c r="AA350" i="1" s="1"/>
  <c r="Z346" i="1"/>
  <c r="Y339" i="1"/>
  <c r="AA339" i="1" s="1"/>
  <c r="Z339" i="1"/>
  <c r="Y331" i="1"/>
  <c r="AA331" i="1" s="1"/>
  <c r="Y325" i="1"/>
  <c r="AA325" i="1" s="1"/>
  <c r="Y323" i="1"/>
  <c r="AA323" i="1" s="1"/>
  <c r="Z316" i="1"/>
  <c r="Y314" i="1"/>
  <c r="AA314" i="1" s="1"/>
  <c r="Z311" i="1"/>
  <c r="Z51" i="1"/>
  <c r="Y49" i="1"/>
  <c r="AA49" i="1" s="1"/>
  <c r="Y307" i="1"/>
  <c r="AA307" i="1" s="1"/>
  <c r="Z306" i="1"/>
  <c r="Y305" i="1"/>
  <c r="AA305" i="1" s="1"/>
  <c r="Y302" i="1"/>
  <c r="AA302" i="1" s="1"/>
  <c r="Y300" i="1"/>
  <c r="AA300" i="1" s="1"/>
  <c r="Y295" i="1"/>
  <c r="AA295" i="1" s="1"/>
  <c r="Z290" i="1"/>
  <c r="Y272" i="1"/>
  <c r="AA272" i="1" s="1"/>
  <c r="Z264" i="1"/>
  <c r="Z258" i="1"/>
  <c r="Z249" i="1"/>
  <c r="Y241" i="1"/>
  <c r="AA241" i="1" s="1"/>
  <c r="Z232" i="1"/>
  <c r="Z226" i="1"/>
  <c r="Z20" i="1"/>
  <c r="Z15" i="1"/>
  <c r="Z212" i="1"/>
  <c r="Y177" i="1"/>
  <c r="AA177" i="1" s="1"/>
  <c r="Z12" i="1"/>
  <c r="Y190" i="1"/>
  <c r="AA190" i="1" s="1"/>
  <c r="Y381" i="1"/>
  <c r="AA381" i="1" s="1"/>
  <c r="Z375" i="1"/>
  <c r="Z367" i="1"/>
  <c r="Z357" i="1"/>
  <c r="Z345" i="1"/>
  <c r="Z327" i="1"/>
  <c r="Z325" i="1"/>
  <c r="Z323" i="1"/>
  <c r="Z322" i="1"/>
  <c r="Z321" i="1"/>
  <c r="Y308" i="1"/>
  <c r="AA308" i="1" s="1"/>
  <c r="Y306" i="1"/>
  <c r="AA306" i="1" s="1"/>
  <c r="Z42" i="1"/>
  <c r="Z39" i="1"/>
  <c r="Z302" i="1"/>
  <c r="Z301" i="1"/>
  <c r="Z300" i="1"/>
  <c r="Y292" i="1"/>
  <c r="AA292" i="1" s="1"/>
  <c r="Z291" i="1"/>
  <c r="Z282" i="1"/>
  <c r="Y280" i="1"/>
  <c r="AA280" i="1" s="1"/>
  <c r="Y276" i="1"/>
  <c r="AA276" i="1" s="1"/>
  <c r="Y174" i="1"/>
  <c r="AA174" i="1" s="1"/>
  <c r="Y266" i="1"/>
  <c r="AA266" i="1" s="1"/>
  <c r="Y262" i="1"/>
  <c r="AA262" i="1" s="1"/>
  <c r="Z242" i="1"/>
  <c r="Y36" i="1"/>
  <c r="AA36" i="1" s="1"/>
  <c r="Z36" i="1"/>
  <c r="Z35" i="1"/>
  <c r="Z31" i="1"/>
  <c r="Y229" i="1"/>
  <c r="AA229" i="1" s="1"/>
  <c r="Y25" i="1"/>
  <c r="AA25" i="1" s="1"/>
  <c r="Y21" i="1"/>
  <c r="AA21" i="1" s="1"/>
  <c r="Y219" i="1"/>
  <c r="AA219" i="1" s="1"/>
  <c r="Z215" i="1"/>
  <c r="Z214" i="1"/>
  <c r="Y213" i="1"/>
  <c r="AA213" i="1" s="1"/>
  <c r="Z191" i="1"/>
  <c r="Y187" i="1"/>
  <c r="AA187" i="1" s="1"/>
  <c r="Y856" i="1"/>
  <c r="AA856" i="1" s="1"/>
  <c r="Z871" i="1"/>
  <c r="Y870" i="1"/>
  <c r="AA870" i="1" s="1"/>
  <c r="Y868" i="1"/>
  <c r="AA868" i="1" s="1"/>
  <c r="Y865" i="1"/>
  <c r="AA865" i="1" s="1"/>
  <c r="Y864" i="1"/>
  <c r="AA864" i="1" s="1"/>
  <c r="Y859" i="1"/>
  <c r="AA859" i="1" s="1"/>
  <c r="Z856" i="1"/>
  <c r="Z850" i="1"/>
  <c r="Z849" i="1"/>
  <c r="Z847" i="1"/>
  <c r="Y846" i="1"/>
  <c r="AA846" i="1" s="1"/>
  <c r="Y836" i="1"/>
  <c r="AA836" i="1" s="1"/>
  <c r="Y833" i="1"/>
  <c r="AA833" i="1" s="1"/>
  <c r="Y831" i="1"/>
  <c r="AA831" i="1" s="1"/>
  <c r="Z824" i="1"/>
  <c r="Z819" i="1"/>
  <c r="Z817" i="1"/>
  <c r="Z811" i="1"/>
  <c r="Z809" i="1"/>
  <c r="Z803" i="1"/>
  <c r="Z801" i="1"/>
  <c r="Z795" i="1"/>
  <c r="Z793" i="1"/>
  <c r="Z787" i="1"/>
  <c r="Z785" i="1"/>
  <c r="Z782" i="1"/>
  <c r="Z777" i="1"/>
  <c r="Y773" i="1"/>
  <c r="AA773" i="1" s="1"/>
  <c r="Z832" i="1"/>
  <c r="Z822" i="1"/>
  <c r="Y779" i="1"/>
  <c r="AA779" i="1" s="1"/>
  <c r="Y741" i="1"/>
  <c r="AA741" i="1" s="1"/>
  <c r="Y725" i="1"/>
  <c r="AA725" i="1" s="1"/>
  <c r="Y709" i="1"/>
  <c r="AA709" i="1" s="1"/>
  <c r="Z864" i="1"/>
  <c r="Z858" i="1"/>
  <c r="Y855" i="1"/>
  <c r="AA855" i="1" s="1"/>
  <c r="Y840" i="1"/>
  <c r="AA840" i="1" s="1"/>
  <c r="Y827" i="1"/>
  <c r="AA827" i="1" s="1"/>
  <c r="Z866" i="1"/>
  <c r="Z865" i="1"/>
  <c r="Z863" i="1"/>
  <c r="Y862" i="1"/>
  <c r="AA862" i="1" s="1"/>
  <c r="Y852" i="1"/>
  <c r="AA852" i="1" s="1"/>
  <c r="Y848" i="1"/>
  <c r="AA848" i="1" s="1"/>
  <c r="Z840" i="1"/>
  <c r="Z834" i="1"/>
  <c r="Z833" i="1"/>
  <c r="Z830" i="1"/>
  <c r="Y817" i="1"/>
  <c r="AA817" i="1" s="1"/>
  <c r="Y815" i="1"/>
  <c r="AA815" i="1" s="1"/>
  <c r="Y809" i="1"/>
  <c r="AA809" i="1" s="1"/>
  <c r="Y807" i="1"/>
  <c r="AA807" i="1" s="1"/>
  <c r="Y801" i="1"/>
  <c r="AA801" i="1" s="1"/>
  <c r="Y799" i="1"/>
  <c r="AA799" i="1" s="1"/>
  <c r="Y793" i="1"/>
  <c r="AA793" i="1" s="1"/>
  <c r="Y791" i="1"/>
  <c r="AA791" i="1" s="1"/>
  <c r="Y785" i="1"/>
  <c r="AA785" i="1" s="1"/>
  <c r="Y783" i="1"/>
  <c r="AA783" i="1" s="1"/>
  <c r="Y774" i="1"/>
  <c r="AA774" i="1" s="1"/>
  <c r="Z774" i="1"/>
  <c r="Z771" i="1"/>
  <c r="Z761" i="1"/>
  <c r="Y717" i="1"/>
  <c r="AA717" i="1" s="1"/>
  <c r="Z778" i="1"/>
  <c r="Z776" i="1"/>
  <c r="Z770" i="1"/>
  <c r="Z768" i="1"/>
  <c r="Z762" i="1"/>
  <c r="Z760" i="1"/>
  <c r="Z754" i="1"/>
  <c r="Z752" i="1"/>
  <c r="Z746" i="1"/>
  <c r="Z744" i="1"/>
  <c r="Z738" i="1"/>
  <c r="Z736" i="1"/>
  <c r="Z730" i="1"/>
  <c r="Z728" i="1"/>
  <c r="Z722" i="1"/>
  <c r="Z720" i="1"/>
  <c r="Z714" i="1"/>
  <c r="Z712" i="1"/>
  <c r="Z706" i="1"/>
  <c r="Z704" i="1"/>
  <c r="Z699" i="1"/>
  <c r="Z697" i="1"/>
  <c r="Z694" i="1"/>
  <c r="Z682" i="1"/>
  <c r="Y681" i="1"/>
  <c r="AA681" i="1" s="1"/>
  <c r="Z680" i="1"/>
  <c r="Z663" i="1"/>
  <c r="Z661" i="1"/>
  <c r="Z656" i="1"/>
  <c r="Y655" i="1"/>
  <c r="AA655" i="1" s="1"/>
  <c r="Z654" i="1"/>
  <c r="Y653" i="1"/>
  <c r="AA653" i="1" s="1"/>
  <c r="Z647" i="1"/>
  <c r="Z645" i="1"/>
  <c r="Z640" i="1"/>
  <c r="Y639" i="1"/>
  <c r="AA639" i="1" s="1"/>
  <c r="Z638" i="1"/>
  <c r="Y637" i="1"/>
  <c r="AA637" i="1" s="1"/>
  <c r="Z631" i="1"/>
  <c r="Z629" i="1"/>
  <c r="Z624" i="1"/>
  <c r="Y623" i="1"/>
  <c r="AA623" i="1" s="1"/>
  <c r="Z622" i="1"/>
  <c r="Y621" i="1"/>
  <c r="AA621" i="1" s="1"/>
  <c r="Z615" i="1"/>
  <c r="Z613" i="1"/>
  <c r="Z608" i="1"/>
  <c r="Y607" i="1"/>
  <c r="AA607" i="1" s="1"/>
  <c r="Z606" i="1"/>
  <c r="Y605" i="1"/>
  <c r="AA605" i="1" s="1"/>
  <c r="Z599" i="1"/>
  <c r="Z597" i="1"/>
  <c r="Z592" i="1"/>
  <c r="Y591" i="1"/>
  <c r="AA591" i="1" s="1"/>
  <c r="Z590" i="1"/>
  <c r="Y589" i="1"/>
  <c r="AA589" i="1" s="1"/>
  <c r="Z164" i="1"/>
  <c r="Z162" i="1"/>
  <c r="Z161" i="1"/>
  <c r="Y160" i="1"/>
  <c r="AA160" i="1" s="1"/>
  <c r="Z159" i="1"/>
  <c r="Y158" i="1"/>
  <c r="AA158" i="1" s="1"/>
  <c r="Z157" i="1"/>
  <c r="Y156" i="1"/>
  <c r="AA156" i="1" s="1"/>
  <c r="Z155" i="1"/>
  <c r="Y154" i="1"/>
  <c r="AA154" i="1" s="1"/>
  <c r="Z150" i="1"/>
  <c r="Y149" i="1"/>
  <c r="AA149" i="1" s="1"/>
  <c r="Y139" i="1"/>
  <c r="AA139" i="1" s="1"/>
  <c r="Y133" i="1"/>
  <c r="AA133" i="1" s="1"/>
  <c r="Z129" i="1"/>
  <c r="Y123" i="1"/>
  <c r="AA123" i="1" s="1"/>
  <c r="Z119" i="1"/>
  <c r="Y118" i="1"/>
  <c r="AA118" i="1" s="1"/>
  <c r="Z98" i="1"/>
  <c r="Y574" i="1"/>
  <c r="AA574" i="1" s="1"/>
  <c r="Y93" i="1"/>
  <c r="AA93" i="1" s="1"/>
  <c r="Y566" i="1"/>
  <c r="AA566" i="1" s="1"/>
  <c r="Y89" i="1"/>
  <c r="AA89" i="1" s="1"/>
  <c r="Z755" i="1"/>
  <c r="Z753" i="1"/>
  <c r="Z747" i="1"/>
  <c r="Z745" i="1"/>
  <c r="Z739" i="1"/>
  <c r="Z737" i="1"/>
  <c r="Z731" i="1"/>
  <c r="Z729" i="1"/>
  <c r="Z723" i="1"/>
  <c r="Z721" i="1"/>
  <c r="Z715" i="1"/>
  <c r="Z713" i="1"/>
  <c r="Z707" i="1"/>
  <c r="Z705" i="1"/>
  <c r="Z690" i="1"/>
  <c r="Y689" i="1"/>
  <c r="AA689" i="1" s="1"/>
  <c r="Y687" i="1"/>
  <c r="AA687" i="1" s="1"/>
  <c r="Z678" i="1"/>
  <c r="Y677" i="1"/>
  <c r="AA677" i="1" s="1"/>
  <c r="Z676" i="1"/>
  <c r="Y675" i="1"/>
  <c r="AA675" i="1" s="1"/>
  <c r="Z674" i="1"/>
  <c r="Y673" i="1"/>
  <c r="AA673" i="1" s="1"/>
  <c r="Z672" i="1"/>
  <c r="Y671" i="1"/>
  <c r="AA671" i="1" s="1"/>
  <c r="Z670" i="1"/>
  <c r="Y669" i="1"/>
  <c r="AA669" i="1" s="1"/>
  <c r="Z668" i="1"/>
  <c r="Y667" i="1"/>
  <c r="AA667" i="1" s="1"/>
  <c r="Z666" i="1"/>
  <c r="Y665" i="1"/>
  <c r="AA665" i="1" s="1"/>
  <c r="Z659" i="1"/>
  <c r="Z657" i="1"/>
  <c r="Z652" i="1"/>
  <c r="Y651" i="1"/>
  <c r="AA651" i="1" s="1"/>
  <c r="Z650" i="1"/>
  <c r="Y649" i="1"/>
  <c r="AA649" i="1" s="1"/>
  <c r="Z643" i="1"/>
  <c r="Z641" i="1"/>
  <c r="Z636" i="1"/>
  <c r="Z634" i="1"/>
  <c r="Z627" i="1"/>
  <c r="Z625" i="1"/>
  <c r="Z620" i="1"/>
  <c r="Z618" i="1"/>
  <c r="Z611" i="1"/>
  <c r="Z609" i="1"/>
  <c r="Z604" i="1"/>
  <c r="Z602" i="1"/>
  <c r="Z595" i="1"/>
  <c r="Z593" i="1"/>
  <c r="Z591" i="1"/>
  <c r="Z589" i="1"/>
  <c r="Z588" i="1"/>
  <c r="Z171" i="1"/>
  <c r="Z160" i="1"/>
  <c r="Z158" i="1"/>
  <c r="Z156" i="1"/>
  <c r="Z154" i="1"/>
  <c r="Y105" i="1"/>
  <c r="AA105" i="1" s="1"/>
  <c r="Z581" i="1"/>
  <c r="Z96" i="1"/>
  <c r="Y573" i="1"/>
  <c r="AA573" i="1" s="1"/>
  <c r="Y697" i="1"/>
  <c r="AA697" i="1" s="1"/>
  <c r="Y695" i="1"/>
  <c r="AA695" i="1" s="1"/>
  <c r="Y663" i="1"/>
  <c r="AA663" i="1" s="1"/>
  <c r="Y661" i="1"/>
  <c r="AA661" i="1" s="1"/>
  <c r="Y647" i="1"/>
  <c r="AA647" i="1" s="1"/>
  <c r="Y645" i="1"/>
  <c r="AA645" i="1" s="1"/>
  <c r="Y631" i="1"/>
  <c r="AA631" i="1" s="1"/>
  <c r="Y629" i="1"/>
  <c r="AA629" i="1" s="1"/>
  <c r="Y615" i="1"/>
  <c r="AA615" i="1" s="1"/>
  <c r="Y613" i="1"/>
  <c r="AA613" i="1" s="1"/>
  <c r="Y599" i="1"/>
  <c r="AA599" i="1" s="1"/>
  <c r="Y597" i="1"/>
  <c r="AA597" i="1" s="1"/>
  <c r="Y168" i="1"/>
  <c r="AA168" i="1" s="1"/>
  <c r="Y166" i="1"/>
  <c r="AA166" i="1" s="1"/>
  <c r="Y777" i="1"/>
  <c r="AA777" i="1" s="1"/>
  <c r="Y775" i="1"/>
  <c r="AA775" i="1" s="1"/>
  <c r="Y769" i="1"/>
  <c r="AA769" i="1" s="1"/>
  <c r="Y767" i="1"/>
  <c r="AA767" i="1" s="1"/>
  <c r="Y761" i="1"/>
  <c r="AA761" i="1" s="1"/>
  <c r="Y759" i="1"/>
  <c r="AA759" i="1" s="1"/>
  <c r="Y753" i="1"/>
  <c r="AA753" i="1" s="1"/>
  <c r="Y751" i="1"/>
  <c r="AA751" i="1" s="1"/>
  <c r="Y745" i="1"/>
  <c r="AA745" i="1" s="1"/>
  <c r="Y743" i="1"/>
  <c r="AA743" i="1" s="1"/>
  <c r="Y737" i="1"/>
  <c r="AA737" i="1" s="1"/>
  <c r="Y735" i="1"/>
  <c r="AA735" i="1" s="1"/>
  <c r="Y729" i="1"/>
  <c r="AA729" i="1" s="1"/>
  <c r="Y727" i="1"/>
  <c r="AA727" i="1" s="1"/>
  <c r="Y721" i="1"/>
  <c r="AA721" i="1" s="1"/>
  <c r="Y719" i="1"/>
  <c r="AA719" i="1" s="1"/>
  <c r="Y713" i="1"/>
  <c r="AA713" i="1" s="1"/>
  <c r="Y711" i="1"/>
  <c r="AA711" i="1" s="1"/>
  <c r="Y705" i="1"/>
  <c r="AA705" i="1" s="1"/>
  <c r="Y703" i="1"/>
  <c r="AA703" i="1" s="1"/>
  <c r="Z698" i="1"/>
  <c r="Z696" i="1"/>
  <c r="Z691" i="1"/>
  <c r="Z689" i="1"/>
  <c r="Z686" i="1"/>
  <c r="Z679" i="1"/>
  <c r="Z677" i="1"/>
  <c r="Z675" i="1"/>
  <c r="Z673" i="1"/>
  <c r="Z671" i="1"/>
  <c r="Z669" i="1"/>
  <c r="Z667" i="1"/>
  <c r="Z665" i="1"/>
  <c r="Z660" i="1"/>
  <c r="Y659" i="1"/>
  <c r="AA659" i="1" s="1"/>
  <c r="Z658" i="1"/>
  <c r="Y657" i="1"/>
  <c r="AA657" i="1" s="1"/>
  <c r="Z651" i="1"/>
  <c r="Z649" i="1"/>
  <c r="Z644" i="1"/>
  <c r="Y643" i="1"/>
  <c r="AA643" i="1" s="1"/>
  <c r="Z642" i="1"/>
  <c r="Y641" i="1"/>
  <c r="AA641" i="1" s="1"/>
  <c r="Z635" i="1"/>
  <c r="Z633" i="1"/>
  <c r="Y632" i="1"/>
  <c r="AA632" i="1" s="1"/>
  <c r="Y630" i="1"/>
  <c r="AA630" i="1" s="1"/>
  <c r="Z628" i="1"/>
  <c r="Y627" i="1"/>
  <c r="AA627" i="1" s="1"/>
  <c r="Z626" i="1"/>
  <c r="Y625" i="1"/>
  <c r="AA625" i="1" s="1"/>
  <c r="Z619" i="1"/>
  <c r="Z617" i="1"/>
  <c r="Y616" i="1"/>
  <c r="AA616" i="1" s="1"/>
  <c r="Y614" i="1"/>
  <c r="AA614" i="1" s="1"/>
  <c r="Z612" i="1"/>
  <c r="Y611" i="1"/>
  <c r="AA611" i="1" s="1"/>
  <c r="Z610" i="1"/>
  <c r="Y609" i="1"/>
  <c r="AA609" i="1" s="1"/>
  <c r="Z603" i="1"/>
  <c r="Z601" i="1"/>
  <c r="Y600" i="1"/>
  <c r="AA600" i="1" s="1"/>
  <c r="Y598" i="1"/>
  <c r="AA598" i="1" s="1"/>
  <c r="Z596" i="1"/>
  <c r="Y595" i="1"/>
  <c r="AA595" i="1" s="1"/>
  <c r="Z594" i="1"/>
  <c r="Y593" i="1"/>
  <c r="AA593" i="1" s="1"/>
  <c r="Y169" i="1"/>
  <c r="AA169" i="1" s="1"/>
  <c r="Z168" i="1"/>
  <c r="Y167" i="1"/>
  <c r="AA167" i="1" s="1"/>
  <c r="Z166" i="1"/>
  <c r="Z165" i="1"/>
  <c r="Y164" i="1"/>
  <c r="AA164" i="1" s="1"/>
  <c r="Z163" i="1"/>
  <c r="Y162" i="1"/>
  <c r="AA162" i="1" s="1"/>
  <c r="Y147" i="1"/>
  <c r="AA147" i="1" s="1"/>
  <c r="Y140" i="1"/>
  <c r="AA140" i="1" s="1"/>
  <c r="Z137" i="1"/>
  <c r="Y131" i="1"/>
  <c r="AA131" i="1" s="1"/>
  <c r="Z127" i="1"/>
  <c r="Y126" i="1"/>
  <c r="AA126" i="1" s="1"/>
  <c r="Y116" i="1"/>
  <c r="AA116" i="1" s="1"/>
  <c r="Z102" i="1"/>
  <c r="Y583" i="1"/>
  <c r="AA583" i="1" s="1"/>
  <c r="Y561" i="1"/>
  <c r="AA561" i="1" s="1"/>
  <c r="Z91" i="1"/>
  <c r="Y553" i="1"/>
  <c r="AA553" i="1" s="1"/>
  <c r="Z547" i="1"/>
  <c r="Z86" i="1"/>
  <c r="Y85" i="1"/>
  <c r="AA85" i="1" s="1"/>
  <c r="Z153" i="1"/>
  <c r="Y152" i="1"/>
  <c r="AA152" i="1" s="1"/>
  <c r="Z151" i="1"/>
  <c r="Y150" i="1"/>
  <c r="AA150" i="1" s="1"/>
  <c r="Z140" i="1"/>
  <c r="Z138" i="1"/>
  <c r="Y137" i="1"/>
  <c r="AA137" i="1" s="1"/>
  <c r="Z136" i="1"/>
  <c r="Y135" i="1"/>
  <c r="AA135" i="1" s="1"/>
  <c r="Z125" i="1"/>
  <c r="Z123" i="1"/>
  <c r="Z122" i="1"/>
  <c r="Y121" i="1"/>
  <c r="AA121" i="1" s="1"/>
  <c r="Z120" i="1"/>
  <c r="Y119" i="1"/>
  <c r="AA119" i="1" s="1"/>
  <c r="Y115" i="1"/>
  <c r="AA115" i="1" s="1"/>
  <c r="Z106" i="1"/>
  <c r="Z583" i="1"/>
  <c r="Z582" i="1"/>
  <c r="Z580" i="1"/>
  <c r="Y97" i="1"/>
  <c r="AA97" i="1" s="1"/>
  <c r="Z95" i="1"/>
  <c r="Z568" i="1"/>
  <c r="Y92" i="1"/>
  <c r="AA92" i="1" s="1"/>
  <c r="Y565" i="1"/>
  <c r="AA565" i="1" s="1"/>
  <c r="Z562" i="1"/>
  <c r="Z556" i="1"/>
  <c r="Y554" i="1"/>
  <c r="AA554" i="1" s="1"/>
  <c r="Z89" i="1"/>
  <c r="Z551" i="1"/>
  <c r="Z549" i="1"/>
  <c r="Y547" i="1"/>
  <c r="AA547" i="1" s="1"/>
  <c r="Y542" i="1"/>
  <c r="AA542" i="1" s="1"/>
  <c r="Y534" i="1"/>
  <c r="AA534" i="1" s="1"/>
  <c r="Z529" i="1"/>
  <c r="Z528" i="1"/>
  <c r="Z83" i="1"/>
  <c r="Z522" i="1"/>
  <c r="Z82" i="1"/>
  <c r="Y80" i="1"/>
  <c r="AA80" i="1" s="1"/>
  <c r="Z516" i="1"/>
  <c r="Y78" i="1"/>
  <c r="AA78" i="1" s="1"/>
  <c r="Y500" i="1"/>
  <c r="AA500" i="1" s="1"/>
  <c r="Y76" i="1"/>
  <c r="AA76" i="1" s="1"/>
  <c r="Y75" i="1"/>
  <c r="AA75" i="1" s="1"/>
  <c r="Y473" i="1"/>
  <c r="AA473" i="1" s="1"/>
  <c r="Y74" i="1"/>
  <c r="AA74" i="1" s="1"/>
  <c r="Z525" i="1"/>
  <c r="Z453" i="1"/>
  <c r="Z148" i="1"/>
  <c r="Z146" i="1"/>
  <c r="Z145" i="1"/>
  <c r="Y144" i="1"/>
  <c r="AA144" i="1" s="1"/>
  <c r="Z143" i="1"/>
  <c r="Y142" i="1"/>
  <c r="AA142" i="1" s="1"/>
  <c r="Z133" i="1"/>
  <c r="Z131" i="1"/>
  <c r="Z130" i="1"/>
  <c r="Y129" i="1"/>
  <c r="AA129" i="1" s="1"/>
  <c r="Z128" i="1"/>
  <c r="Y127" i="1"/>
  <c r="AA127" i="1" s="1"/>
  <c r="Z117" i="1"/>
  <c r="Z116" i="1"/>
  <c r="Z115" i="1"/>
  <c r="Z113" i="1"/>
  <c r="Y110" i="1"/>
  <c r="AA110" i="1" s="1"/>
  <c r="Y102" i="1"/>
  <c r="AA102" i="1" s="1"/>
  <c r="Y98" i="1"/>
  <c r="AA98" i="1" s="1"/>
  <c r="Y577" i="1"/>
  <c r="AA577" i="1" s="1"/>
  <c r="Y95" i="1"/>
  <c r="AA95" i="1" s="1"/>
  <c r="Z570" i="1"/>
  <c r="Z569" i="1"/>
  <c r="Z94" i="1"/>
  <c r="Z566" i="1"/>
  <c r="Z565" i="1"/>
  <c r="Z563" i="1"/>
  <c r="Z554" i="1"/>
  <c r="Y551" i="1"/>
  <c r="AA551" i="1" s="1"/>
  <c r="Z545" i="1"/>
  <c r="Y538" i="1"/>
  <c r="AA538" i="1" s="1"/>
  <c r="Z537" i="1"/>
  <c r="Y525" i="1"/>
  <c r="AA525" i="1" s="1"/>
  <c r="Z519" i="1"/>
  <c r="Y511" i="1"/>
  <c r="AA511" i="1" s="1"/>
  <c r="Y274" i="1"/>
  <c r="AA274" i="1" s="1"/>
  <c r="Y472" i="1"/>
  <c r="AA472" i="1" s="1"/>
  <c r="Z361" i="1"/>
  <c r="Z77" i="1"/>
  <c r="Z479" i="1"/>
  <c r="Z75" i="1"/>
  <c r="Z74" i="1"/>
  <c r="Z470" i="1"/>
  <c r="Z468" i="1"/>
  <c r="Z464" i="1"/>
  <c r="Z68" i="1"/>
  <c r="Z67" i="1"/>
  <c r="Z65" i="1"/>
  <c r="Z176" i="1"/>
  <c r="Y450" i="1"/>
  <c r="AA450" i="1" s="1"/>
  <c r="Y445" i="1"/>
  <c r="AA445" i="1" s="1"/>
  <c r="Y437" i="1"/>
  <c r="AA437" i="1" s="1"/>
  <c r="Y429" i="1"/>
  <c r="AA429" i="1" s="1"/>
  <c r="Y416" i="1"/>
  <c r="AA416" i="1" s="1"/>
  <c r="Y409" i="1"/>
  <c r="AA409" i="1" s="1"/>
  <c r="Y58" i="1"/>
  <c r="AA58" i="1" s="1"/>
  <c r="Z388" i="1"/>
  <c r="Y383" i="1"/>
  <c r="AA383" i="1" s="1"/>
  <c r="Z376" i="1"/>
  <c r="Z480" i="1"/>
  <c r="Z454" i="1"/>
  <c r="Z275" i="1"/>
  <c r="Z478" i="1"/>
  <c r="Z386" i="1"/>
  <c r="Z385" i="1"/>
  <c r="Z384" i="1"/>
  <c r="Z383" i="1"/>
  <c r="Y372" i="1"/>
  <c r="AA372" i="1" s="1"/>
  <c r="Y365" i="1"/>
  <c r="AA365" i="1" s="1"/>
  <c r="Y354" i="1"/>
  <c r="AA354" i="1" s="1"/>
  <c r="Y343" i="1"/>
  <c r="AA343" i="1" s="1"/>
  <c r="Y335" i="1"/>
  <c r="AA335" i="1" s="1"/>
  <c r="Y468" i="1"/>
  <c r="AA468" i="1" s="1"/>
  <c r="Y70" i="1"/>
  <c r="AA70" i="1" s="1"/>
  <c r="Y68" i="1"/>
  <c r="AA68" i="1" s="1"/>
  <c r="Y461" i="1"/>
  <c r="AA461" i="1" s="1"/>
  <c r="Y67" i="1"/>
  <c r="AA67" i="1" s="1"/>
  <c r="Y65" i="1"/>
  <c r="AA65" i="1" s="1"/>
  <c r="Y178" i="1"/>
  <c r="AA178" i="1" s="1"/>
  <c r="Z534" i="1"/>
  <c r="Y532" i="1"/>
  <c r="AA532" i="1" s="1"/>
  <c r="Y530" i="1"/>
  <c r="AA530" i="1" s="1"/>
  <c r="Z84" i="1"/>
  <c r="Y526" i="1"/>
  <c r="AA526" i="1" s="1"/>
  <c r="Z81" i="1"/>
  <c r="Y79" i="1"/>
  <c r="AA79" i="1" s="1"/>
  <c r="Z521" i="1"/>
  <c r="Y517" i="1"/>
  <c r="AA517" i="1" s="1"/>
  <c r="Z511" i="1"/>
  <c r="Y509" i="1"/>
  <c r="AA509" i="1" s="1"/>
  <c r="Z508" i="1"/>
  <c r="Y493" i="1"/>
  <c r="AA493" i="1" s="1"/>
  <c r="Y491" i="1"/>
  <c r="AA491" i="1" s="1"/>
  <c r="Z487" i="1"/>
  <c r="Z455" i="1"/>
  <c r="Z76" i="1"/>
  <c r="Y478" i="1"/>
  <c r="AA478" i="1" s="1"/>
  <c r="Z474" i="1"/>
  <c r="Z73" i="1"/>
  <c r="Z467" i="1"/>
  <c r="Z462" i="1"/>
  <c r="Z57" i="1"/>
  <c r="Y311" i="1"/>
  <c r="AA311" i="1" s="1"/>
  <c r="Z373" i="1"/>
  <c r="Z370" i="1"/>
  <c r="Y369" i="1"/>
  <c r="AA369" i="1" s="1"/>
  <c r="Z363" i="1"/>
  <c r="Z360" i="1"/>
  <c r="Z356" i="1"/>
  <c r="Z349" i="1"/>
  <c r="Y348" i="1"/>
  <c r="AA348" i="1" s="1"/>
  <c r="Z344" i="1"/>
  <c r="Z341" i="1"/>
  <c r="Z338" i="1"/>
  <c r="Z337" i="1"/>
  <c r="Y317" i="1"/>
  <c r="AA317" i="1" s="1"/>
  <c r="Z312" i="1"/>
  <c r="Z309" i="1"/>
  <c r="Z49" i="1"/>
  <c r="Z48" i="1"/>
  <c r="Z296" i="1"/>
  <c r="Y290" i="1"/>
  <c r="AA290" i="1" s="1"/>
  <c r="Z284" i="1"/>
  <c r="Y279" i="1"/>
  <c r="AA279" i="1" s="1"/>
  <c r="Z269" i="1"/>
  <c r="Y557" i="1"/>
  <c r="AA557" i="1" s="1"/>
  <c r="Y254" i="1"/>
  <c r="AA254" i="1" s="1"/>
  <c r="Y32" i="1"/>
  <c r="AA32" i="1" s="1"/>
  <c r="Z350" i="1"/>
  <c r="Z348" i="1"/>
  <c r="Z320" i="1"/>
  <c r="Z317" i="1"/>
  <c r="Z313" i="1"/>
  <c r="Z304" i="1"/>
  <c r="Y50" i="1"/>
  <c r="AA50" i="1" s="1"/>
  <c r="Y44" i="1"/>
  <c r="AA44" i="1" s="1"/>
  <c r="Y298" i="1"/>
  <c r="AA298" i="1" s="1"/>
  <c r="Y267" i="1"/>
  <c r="AA267" i="1" s="1"/>
  <c r="Y253" i="1"/>
  <c r="AA253" i="1" s="1"/>
  <c r="Y250" i="1"/>
  <c r="AA250" i="1" s="1"/>
  <c r="Y29" i="1"/>
  <c r="AA29" i="1" s="1"/>
  <c r="Y358" i="1"/>
  <c r="AA358" i="1" s="1"/>
  <c r="Z358" i="1"/>
  <c r="Y355" i="1"/>
  <c r="AA355" i="1" s="1"/>
  <c r="Z355" i="1"/>
  <c r="Y353" i="1"/>
  <c r="AA353" i="1" s="1"/>
  <c r="Z353" i="1"/>
  <c r="Y346" i="1"/>
  <c r="AA346" i="1" s="1"/>
  <c r="Y341" i="1"/>
  <c r="AA341" i="1" s="1"/>
  <c r="Z336" i="1"/>
  <c r="Z333" i="1"/>
  <c r="Y330" i="1"/>
  <c r="AA330" i="1" s="1"/>
  <c r="Z330" i="1"/>
  <c r="Z329" i="1"/>
  <c r="Y315" i="1"/>
  <c r="AA315" i="1" s="1"/>
  <c r="Y309" i="1"/>
  <c r="AA309" i="1" s="1"/>
  <c r="Z47" i="1"/>
  <c r="Y45" i="1"/>
  <c r="AA45" i="1" s="1"/>
  <c r="Z45" i="1"/>
  <c r="Z44" i="1"/>
  <c r="Y42" i="1"/>
  <c r="AA42" i="1" s="1"/>
  <c r="Y39" i="1"/>
  <c r="AA39" i="1" s="1"/>
  <c r="Y299" i="1"/>
  <c r="AA299" i="1" s="1"/>
  <c r="Z299" i="1"/>
  <c r="Y296" i="1"/>
  <c r="AA296" i="1" s="1"/>
  <c r="Z292" i="1"/>
  <c r="Z288" i="1"/>
  <c r="Z285" i="1"/>
  <c r="Y283" i="1"/>
  <c r="AA283" i="1" s="1"/>
  <c r="Z271" i="1"/>
  <c r="Z268" i="1"/>
  <c r="Y265" i="1"/>
  <c r="AA265" i="1" s="1"/>
  <c r="Z265" i="1"/>
  <c r="Z262" i="1"/>
  <c r="Z255" i="1"/>
  <c r="Z248" i="1"/>
  <c r="Z247" i="1"/>
  <c r="Y242" i="1"/>
  <c r="AA242" i="1" s="1"/>
  <c r="Y37" i="1"/>
  <c r="AA37" i="1" s="1"/>
  <c r="Z240" i="1"/>
  <c r="Y221" i="1"/>
  <c r="AA221" i="1" s="1"/>
  <c r="Z207" i="1"/>
  <c r="Y201" i="1"/>
  <c r="AA201" i="1" s="1"/>
  <c r="Z14" i="1"/>
  <c r="Y196" i="1"/>
  <c r="AA196" i="1" s="1"/>
  <c r="Z194" i="1"/>
  <c r="Z279" i="1"/>
  <c r="Y278" i="1"/>
  <c r="AA278" i="1" s="1"/>
  <c r="Z173" i="1"/>
  <c r="Y268" i="1"/>
  <c r="AA268" i="1" s="1"/>
  <c r="Z266" i="1"/>
  <c r="Y260" i="1"/>
  <c r="AA260" i="1" s="1"/>
  <c r="Y256" i="1"/>
  <c r="AA256" i="1" s="1"/>
  <c r="Z252" i="1"/>
  <c r="Z251" i="1"/>
  <c r="Z250" i="1"/>
  <c r="Y245" i="1"/>
  <c r="AA245" i="1" s="1"/>
  <c r="Z241" i="1"/>
  <c r="Z37" i="1"/>
  <c r="Y34" i="1"/>
  <c r="AA34" i="1" s="1"/>
  <c r="Z33" i="1"/>
  <c r="Y237" i="1"/>
  <c r="AA237" i="1" s="1"/>
  <c r="Z236" i="1"/>
  <c r="Z32" i="1"/>
  <c r="Y230" i="1"/>
  <c r="AA230" i="1" s="1"/>
  <c r="Z25" i="1"/>
  <c r="Z23" i="1"/>
  <c r="Z218" i="1"/>
  <c r="Y217" i="1"/>
  <c r="AA217" i="1" s="1"/>
  <c r="Z19" i="1"/>
  <c r="Z18" i="1"/>
  <c r="Y17" i="1"/>
  <c r="AA17" i="1" s="1"/>
  <c r="Z216" i="1"/>
  <c r="Z210" i="1"/>
  <c r="Z201" i="1"/>
  <c r="Z198" i="1"/>
  <c r="Y195" i="1"/>
  <c r="AA195" i="1" s="1"/>
  <c r="Z195" i="1"/>
  <c r="Z189" i="1"/>
  <c r="Y26" i="1"/>
  <c r="AA26" i="1" s="1"/>
  <c r="Z280" i="1"/>
  <c r="Z267" i="1"/>
  <c r="Z175" i="1"/>
  <c r="Z257" i="1"/>
  <c r="Z557" i="1"/>
  <c r="Y249" i="1"/>
  <c r="AA249" i="1" s="1"/>
  <c r="Y247" i="1"/>
  <c r="AA247" i="1" s="1"/>
  <c r="Z246" i="1"/>
  <c r="Z243" i="1"/>
  <c r="Y30" i="1"/>
  <c r="AA30" i="1" s="1"/>
  <c r="Z235" i="1"/>
  <c r="Y232" i="1"/>
  <c r="AA232" i="1" s="1"/>
  <c r="Z231" i="1"/>
  <c r="Z29" i="1"/>
  <c r="Z26" i="1"/>
  <c r="Y226" i="1"/>
  <c r="AA226" i="1" s="1"/>
  <c r="Z24" i="1"/>
  <c r="Y23" i="1"/>
  <c r="AA23" i="1" s="1"/>
  <c r="Z22" i="1"/>
  <c r="Z219" i="1"/>
  <c r="Z217" i="1"/>
  <c r="Z17" i="1"/>
  <c r="Z177" i="1"/>
  <c r="Z205" i="1"/>
  <c r="Z200" i="1"/>
  <c r="Z199" i="1"/>
  <c r="Z196" i="1"/>
  <c r="Z185" i="1"/>
  <c r="Y184" i="1"/>
  <c r="AA184" i="1" s="1"/>
  <c r="Y207" i="1"/>
  <c r="AA207" i="1" s="1"/>
  <c r="Y209" i="1"/>
  <c r="AA209" i="1" s="1"/>
  <c r="Y206" i="1"/>
  <c r="AA206" i="1" s="1"/>
  <c r="Y210" i="1"/>
  <c r="AA210" i="1" s="1"/>
  <c r="Y203" i="1"/>
  <c r="AA203" i="1" s="1"/>
  <c r="Y199" i="1"/>
  <c r="AA199" i="1" s="1"/>
  <c r="Y198" i="1"/>
  <c r="AA198" i="1" s="1"/>
  <c r="Y14" i="1"/>
  <c r="AA14" i="1" s="1"/>
  <c r="Z197" i="1"/>
  <c r="Z208" i="1"/>
  <c r="Z206" i="1"/>
  <c r="Z204" i="1"/>
  <c r="Z202" i="1"/>
  <c r="Z13" i="1"/>
  <c r="Y12" i="1"/>
  <c r="AA12" i="1" s="1"/>
  <c r="Y194" i="1"/>
  <c r="AA194" i="1" s="1"/>
  <c r="Y193" i="1"/>
  <c r="AA193" i="1" s="1"/>
  <c r="Y192" i="1"/>
  <c r="AA192" i="1" s="1"/>
  <c r="Z193" i="1"/>
  <c r="Y186" i="1"/>
  <c r="AA186" i="1" s="1"/>
  <c r="Y867" i="1"/>
  <c r="AA867" i="1" s="1"/>
  <c r="Y841" i="1"/>
  <c r="AA841" i="1" s="1"/>
  <c r="Y849" i="1"/>
  <c r="AA849" i="1" s="1"/>
  <c r="Y835" i="1"/>
  <c r="AA835" i="1" s="1"/>
  <c r="Y843" i="1"/>
  <c r="AA843" i="1" s="1"/>
  <c r="Y857" i="1"/>
  <c r="AA857" i="1" s="1"/>
  <c r="Y851" i="1"/>
  <c r="AA851" i="1" s="1"/>
  <c r="Z869" i="1"/>
  <c r="Z861" i="1"/>
  <c r="Z853" i="1"/>
  <c r="Z845" i="1"/>
  <c r="Z837" i="1"/>
  <c r="Z829" i="1"/>
  <c r="Y826" i="1"/>
  <c r="AA826" i="1" s="1"/>
  <c r="Z821" i="1"/>
  <c r="Y818" i="1"/>
  <c r="AA818" i="1" s="1"/>
  <c r="Z813" i="1"/>
  <c r="Y810" i="1"/>
  <c r="AA810" i="1" s="1"/>
  <c r="Z805" i="1"/>
  <c r="Y802" i="1"/>
  <c r="AA802" i="1" s="1"/>
  <c r="Z797" i="1"/>
  <c r="Y794" i="1"/>
  <c r="AA794" i="1" s="1"/>
  <c r="Z789" i="1"/>
  <c r="Y786" i="1"/>
  <c r="AA786" i="1" s="1"/>
  <c r="Z781" i="1"/>
  <c r="Y778" i="1"/>
  <c r="AA778" i="1" s="1"/>
  <c r="Z773" i="1"/>
  <c r="Y770" i="1"/>
  <c r="AA770" i="1" s="1"/>
  <c r="Z765" i="1"/>
  <c r="Y762" i="1"/>
  <c r="AA762" i="1" s="1"/>
  <c r="Z757" i="1"/>
  <c r="Y754" i="1"/>
  <c r="AA754" i="1" s="1"/>
  <c r="Z749" i="1"/>
  <c r="Y746" i="1"/>
  <c r="AA746" i="1" s="1"/>
  <c r="Z741" i="1"/>
  <c r="Y738" i="1"/>
  <c r="AA738" i="1" s="1"/>
  <c r="Z733" i="1"/>
  <c r="Y730" i="1"/>
  <c r="AA730" i="1" s="1"/>
  <c r="Z725" i="1"/>
  <c r="Y722" i="1"/>
  <c r="AA722" i="1" s="1"/>
  <c r="Z717" i="1"/>
  <c r="Y714" i="1"/>
  <c r="AA714" i="1" s="1"/>
  <c r="Z709" i="1"/>
  <c r="Y706" i="1"/>
  <c r="AA706" i="1" s="1"/>
  <c r="Z701" i="1"/>
  <c r="Y698" i="1"/>
  <c r="AA698" i="1" s="1"/>
  <c r="Z693" i="1"/>
  <c r="Y690" i="1"/>
  <c r="AA690" i="1" s="1"/>
  <c r="Z685" i="1"/>
  <c r="Y584" i="1"/>
  <c r="AA584" i="1" s="1"/>
  <c r="Y582" i="1"/>
  <c r="AA582" i="1" s="1"/>
  <c r="Y564" i="1"/>
  <c r="AA564" i="1" s="1"/>
  <c r="Z564" i="1"/>
  <c r="Y559" i="1"/>
  <c r="AA559" i="1" s="1"/>
  <c r="Y558" i="1"/>
  <c r="AA558" i="1" s="1"/>
  <c r="Y501" i="1"/>
  <c r="AA501" i="1" s="1"/>
  <c r="Y487" i="1"/>
  <c r="AA487" i="1" s="1"/>
  <c r="Y275" i="1"/>
  <c r="AA275" i="1" s="1"/>
  <c r="Z867" i="1"/>
  <c r="Z859" i="1"/>
  <c r="Z851" i="1"/>
  <c r="Z843" i="1"/>
  <c r="Z835" i="1"/>
  <c r="Z831" i="1"/>
  <c r="Y828" i="1"/>
  <c r="AA828" i="1" s="1"/>
  <c r="Z823" i="1"/>
  <c r="Y820" i="1"/>
  <c r="AA820" i="1" s="1"/>
  <c r="Z815" i="1"/>
  <c r="Y812" i="1"/>
  <c r="AA812" i="1" s="1"/>
  <c r="Z807" i="1"/>
  <c r="Y804" i="1"/>
  <c r="AA804" i="1" s="1"/>
  <c r="Z799" i="1"/>
  <c r="Y796" i="1"/>
  <c r="AA796" i="1" s="1"/>
  <c r="Z791" i="1"/>
  <c r="Y788" i="1"/>
  <c r="AA788" i="1" s="1"/>
  <c r="Z783" i="1"/>
  <c r="Y780" i="1"/>
  <c r="AA780" i="1" s="1"/>
  <c r="Z775" i="1"/>
  <c r="Y772" i="1"/>
  <c r="AA772" i="1" s="1"/>
  <c r="Z767" i="1"/>
  <c r="Y764" i="1"/>
  <c r="AA764" i="1" s="1"/>
  <c r="Z759" i="1"/>
  <c r="Y756" i="1"/>
  <c r="AA756" i="1" s="1"/>
  <c r="Z751" i="1"/>
  <c r="Y748" i="1"/>
  <c r="AA748" i="1" s="1"/>
  <c r="Z743" i="1"/>
  <c r="Y740" i="1"/>
  <c r="AA740" i="1" s="1"/>
  <c r="Z735" i="1"/>
  <c r="Y732" i="1"/>
  <c r="AA732" i="1" s="1"/>
  <c r="Z727" i="1"/>
  <c r="Y724" i="1"/>
  <c r="AA724" i="1" s="1"/>
  <c r="Z719" i="1"/>
  <c r="Y716" i="1"/>
  <c r="AA716" i="1" s="1"/>
  <c r="Z711" i="1"/>
  <c r="Y708" i="1"/>
  <c r="AA708" i="1" s="1"/>
  <c r="Z703" i="1"/>
  <c r="Y700" i="1"/>
  <c r="AA700" i="1" s="1"/>
  <c r="Z695" i="1"/>
  <c r="Y692" i="1"/>
  <c r="AA692" i="1" s="1"/>
  <c r="Z687" i="1"/>
  <c r="Y684" i="1"/>
  <c r="AA684" i="1" s="1"/>
  <c r="Y680" i="1"/>
  <c r="AA680" i="1" s="1"/>
  <c r="Y676" i="1"/>
  <c r="AA676" i="1" s="1"/>
  <c r="Y672" i="1"/>
  <c r="AA672" i="1" s="1"/>
  <c r="Y668" i="1"/>
  <c r="AA668" i="1" s="1"/>
  <c r="Y702" i="1"/>
  <c r="AA702" i="1" s="1"/>
  <c r="Y114" i="1"/>
  <c r="AA114" i="1" s="1"/>
  <c r="Z114" i="1"/>
  <c r="Y109" i="1"/>
  <c r="AA109" i="1" s="1"/>
  <c r="Y107" i="1"/>
  <c r="AA107" i="1" s="1"/>
  <c r="Y575" i="1"/>
  <c r="AA575" i="1" s="1"/>
  <c r="Z575" i="1"/>
  <c r="Y571" i="1"/>
  <c r="AA571" i="1" s="1"/>
  <c r="Y569" i="1"/>
  <c r="AA569" i="1" s="1"/>
  <c r="Y550" i="1"/>
  <c r="AA550" i="1" s="1"/>
  <c r="Z550" i="1"/>
  <c r="Y87" i="1"/>
  <c r="AA87" i="1" s="1"/>
  <c r="Y546" i="1"/>
  <c r="AA546" i="1" s="1"/>
  <c r="Y536" i="1"/>
  <c r="AA536" i="1" s="1"/>
  <c r="Y529" i="1"/>
  <c r="AA529" i="1" s="1"/>
  <c r="Y522" i="1"/>
  <c r="AA522" i="1" s="1"/>
  <c r="Y520" i="1"/>
  <c r="AA520" i="1" s="1"/>
  <c r="Z111" i="1"/>
  <c r="Z103" i="1"/>
  <c r="Z585" i="1"/>
  <c r="Z578" i="1"/>
  <c r="Z573" i="1"/>
  <c r="Z93" i="1"/>
  <c r="Z561" i="1"/>
  <c r="Z548" i="1"/>
  <c r="Z539" i="1"/>
  <c r="Y535" i="1"/>
  <c r="AA535" i="1" s="1"/>
  <c r="Z531" i="1"/>
  <c r="Y528" i="1"/>
  <c r="AA528" i="1" s="1"/>
  <c r="Z524" i="1"/>
  <c r="Y82" i="1"/>
  <c r="AA82" i="1" s="1"/>
  <c r="Z182" i="1"/>
  <c r="Y518" i="1"/>
  <c r="AA518" i="1" s="1"/>
  <c r="Z515" i="1"/>
  <c r="Y512" i="1"/>
  <c r="AA512" i="1" s="1"/>
  <c r="Z510" i="1"/>
  <c r="Y507" i="1"/>
  <c r="AA507" i="1" s="1"/>
  <c r="Z109" i="1"/>
  <c r="Z101" i="1"/>
  <c r="Z584" i="1"/>
  <c r="Z577" i="1"/>
  <c r="Z571" i="1"/>
  <c r="Z92" i="1"/>
  <c r="Z559" i="1"/>
  <c r="Z90" i="1"/>
  <c r="Z87" i="1"/>
  <c r="Y537" i="1"/>
  <c r="AA537" i="1" s="1"/>
  <c r="Z533" i="1"/>
  <c r="Y84" i="1"/>
  <c r="AA84" i="1" s="1"/>
  <c r="Z526" i="1"/>
  <c r="Y523" i="1"/>
  <c r="AA523" i="1" s="1"/>
  <c r="Z80" i="1"/>
  <c r="Y521" i="1"/>
  <c r="AA521" i="1" s="1"/>
  <c r="Z517" i="1"/>
  <c r="Y514" i="1"/>
  <c r="AA514" i="1" s="1"/>
  <c r="Y508" i="1"/>
  <c r="AA508" i="1" s="1"/>
  <c r="Y504" i="1"/>
  <c r="AA504" i="1" s="1"/>
  <c r="Y490" i="1"/>
  <c r="AA490" i="1" s="1"/>
  <c r="Z486" i="1"/>
  <c r="Y481" i="1"/>
  <c r="AA481" i="1" s="1"/>
  <c r="Z481" i="1"/>
  <c r="Y179" i="1"/>
  <c r="AA179" i="1" s="1"/>
  <c r="Z274" i="1"/>
  <c r="Z469" i="1"/>
  <c r="Z463" i="1"/>
  <c r="Z457" i="1"/>
  <c r="Y539" i="1"/>
  <c r="AA539" i="1" s="1"/>
  <c r="Y531" i="1"/>
  <c r="AA531" i="1" s="1"/>
  <c r="Y524" i="1"/>
  <c r="AA524" i="1" s="1"/>
  <c r="Y182" i="1"/>
  <c r="AA182" i="1" s="1"/>
  <c r="Y515" i="1"/>
  <c r="AA515" i="1" s="1"/>
  <c r="Y510" i="1"/>
  <c r="AA510" i="1" s="1"/>
  <c r="Z477" i="1"/>
  <c r="Z72" i="1"/>
  <c r="Y469" i="1"/>
  <c r="AA469" i="1" s="1"/>
  <c r="Z69" i="1"/>
  <c r="Y463" i="1"/>
  <c r="AA463" i="1" s="1"/>
  <c r="Z459" i="1"/>
  <c r="Y457" i="1"/>
  <c r="AA457" i="1" s="1"/>
  <c r="Z456" i="1"/>
  <c r="Y63" i="1"/>
  <c r="AA63" i="1" s="1"/>
  <c r="Y444" i="1"/>
  <c r="AA444" i="1" s="1"/>
  <c r="Y436" i="1"/>
  <c r="AA436" i="1" s="1"/>
  <c r="Y428" i="1"/>
  <c r="AA428" i="1" s="1"/>
  <c r="Y422" i="1"/>
  <c r="AA422" i="1" s="1"/>
  <c r="Y415" i="1"/>
  <c r="AA415" i="1" s="1"/>
  <c r="Y408" i="1"/>
  <c r="AA408" i="1" s="1"/>
  <c r="Y404" i="1"/>
  <c r="AA404" i="1" s="1"/>
  <c r="Y390" i="1"/>
  <c r="AA390" i="1" s="1"/>
  <c r="Z381" i="1"/>
  <c r="Y378" i="1"/>
  <c r="AA378" i="1" s="1"/>
  <c r="Z378" i="1"/>
  <c r="Z55" i="1"/>
  <c r="Z365" i="1"/>
  <c r="Y11" i="1"/>
  <c r="AA11" i="1" s="1"/>
  <c r="Z11" i="1"/>
  <c r="Y269" i="1"/>
  <c r="AA269" i="1" s="1"/>
  <c r="Z484" i="1"/>
  <c r="Z418" i="1"/>
  <c r="Z211" i="1"/>
  <c r="Z475" i="1"/>
  <c r="Z473" i="1"/>
  <c r="Z472" i="1"/>
  <c r="Y71" i="1"/>
  <c r="AA71" i="1" s="1"/>
  <c r="Z70" i="1"/>
  <c r="Y465" i="1"/>
  <c r="AA465" i="1" s="1"/>
  <c r="Z461" i="1"/>
  <c r="Y458" i="1"/>
  <c r="AA458" i="1" s="1"/>
  <c r="Y180" i="1"/>
  <c r="AA180" i="1" s="1"/>
  <c r="Z178" i="1"/>
  <c r="Y64" i="1"/>
  <c r="AA64" i="1" s="1"/>
  <c r="Y451" i="1"/>
  <c r="AA451" i="1" s="1"/>
  <c r="Y446" i="1"/>
  <c r="AA446" i="1" s="1"/>
  <c r="Y438" i="1"/>
  <c r="AA438" i="1" s="1"/>
  <c r="Y430" i="1"/>
  <c r="AA430" i="1" s="1"/>
  <c r="Y60" i="1"/>
  <c r="AA60" i="1" s="1"/>
  <c r="Y417" i="1"/>
  <c r="AA417" i="1" s="1"/>
  <c r="Y410" i="1"/>
  <c r="AA410" i="1" s="1"/>
  <c r="Y397" i="1"/>
  <c r="AA397" i="1" s="1"/>
  <c r="Y386" i="1"/>
  <c r="AA386" i="1" s="1"/>
  <c r="Y373" i="1"/>
  <c r="AA373" i="1" s="1"/>
  <c r="Y367" i="1"/>
  <c r="AA367" i="1" s="1"/>
  <c r="Y356" i="1"/>
  <c r="AA356" i="1" s="1"/>
  <c r="Y281" i="1"/>
  <c r="AA281" i="1" s="1"/>
  <c r="Z281" i="1"/>
  <c r="Y398" i="1"/>
  <c r="AA398" i="1" s="1"/>
  <c r="Y387" i="1"/>
  <c r="AA387" i="1" s="1"/>
  <c r="Y380" i="1"/>
  <c r="AA380" i="1" s="1"/>
  <c r="Z56" i="1"/>
  <c r="Y374" i="1"/>
  <c r="AA374" i="1" s="1"/>
  <c r="Y370" i="1"/>
  <c r="AA370" i="1" s="1"/>
  <c r="Z368" i="1"/>
  <c r="Y364" i="1"/>
  <c r="AA364" i="1" s="1"/>
  <c r="Y357" i="1"/>
  <c r="AA357" i="1" s="1"/>
  <c r="Z352" i="1"/>
  <c r="Y349" i="1"/>
  <c r="AA349" i="1" s="1"/>
  <c r="Y342" i="1"/>
  <c r="AA342" i="1" s="1"/>
  <c r="Z342" i="1"/>
  <c r="Y334" i="1"/>
  <c r="AA334" i="1" s="1"/>
  <c r="Z334" i="1"/>
  <c r="Y326" i="1"/>
  <c r="AA326" i="1" s="1"/>
  <c r="Z326" i="1"/>
  <c r="Y318" i="1"/>
  <c r="AA318" i="1" s="1"/>
  <c r="Z318" i="1"/>
  <c r="Y310" i="1"/>
  <c r="AA310" i="1" s="1"/>
  <c r="Z310" i="1"/>
  <c r="Y400" i="1"/>
  <c r="AA400" i="1" s="1"/>
  <c r="Y392" i="1"/>
  <c r="AA392" i="1" s="1"/>
  <c r="Y389" i="1"/>
  <c r="AA389" i="1" s="1"/>
  <c r="Y382" i="1"/>
  <c r="AA382" i="1" s="1"/>
  <c r="Z377" i="1"/>
  <c r="Y375" i="1"/>
  <c r="AA375" i="1" s="1"/>
  <c r="Z372" i="1"/>
  <c r="Z369" i="1"/>
  <c r="Y53" i="1"/>
  <c r="AA53" i="1" s="1"/>
  <c r="Y52" i="1"/>
  <c r="AA52" i="1" s="1"/>
  <c r="Y359" i="1"/>
  <c r="AA359" i="1" s="1"/>
  <c r="Z354" i="1"/>
  <c r="Y351" i="1"/>
  <c r="AA351" i="1" s="1"/>
  <c r="Y337" i="1"/>
  <c r="AA337" i="1" s="1"/>
  <c r="Y329" i="1"/>
  <c r="AA329" i="1" s="1"/>
  <c r="Y321" i="1"/>
  <c r="AA321" i="1" s="1"/>
  <c r="Y313" i="1"/>
  <c r="AA313" i="1" s="1"/>
  <c r="Y48" i="1"/>
  <c r="AA48" i="1" s="1"/>
  <c r="Y297" i="1"/>
  <c r="AA297" i="1" s="1"/>
  <c r="Z297" i="1"/>
  <c r="Y285" i="1"/>
  <c r="AA285" i="1" s="1"/>
  <c r="Y236" i="1"/>
  <c r="AA236" i="1" s="1"/>
  <c r="Y43" i="1"/>
  <c r="AA43" i="1" s="1"/>
  <c r="Z43" i="1"/>
  <c r="Y304" i="1"/>
  <c r="AA304" i="1" s="1"/>
  <c r="Y293" i="1"/>
  <c r="AA293" i="1" s="1"/>
  <c r="Z293" i="1"/>
  <c r="Y291" i="1"/>
  <c r="AA291" i="1" s="1"/>
  <c r="Y277" i="1"/>
  <c r="AA277" i="1" s="1"/>
  <c r="Z277" i="1"/>
  <c r="Y173" i="1"/>
  <c r="AA173" i="1" s="1"/>
  <c r="Y263" i="1"/>
  <c r="AA263" i="1" s="1"/>
  <c r="Z263" i="1"/>
  <c r="Y175" i="1"/>
  <c r="AA175" i="1" s="1"/>
  <c r="Y243" i="1"/>
  <c r="AA243" i="1" s="1"/>
  <c r="Y347" i="1"/>
  <c r="AA347" i="1" s="1"/>
  <c r="Y344" i="1"/>
  <c r="AA344" i="1" s="1"/>
  <c r="Y340" i="1"/>
  <c r="AA340" i="1" s="1"/>
  <c r="Y336" i="1"/>
  <c r="AA336" i="1" s="1"/>
  <c r="Y332" i="1"/>
  <c r="AA332" i="1" s="1"/>
  <c r="Y328" i="1"/>
  <c r="AA328" i="1" s="1"/>
  <c r="Y324" i="1"/>
  <c r="AA324" i="1" s="1"/>
  <c r="Y320" i="1"/>
  <c r="AA320" i="1" s="1"/>
  <c r="Y316" i="1"/>
  <c r="AA316" i="1" s="1"/>
  <c r="Y312" i="1"/>
  <c r="AA312" i="1" s="1"/>
  <c r="Y51" i="1"/>
  <c r="AA51" i="1" s="1"/>
  <c r="Y47" i="1"/>
  <c r="AA47" i="1" s="1"/>
  <c r="Y40" i="1"/>
  <c r="AA40" i="1" s="1"/>
  <c r="Z40" i="1"/>
  <c r="Y303" i="1"/>
  <c r="AA303" i="1" s="1"/>
  <c r="Y289" i="1"/>
  <c r="AA289" i="1" s="1"/>
  <c r="Z289" i="1"/>
  <c r="Y287" i="1"/>
  <c r="AA287" i="1" s="1"/>
  <c r="Y273" i="1"/>
  <c r="AA273" i="1" s="1"/>
  <c r="Z273" i="1"/>
  <c r="Y271" i="1"/>
  <c r="AA271" i="1" s="1"/>
  <c r="Y259" i="1"/>
  <c r="AA259" i="1" s="1"/>
  <c r="Z259" i="1"/>
  <c r="Y257" i="1"/>
  <c r="AA257" i="1" s="1"/>
  <c r="Y225" i="1"/>
  <c r="AA225" i="1" s="1"/>
  <c r="Y33" i="1"/>
  <c r="AA33" i="1" s="1"/>
  <c r="Z238" i="1"/>
  <c r="Y235" i="1"/>
  <c r="AA235" i="1" s="1"/>
  <c r="Z233" i="1"/>
  <c r="Y27" i="1"/>
  <c r="AA27" i="1" s="1"/>
  <c r="Z229" i="1"/>
  <c r="Y185" i="1"/>
  <c r="AA185" i="1" s="1"/>
  <c r="Y246" i="1"/>
  <c r="AA246" i="1" s="1"/>
  <c r="Y38" i="1"/>
  <c r="AA38" i="1" s="1"/>
  <c r="Y240" i="1"/>
  <c r="AA240" i="1" s="1"/>
  <c r="Y238" i="1"/>
  <c r="AA238" i="1" s="1"/>
  <c r="Y233" i="1"/>
  <c r="AA233" i="1" s="1"/>
  <c r="Z227" i="1"/>
  <c r="Z223" i="1"/>
  <c r="Y24" i="1"/>
  <c r="AA24" i="1" s="1"/>
  <c r="Y20" i="1"/>
  <c r="AA20" i="1" s="1"/>
  <c r="Y218" i="1"/>
  <c r="AA218" i="1" s="1"/>
  <c r="Y18" i="1"/>
  <c r="AA18" i="1" s="1"/>
  <c r="Y16" i="1"/>
  <c r="AA16" i="1" s="1"/>
  <c r="Y212" i="1"/>
  <c r="AA212" i="1" s="1"/>
  <c r="Y208" i="1"/>
  <c r="AA208" i="1" s="1"/>
  <c r="Y204" i="1"/>
  <c r="AA204" i="1" s="1"/>
  <c r="Y200" i="1"/>
  <c r="AA200" i="1" s="1"/>
  <c r="Y13" i="1"/>
  <c r="AA13" i="1" s="1"/>
  <c r="Y189" i="1"/>
  <c r="AA189" i="1" s="1"/>
  <c r="Z225" i="1"/>
  <c r="Y222" i="1"/>
  <c r="AA222" i="1" s="1"/>
  <c r="Y197" i="1"/>
  <c r="AA197" i="1" s="1"/>
  <c r="Y191" i="1"/>
  <c r="AA191" i="1" s="1"/>
  <c r="U909" i="1" l="1"/>
  <c r="X909" i="1"/>
  <c r="W183" i="1"/>
  <c r="X183" i="1" s="1"/>
  <c r="W872" i="1"/>
  <c r="X872" i="1" s="1"/>
  <c r="W873" i="1"/>
  <c r="X873" i="1" s="1"/>
  <c r="W874" i="1"/>
  <c r="X874" i="1" s="1"/>
  <c r="W875" i="1"/>
  <c r="X875" i="1" s="1"/>
  <c r="W876" i="1"/>
  <c r="X876" i="1" s="1"/>
  <c r="W877" i="1"/>
  <c r="X877" i="1" s="1"/>
  <c r="W878" i="1"/>
  <c r="X878" i="1" s="1"/>
  <c r="W879" i="1"/>
  <c r="X879" i="1" s="1"/>
  <c r="W880" i="1"/>
  <c r="X880" i="1" s="1"/>
  <c r="W881" i="1"/>
  <c r="X881" i="1" s="1"/>
  <c r="W882" i="1"/>
  <c r="X882" i="1" s="1"/>
  <c r="W883" i="1"/>
  <c r="X883" i="1" s="1"/>
  <c r="W884" i="1"/>
  <c r="X884" i="1" s="1"/>
  <c r="W885" i="1"/>
  <c r="X885" i="1" s="1"/>
  <c r="W886" i="1"/>
  <c r="X886" i="1" s="1"/>
  <c r="W887" i="1"/>
  <c r="X887" i="1" s="1"/>
  <c r="W888" i="1"/>
  <c r="X888" i="1" s="1"/>
  <c r="W889" i="1"/>
  <c r="X889" i="1" s="1"/>
  <c r="W890" i="1"/>
  <c r="X890" i="1" s="1"/>
  <c r="W891" i="1"/>
  <c r="X891" i="1" s="1"/>
  <c r="W892" i="1"/>
  <c r="X892" i="1" s="1"/>
  <c r="W893" i="1"/>
  <c r="X893" i="1" s="1"/>
  <c r="W894" i="1"/>
  <c r="X894" i="1" s="1"/>
  <c r="W895" i="1"/>
  <c r="X895" i="1" s="1"/>
  <c r="W896" i="1"/>
  <c r="X896" i="1" s="1"/>
  <c r="W897" i="1"/>
  <c r="X897" i="1" s="1"/>
  <c r="W898" i="1"/>
  <c r="X898" i="1" s="1"/>
  <c r="W899" i="1"/>
  <c r="X899" i="1" s="1"/>
  <c r="W900" i="1"/>
  <c r="X900" i="1" s="1"/>
  <c r="W901" i="1"/>
  <c r="X901" i="1" s="1"/>
  <c r="W902" i="1"/>
  <c r="X902" i="1" s="1"/>
  <c r="W903" i="1"/>
  <c r="X903" i="1" s="1"/>
  <c r="W904" i="1"/>
  <c r="X904" i="1" s="1"/>
  <c r="W905" i="1"/>
  <c r="X905" i="1" s="1"/>
  <c r="W906" i="1"/>
  <c r="X906" i="1" s="1"/>
  <c r="W907" i="1"/>
  <c r="X907" i="1" s="1"/>
  <c r="W908" i="1"/>
  <c r="X908" i="1" s="1"/>
  <c r="T183" i="1"/>
  <c r="U183" i="1" s="1"/>
  <c r="U872" i="1"/>
  <c r="U873" i="1"/>
  <c r="U874" i="1"/>
  <c r="U875" i="1"/>
  <c r="U876" i="1"/>
  <c r="U877" i="1"/>
  <c r="U878" i="1"/>
  <c r="U879" i="1"/>
  <c r="U880" i="1"/>
  <c r="U881" i="1"/>
  <c r="U882" i="1"/>
  <c r="U883" i="1"/>
  <c r="U884" i="1"/>
  <c r="U885" i="1"/>
  <c r="U886" i="1"/>
  <c r="U887" i="1"/>
  <c r="U888" i="1"/>
  <c r="U889" i="1"/>
  <c r="U890" i="1"/>
  <c r="U891" i="1"/>
  <c r="U892" i="1"/>
  <c r="U893" i="1"/>
  <c r="U894" i="1"/>
  <c r="U895" i="1"/>
  <c r="U896" i="1"/>
  <c r="U897" i="1"/>
  <c r="U898" i="1"/>
  <c r="U899" i="1"/>
  <c r="U900" i="1"/>
  <c r="U901" i="1"/>
  <c r="U902" i="1"/>
  <c r="U903" i="1"/>
  <c r="U904" i="1"/>
  <c r="U905" i="1"/>
  <c r="U906" i="1"/>
  <c r="U907" i="1"/>
  <c r="U908" i="1"/>
  <c r="D37" i="6"/>
  <c r="G86" i="2"/>
  <c r="G76" i="2"/>
  <c r="G70" i="2"/>
  <c r="G51" i="2"/>
  <c r="G45" i="2"/>
  <c r="G32" i="2"/>
  <c r="Z909" i="1" l="1"/>
  <c r="Y880" i="1"/>
  <c r="AA880" i="1" s="1"/>
  <c r="Y908" i="1"/>
  <c r="AA908" i="1" s="1"/>
  <c r="Y904" i="1"/>
  <c r="AA904" i="1" s="1"/>
  <c r="Y900" i="1"/>
  <c r="AA900" i="1" s="1"/>
  <c r="Y896" i="1"/>
  <c r="AA896" i="1" s="1"/>
  <c r="Y892" i="1"/>
  <c r="AA892" i="1" s="1"/>
  <c r="Y888" i="1"/>
  <c r="AA888" i="1" s="1"/>
  <c r="Y872" i="1"/>
  <c r="AA872" i="1" s="1"/>
  <c r="Z891" i="1"/>
  <c r="Z875" i="1"/>
  <c r="Y906" i="1"/>
  <c r="AA906" i="1" s="1"/>
  <c r="Y902" i="1"/>
  <c r="AA902" i="1" s="1"/>
  <c r="Z907" i="1"/>
  <c r="Z903" i="1"/>
  <c r="Z895" i="1"/>
  <c r="Z905" i="1"/>
  <c r="Z889" i="1"/>
  <c r="Y903" i="1"/>
  <c r="AA903" i="1" s="1"/>
  <c r="Y183" i="1"/>
  <c r="AA183" i="1" s="1"/>
  <c r="Z892" i="1"/>
  <c r="Y890" i="1"/>
  <c r="AA890" i="1" s="1"/>
  <c r="Y886" i="1"/>
  <c r="AA886" i="1" s="1"/>
  <c r="Y882" i="1"/>
  <c r="AA882" i="1" s="1"/>
  <c r="Y874" i="1"/>
  <c r="AA874" i="1" s="1"/>
  <c r="Y897" i="1"/>
  <c r="AA897" i="1" s="1"/>
  <c r="Y893" i="1"/>
  <c r="AA893" i="1" s="1"/>
  <c r="Y881" i="1"/>
  <c r="AA881" i="1" s="1"/>
  <c r="Y877" i="1"/>
  <c r="AA877" i="1" s="1"/>
  <c r="Z885" i="1"/>
  <c r="Z881" i="1"/>
  <c r="Z877" i="1"/>
  <c r="Z873" i="1"/>
  <c r="Z908" i="1"/>
  <c r="Z900" i="1"/>
  <c r="Z896" i="1"/>
  <c r="Z886" i="1"/>
  <c r="Z878" i="1"/>
  <c r="Y884" i="1"/>
  <c r="AA884" i="1" s="1"/>
  <c r="Z876" i="1"/>
  <c r="Z898" i="1"/>
  <c r="Z874" i="1"/>
  <c r="Y876" i="1"/>
  <c r="AA876" i="1" s="1"/>
  <c r="Y899" i="1"/>
  <c r="AA899" i="1" s="1"/>
  <c r="Z902" i="1"/>
  <c r="Z884" i="1"/>
  <c r="Z880" i="1"/>
  <c r="Z894" i="1"/>
  <c r="Z890" i="1"/>
  <c r="Z901" i="1"/>
  <c r="Z897" i="1"/>
  <c r="Z893" i="1"/>
  <c r="Z887" i="1"/>
  <c r="Z883" i="1"/>
  <c r="Z879" i="1"/>
  <c r="Z882" i="1"/>
  <c r="Y905" i="1"/>
  <c r="AA905" i="1" s="1"/>
  <c r="Y873" i="1"/>
  <c r="AA873" i="1" s="1"/>
  <c r="Z904" i="1"/>
  <c r="Z888" i="1"/>
  <c r="Z872" i="1"/>
  <c r="Y907" i="1"/>
  <c r="AA907" i="1" s="1"/>
  <c r="Y885" i="1"/>
  <c r="AA885" i="1" s="1"/>
  <c r="Z906" i="1"/>
  <c r="Z899" i="1"/>
  <c r="Y901" i="1"/>
  <c r="AA901" i="1" s="1"/>
  <c r="Y898" i="1"/>
  <c r="AA898" i="1" s="1"/>
  <c r="Y883" i="1"/>
  <c r="AA883" i="1" s="1"/>
  <c r="Y909" i="1"/>
  <c r="AA909" i="1" s="1"/>
  <c r="Y889" i="1"/>
  <c r="AA889" i="1" s="1"/>
  <c r="Y895" i="1"/>
  <c r="AA895" i="1" s="1"/>
  <c r="Z183" i="1"/>
  <c r="Y894" i="1"/>
  <c r="AA894" i="1" s="1"/>
  <c r="Y891" i="1"/>
  <c r="AA891" i="1" s="1"/>
  <c r="Y878" i="1"/>
  <c r="AA878" i="1" s="1"/>
  <c r="Y875" i="1"/>
  <c r="AA875" i="1" s="1"/>
  <c r="Y887" i="1"/>
  <c r="AA887" i="1" s="1"/>
  <c r="Y879" i="1"/>
  <c r="AA879" i="1" s="1"/>
  <c r="O6" i="1"/>
  <c r="R6" i="1" l="1"/>
</calcChain>
</file>

<file path=xl/sharedStrings.xml><?xml version="1.0" encoding="utf-8"?>
<sst xmlns="http://schemas.openxmlformats.org/spreadsheetml/2006/main" count="8126" uniqueCount="942">
  <si>
    <t>PLAN ANUAL DE ADQUISICIONES 2024</t>
  </si>
  <si>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</si>
  <si>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</si>
  <si>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</si>
  <si>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</si>
  <si>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</si>
  <si>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</si>
  <si>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</si>
  <si>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</si>
  <si>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</si>
  <si>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</si>
  <si>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</si>
  <si>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</si>
  <si>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</si>
  <si>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</si>
  <si>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</si>
  <si>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</si>
  <si>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</si>
  <si>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</si>
  <si>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</si>
  <si>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</si>
  <si>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</si>
  <si>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</si>
  <si>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</si>
  <si>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</si>
  <si>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</si>
  <si>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</si>
  <si>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</si>
  <si>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</si>
  <si>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</si>
  <si>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</si>
  <si>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</si>
  <si>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</si>
  <si>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</si>
  <si>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</si>
  <si>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</si>
  <si>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</si>
  <si>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</si>
  <si>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</si>
  <si>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</si>
  <si>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</si>
  <si>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</si>
  <si>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</si>
  <si>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</si>
  <si>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</si>
  <si>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</si>
  <si>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</si>
  <si>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</si>
  <si>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</si>
  <si>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</si>
  <si>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</si>
  <si>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</si>
  <si>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</si>
  <si>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</si>
  <si>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</si>
  <si>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</si>
  <si>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</si>
  <si>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</si>
  <si>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</si>
  <si>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</si>
  <si>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</si>
  <si>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</si>
  <si>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</si>
  <si>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</si>
  <si>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</si>
  <si>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</si>
  <si>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</si>
  <si>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</si>
  <si>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</si>
  <si>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</si>
  <si>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</si>
  <si>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</si>
  <si>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</si>
  <si>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</si>
  <si>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</si>
  <si>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</si>
  <si>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</si>
  <si>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</si>
  <si>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</si>
  <si>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</si>
  <si>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</si>
  <si>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</si>
  <si>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</si>
  <si>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</si>
  <si>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</si>
  <si>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</si>
  <si>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</si>
  <si>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</si>
  <si>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</si>
  <si>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</si>
  <si>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</si>
  <si>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</si>
  <si>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</si>
  <si>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</si>
  <si>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</si>
  <si>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</si>
  <si>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</si>
  <si>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</si>
  <si>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</si>
  <si>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</si>
  <si>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</si>
  <si>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</si>
  <si>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</si>
  <si>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</si>
  <si>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</si>
  <si>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</si>
  <si>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</si>
  <si>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</si>
  <si>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</si>
  <si>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</si>
  <si>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</si>
  <si>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</si>
  <si>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</si>
  <si>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</si>
  <si>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</si>
  <si>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</si>
  <si>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</si>
  <si>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</si>
  <si>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</si>
  <si>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</si>
  <si>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</si>
  <si>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</si>
  <si>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</si>
  <si>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</si>
  <si>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</si>
  <si>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</si>
  <si>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</si>
  <si>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</si>
  <si>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</si>
  <si>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</si>
  <si>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</si>
  <si>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</si>
  <si>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</si>
  <si>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</si>
  <si>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</si>
  <si>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</si>
  <si>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</si>
  <si>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</si>
  <si>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</si>
  <si>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</si>
  <si>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</si>
  <si>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</si>
  <si>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</si>
  <si>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</si>
  <si>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</si>
  <si>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</si>
  <si>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</si>
  <si>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</si>
  <si>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</si>
  <si>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</si>
  <si>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</si>
  <si>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</si>
  <si>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</si>
  <si>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</si>
  <si>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</si>
  <si>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</si>
  <si>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</si>
  <si>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</si>
  <si>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</si>
  <si>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</si>
  <si>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</si>
  <si>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</si>
  <si>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</si>
  <si>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</si>
  <si>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</si>
  <si>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</si>
  <si>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</si>
  <si>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</si>
  <si>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</si>
  <si>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</si>
  <si>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</si>
  <si>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</si>
  <si>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</si>
  <si>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</si>
  <si>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</si>
  <si>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</si>
  <si>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</si>
  <si>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</si>
  <si>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</si>
  <si>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</si>
  <si>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</si>
  <si>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</si>
  <si>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</si>
  <si>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</si>
  <si>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</si>
  <si>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</si>
  <si>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</si>
  <si>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</si>
  <si>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</si>
  <si>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</si>
  <si>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</si>
  <si>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</si>
  <si>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</si>
  <si>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</si>
  <si>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</si>
  <si>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</si>
  <si>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</si>
  <si>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</si>
  <si>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</si>
  <si>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</si>
  <si>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</si>
  <si>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</si>
  <si>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</si>
  <si>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</si>
  <si>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</si>
  <si>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</si>
  <si>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</si>
  <si>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</si>
  <si>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</si>
  <si>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</si>
  <si>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</si>
  <si>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</si>
  <si>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</si>
  <si>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</si>
  <si>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</si>
  <si>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</si>
  <si>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</si>
  <si>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</si>
  <si>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</si>
  <si>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</si>
  <si>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</si>
  <si>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</si>
  <si>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</si>
  <si>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</si>
  <si>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</si>
  <si>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</si>
  <si>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</si>
  <si>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</si>
  <si>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</si>
  <si>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</si>
  <si>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</si>
  <si>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</si>
  <si>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</si>
  <si>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</si>
  <si>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</si>
  <si>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</si>
  <si>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</si>
  <si>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</si>
  <si>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</si>
  <si>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</si>
  <si>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</si>
  <si>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</si>
  <si>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</si>
  <si>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</si>
  <si>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</si>
  <si>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</si>
  <si>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</si>
  <si>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</si>
  <si>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</si>
  <si>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</si>
  <si>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</si>
  <si>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</si>
  <si>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</si>
  <si>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</si>
  <si>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</si>
  <si>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</si>
  <si>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</si>
  <si>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</si>
  <si>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</si>
  <si>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</si>
  <si>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</si>
  <si>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</si>
  <si>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</si>
  <si>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</si>
  <si>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</si>
  <si>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</si>
  <si>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</si>
  <si>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</si>
  <si>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</si>
  <si>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</si>
  <si>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</si>
  <si>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</si>
  <si>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</si>
  <si>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</si>
  <si>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</si>
  <si>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</si>
  <si>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</si>
  <si>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</si>
  <si>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</si>
  <si>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</si>
  <si>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</si>
  <si>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</si>
  <si>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</si>
  <si>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</si>
  <si>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</si>
  <si>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</si>
  <si>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</si>
  <si>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</si>
  <si>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</si>
  <si>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</si>
  <si>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</si>
  <si>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</si>
  <si>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</si>
  <si>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</si>
  <si>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</si>
  <si>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</si>
  <si>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</si>
  <si>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</si>
  <si>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</si>
  <si>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</si>
  <si>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</si>
  <si>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</si>
  <si>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</si>
  <si>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</si>
  <si>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</si>
  <si>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</si>
  <si>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</si>
  <si>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</si>
  <si>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</si>
  <si>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</si>
  <si>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</si>
  <si>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</si>
  <si>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</si>
  <si>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</si>
  <si>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</si>
  <si>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</si>
  <si>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</si>
  <si>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</si>
  <si>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</si>
  <si>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</si>
  <si>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</si>
  <si>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</si>
  <si>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</si>
  <si>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</si>
  <si>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</si>
  <si>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</si>
  <si>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</si>
  <si>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</si>
  <si>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</si>
  <si>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</si>
  <si>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</si>
  <si>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</si>
  <si>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</si>
  <si>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</si>
  <si>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</si>
  <si>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</si>
  <si>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</si>
  <si>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</si>
  <si>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</si>
  <si>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</si>
  <si>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</si>
  <si>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</si>
  <si>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</si>
  <si>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</si>
  <si>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</si>
  <si>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</si>
  <si>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</si>
  <si>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</si>
  <si>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</si>
  <si>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</si>
  <si>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</si>
  <si>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Yenire Lozano Ascanio</t>
  </si>
  <si>
    <t>Prestar servicios profesionales jurídicos especializados en la Oficina de Control Disciplinario Interno de la entidad  en la revisión de las decisiones disciplinarias y demás actuaciones adelantadas con ocasión a los procesos y asuntos a cargo.</t>
  </si>
  <si>
    <t>Prestar servicios profesionales como abogada en la Oficina de Control Disciplinario Interno de la entidad, apoyando juridicamente actuaciones contractuales, administrativas, y sustanciación en los procesos disciplinarios que le sean asignados.</t>
  </si>
  <si>
    <t>Prestar servicios profesionales jurídicos especializados en la Oficina de Control Disciplinario Interno de la entidad para apoyar la sustanciación, revisión y trámite de las actuaciones que deban adelantarse dentro de los procesos disciplinarios a cargo de esta oficina que se encuentren en etapa de instrucción</t>
  </si>
  <si>
    <t>Prestación de servicios profesionales jurídicos para apoyar la sustanciación, la práctica de diligencias y las demás actuaciones que se adelanten en los procesos disciplinarios que le sean asignados.</t>
  </si>
  <si>
    <t>Prestación de servicios profesionales jurídicos para apoyar la gestión de los procesos disciplinarios en etapa de instrucción que sean adelantados por la Oficina de Control Disciplinario Interno de la UAECOB.</t>
  </si>
  <si>
    <t>Prestación de servicios de apoyo técnico a la Oficina de Control Disciplinario Interno de la UAECOB en la gestión administrativa de las actuaciones que deban surtirse dentro de los procesos disciplinarios en etapa de instrucción.</t>
  </si>
  <si>
    <t>Prestación de servicios de apoyo a la gestión a la Oficina de Control Disciplinario Interno de la UAECOB para el cumplimiento de las funciones asignadas a esta dependencia, especialmente en aquellas de carácter administrativo y asistencial.</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</si>
  <si>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</si>
  <si>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</si>
  <si>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</si>
  <si>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</si>
  <si>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</si>
  <si>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</si>
  <si>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a la Dirección General en actividades de articulación interinstitucional entre las diferentes dependencias, entidades del sector, y demás que estén relacionadas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</si>
  <si>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</si>
  <si>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</si>
  <si>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</si>
  <si>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</si>
  <si>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</si>
  <si>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</si>
  <si>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</si>
  <si>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</si>
  <si>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</si>
  <si>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</si>
  <si>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</si>
  <si>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</si>
  <si>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Prestar apoyo en la Dirección, en asuntos de comunicaciones y prensa</t>
  </si>
  <si>
    <t>mas plazo ejec Días (si aplica)</t>
  </si>
  <si>
    <t>William Alfonso Tovar Segura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</si>
  <si>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</si>
  <si>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profesionales en los procesos de formacion y capacitacion de la subdirección de gestión del riesgo._SGR</t>
  </si>
  <si>
    <t xml:space="preserve">“Prestar servicios de apoyo en las actividades de Programas y Campañas de Prevención para la Subdirección de Gestión del Riesgo.  </t>
  </si>
  <si>
    <t>Prestar servicios de apoyo en las actividades de Programas y Campañas de Prevención para la Subdirección de Gestión del Riesgo._SGR</t>
  </si>
  <si>
    <t xml:space="preserve">Prestar sus servicios profesionales en los procesos de formación y capacitación de la Subdirección de Gestión del Riesgo para las acciones derivadas del campus virtual. _SGR. </t>
  </si>
  <si>
    <t>Adquisición de insumos y materias primas para la producción de impresos de artes gráficas_ SGR.</t>
  </si>
  <si>
    <t>“Adquisición de elementos de apoyo didáctico y pedagógico para actividades, programas y campañas requeridas en la Subdirección de Gestión del Riesgo_SGR”</t>
  </si>
  <si>
    <t>Adquisicion de EPP para el personal que participa en la atencion de emergencias, procesos logisticos  y/o para el apoyo en actividades de la SGR de la UAECOB</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</si>
  <si>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</si>
  <si>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</si>
  <si>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sus servicios profesionales en las actividades relacionadas con el seguimiento a la emision de conceptos a cargo de la Subdirección de Gestión del Riesgo._SGR</t>
  </si>
  <si>
    <t>Prestar servicios de apoyo a la gestion en las actividades de monitoreo del riesgo para la Subdirección de Gestión del Riesgo._SGR Analista</t>
  </si>
  <si>
    <t>Prestar servicios de apoyo a la gestion en las actividades de monitoreo del riesgo para la Subdirección de Gestión del Riesgo._SGR</t>
  </si>
  <si>
    <t>Prestar servicios de apoyo a la gestión en las actividades de soporte operacional de la UAECOB._SGR</t>
  </si>
  <si>
    <t xml:space="preserve"> PAGO PASIVO-Diseño y desarrollo de escenarios de realidad virtual para el proceso de capacitación y formación de la subdirección de gestión del riesgo_SGR, CONTRATO DE CONSULTORIA 685 de 2022. </t>
  </si>
  <si>
    <t>Contratar un servicio de acceso a la herramienta LMS E-learning, que permita el desarrollo de las capacitaciones virtuales programadas en la UAECOB._SGR</t>
  </si>
  <si>
    <t xml:space="preserve">Prestar  servicios profesionales en las actividades de proyeccion e innovacion para la Subdirección de Gestión del Riesgo._SGR </t>
  </si>
  <si>
    <t>Prestar sus servicios a la Subdirección de Gestión del Riesgo en las actividades de Caracterización y Análisis de Escenarios de Riesgo._SGR</t>
  </si>
  <si>
    <t>Prestar servicios profesionales en las actividades de ánalisis de información de escenarios a cargo de la subdirección de Gestión del Riesgo_SGR.</t>
  </si>
  <si>
    <t>Prestar servicios técnicos apoyando a la subdirección de gestión del riesgo para el desarrollo de los contenidos graficos, piezas comunicativas y de imagen institucional._SGR</t>
  </si>
  <si>
    <t>78121600
78131800
92111600
72141500</t>
  </si>
  <si>
    <t xml:space="preserve">ADICIÓN Y PRORROGA DEL CTO 198-2024-Cuyo objeto es, Prestar servicios profesionales en las actividades de proyeccion e innovacion para la Subdirección de Gestión del Riesgo._SGR </t>
  </si>
  <si>
    <t>Prestar servicios profesionales para la gestión de la SGR, en el desarrollo de actividades de planeación y gestión._SGR</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</si>
  <si>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</si>
  <si>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</si>
  <si>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</si>
  <si>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Prestación de servicios profesionales en el desarrollo de las actividades encaminadas al diseño de piezas comunicativas que se requiera en la implementación de las políticas del Modelo Integrado de Planeación y Gestión  MIPG que lidera la Oficina Asesora de Planeación.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</si>
  <si>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</si>
  <si>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</si>
  <si>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</si>
  <si>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encaminadas al sostenimiento y seguimiento del Programa de Transparencia y Ética Publica y a las que se designen en la implementación de la política fortalecimiento organizacional y simplificación de procesos del Modelo Integrado de Planeación y Gestión  MIPG que lidera la Oficina Asesora de Planeación.</t>
  </si>
  <si>
    <t>Prestación de servicios profesionales para gestionar las actividades de cooperación técnica internacional encaminadas a fortalecer e impulsar las metas de la entidad de acuerdo al Modelo Integrado de Planeación y Gestión  MIPG.</t>
  </si>
  <si>
    <t>Adición y prórroga al contrato 381 de 2024 cuyo objeto es:
"Prestar servicios de apoyo a la gestión para la ejecución de actividades asistenciales, administrativas y de gestión documental en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</si>
  <si>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</si>
  <si>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</si>
  <si>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Prestación de servicios profesionales para apoyar las actividades de cooperación técnica internacional y articulación interinstitucional encaminadas al desarrollo e implementación de los planes estratégicos e institucionales en el marco del Modelo Integrado de Planeación y Gestión  MIPG.</t>
  </si>
  <si>
    <t>Prestación de servicios profesionales conforme a las políticas de gestión y los lineamientos del Modelo Integrado de Planeación y Gestión -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</si>
  <si>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</si>
  <si>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</si>
  <si>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Prestación de servicios profesionales en el desarrollo de las actividades que se designen encaminadas a la implementación de las políticas de Planeación Institucional y Seguimiento y evaluación del desempeño institucional de las políticas del Modelo Integrado de Planeación y Gestión.</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</si>
  <si>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</si>
  <si>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</si>
  <si>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</si>
  <si>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Adición y prorroga del CTO 449 de 2023 cuyo objeto es Suministro de alimentación e hidratación para el cuerpo operativo en la atención de emergencias, entrenamientos, capacitaciones y actividades de prevención-SBLG</t>
  </si>
  <si>
    <t>Contratar el suministro de raciones para la atención de emergencias</t>
  </si>
  <si>
    <t>Suministrar repuestos, accesorios e insumos para los equipos menores  y transversales de propiedad de la UAECOB. – SBLG</t>
  </si>
  <si>
    <t xml:space="preserve">Adición al contrato 346 de 2023 cuyo objeto es Prestación de servicios médicos veterinarios, de hospitalización, con suministro de medicamentos e insumos veterinarios, para los caninos de la U.A.E. Cuerpo Oficial de Bomberos de Bogotá - SBLG	</t>
  </si>
  <si>
    <t>Suministro de aceites y lubricantes para los equipos de propiedad de la UAECOB.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</si>
  <si>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</si>
  <si>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 xml:space="preserve">Prestación de servicios profesionales en el seguimiento y gestión de los insumos y suministros a cargo de la subdirección logística garantizando la disponibilidad para la atención de emergencias SBLG </t>
  </si>
  <si>
    <t xml:space="preserve"> Prestar servicios profesionales en la formulación e implementación de estrategias de comunicación, capacitación y gestión administrativa que promueva el uso y apropiación de los programas desarrollados en cada una de las lineas de la  Subdirección Logística - SBLG</t>
  </si>
  <si>
    <t>Prestar servicios profesionales en la gestión administrativa, contractual y financiera del mantenimiento de los vehículos pertenecientes parque automotor de la Subdirección Logística - SBLG.</t>
  </si>
  <si>
    <t>Prestación de servicios de apoyo a la gestión para seguimiento y control admistrativos y financieros de los insumos, suministros y consumibles a cargo de la Subdirección logística.  - SBLG</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</si>
  <si>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</si>
  <si>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</si>
  <si>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</si>
  <si>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</si>
  <si>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</si>
  <si>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</si>
  <si>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Prestar servicios de apoyo a la gestión en el seguimiento y control de los suministros y consumibles garantizando la disponibilidad para la atención de emergencias  -SBLG.</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</si>
  <si>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</si>
  <si>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</si>
  <si>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 xml:space="preserve">Prestación de servicios profesionales a la gestión administrativa, financiera y documental para la atención del cuerpo uniformado a cargo de la Subdirección - SBGL. </t>
  </si>
  <si>
    <t>Prestar servicio de apoyo a la gestión para acompañar a la subdirección logística en el seguimiento técnico y administrativo del mantenimiento de los vehículos pertenecientes al parque automotor de la UAECOB.</t>
  </si>
  <si>
    <t>Prestación de servicios de apoyo a la gestión como  conductor para realizar el transporte de personas, materiales y alimentos de acuerdo a las necesidades e instrucciones de la Subdirección Logística</t>
  </si>
  <si>
    <t>Prestar servicios profesionales en las actividades administrativas y financieras que requieran los procesos de la Subdirección Logística- SBLG</t>
  </si>
  <si>
    <t>Prestación de servicio como conductor para apoyar en la gestión administrativa y logística de la Subdirección Logistica- SBLG.</t>
  </si>
  <si>
    <t>Prestación de servicios de apoyo a la gestión en el proceso de mantenimiento del equipo menor a cargo de la Subdirección Logística -SBLG-.</t>
  </si>
  <si>
    <t>Prestar servicios profesionales para el seguimiento y control a los insumos y suministros de la Subdirección Logística. SBLG</t>
  </si>
  <si>
    <t xml:space="preserve">Prestar servicios de apoyo a la gestión para realizar seguimiento y control en el analisis de datos de los diferentes aplicativos tecnologicos de la Subdirección Logistica. SBLG </t>
  </si>
  <si>
    <t>Prestación de servicios profesionales en el control legal de los procesos y acciones, especialmente la gestión contractual requerida por la Subdirección Logística - SBLG</t>
  </si>
  <si>
    <t>42141501;42141502;42141503;42142101;42142103;42142105;42142108;42172010;42172013;42172016;42172201;42281502;42291902</t>
  </si>
  <si>
    <t>90101800;90101600;50192700;50112000;50202311;50201709;50161509;50192110;93131602</t>
  </si>
  <si>
    <t>70122002;70122005;70122006;70122007;70122008;70122009;70122010;10101500;10121800</t>
  </si>
  <si>
    <t>Prestación de servicios de apoyo a la gestión en la recepción, trámite, gestión y resolución de todas las incidencias o solicitudes reportadas a través de la herramienta de la mesa logística de la Subdirección Logística de la UAECOB. – SBLG.</t>
  </si>
  <si>
    <t>Mauricio Ayala Vasquez</t>
  </si>
  <si>
    <t>Prestación de servicios de apoyo a la gestión administrativa y documental que requiera ejecutarse en las estaciones de la UAE Cuerpo Oficial de Bomberos de Bogotá SO</t>
  </si>
  <si>
    <t>Prestación de servicios de apoyo en el desarrollo de actividades administrativas, así como la gestión , control, trámite y seguimiento de solicitudes recepcionadas en el canal de comunicación de gestión operativa. - SO</t>
  </si>
  <si>
    <t>Prestar los servicios de apoyo a la gestión para ejecutar las actividades que desarrollan los procesos de comunicaciones en emergencias del Centro de Coordinación y Comunicaciones (CCC) a cargo de la Subdirección Operativa</t>
  </si>
  <si>
    <t>Prestación de servicios de apoyo a la gestión en las actividades que permitan mantener las condiciones básicas y de bienestar en animales rescatados y caninos del grupo BRAE a cargo de la Subdirección Operativa - SO</t>
  </si>
  <si>
    <t>Prestación de servicios de apoyo a la gestión para la atención de requerimientos, solicitudes y realización de trámites administrativos y documentales, relacionados con los procesos y procedimientos a cargo de la Subdirección Operativa – SO</t>
  </si>
  <si>
    <t>Prestación de servicios profesionales para apoyar el diligenciamiento y seguimiento de las solicitudes y herramientas de gestión de los procedimientos a cargo de esta subdirección . - SO</t>
  </si>
  <si>
    <t>Prestación de servicios profesionales para la elaboración, diagramación, orto tipografía y estilos de textos e informes referentes a los procesos a cargo de la Subdirección Operativa - SO</t>
  </si>
  <si>
    <t>Prestación de servicios profesionales para acompañar en aspectos jurídicos a la Subdirección Operativa, frente a la estructuración, sustanciación, revisión y trámite de los actos administrativos y demás documentos a emitir por la dependencia.</t>
  </si>
  <si>
    <t>Prestación de servicios profesionales de carácter administrativo y financiero para apoyar los procesos y procedimientos a cargo de la Subdirección Operativa.</t>
  </si>
  <si>
    <t>Prestación de servicios profesionales para acompañar a la Subdirección Operativa en el fortalecimiento de sus procesos de comunicaciones y análisis de información en articulación con otras dependencias de la Entidad</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</si>
  <si>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</si>
  <si>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para ejecutar actividades básicas y de bienestar en animales rescatados y de los caninos del programa BRAE a cargo de la Subdirección Operativa - SO</t>
  </si>
  <si>
    <t>Prestación de servicios profesionales para ejecutar el componente de información geográfica, georreferenciación y generación de alertas mediante las herramientas, sistemas de información y recursos disponibles de la Subdirección Operativa.</t>
  </si>
  <si>
    <t>Prestar servicios profesionales a la Subdirección Operativa para adelantar las actividades relacionadas con el sistema de gestión de calidad, ambiental y con el sistema de control interno. SO</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</si>
  <si>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</si>
  <si>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las actividades misionales, así como  en la elaboración, diseño y diagramación de piezas requeridas para los planes, programas, proyectos y procedimientos SO</t>
  </si>
  <si>
    <t>Prestación de servicios profesionales para acompañar la estructuración, definición y verificación de aspectos técnicos de los diferentes procesos de contratación de bienes y servicios de la Subdirección Operativa en las etapas precontractual, contractual y postcontractual.</t>
  </si>
  <si>
    <t>Prestación de servicios profesionales para acompañar jurídicamente a la Subdirección Operativa, en la sustanciación, revisión y trámite de solicitudes dirigidas a autoridades administrativas y respuestas a PQR´S, Derechos de petición, y a requerimientos que efectúen los entes de control, así como brindar apoyo en la estructuración de los procesos y procedimientos que así lo requieran a cargo de la dependencia. – SO</t>
  </si>
  <si>
    <t>Prestación de servicios profesionales para apoyar a la Subdirección Operativa, en la consolidación, seguimiento y reporte de las actividades del plan de mejoramiento, normograma y mapa de riesgos relacionados con los procesos y procedimientos misionales de la dependencia. SO.</t>
  </si>
  <si>
    <t>Prestación de servicios profesionales para acompañar a la Subdirección Operativa en la elaboración de informes, documentos técnicos, infografías, reportes y consolidación de indicadores relacionados con los procesos y contratos a cargo de la dependencia – SO</t>
  </si>
  <si>
    <t>Prestar servicios profesionales para acompañar a la subdirección Operativa en la planeación, trámite y seguimiento de los aspectos presupuestales, financieros y contractuales a cargo de la dependencia - SO</t>
  </si>
  <si>
    <t>Prestación de servicios profesionales para acompañar a la Subdirección Operativa en la estructuación de fichas técnicas e identificación de necesidades técnicas que requiera la Entidad con base en la atención de emergencias y requerimientos internos y externos - SO</t>
  </si>
  <si>
    <t>Prestar por sus propios medios con plena autonomía técnica y administrativa los servicios profesionales para el desarrollo y soporte de aplicativos para el funcionamiento de la Subdirección Operativa.</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</si>
  <si>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</si>
  <si>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</si>
  <si>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Adición y prórroga al contrato de prestación de servicios No.065-2024 cuyo objeto es: Prestación de servicios profesionales para la consolidación, seguimiento y control de los reporte de los planes, proyectos y programas de inversión e indicadores a cargo de la Subdirección Operativa</t>
  </si>
  <si>
    <t>Adición y prórroga al contrato de prestación de servicios No.368-2024 cuyo objeto es: 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</si>
  <si>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Adquisición de equipos, herramientas y accesorios (E.H.A.´s) para la atención de emergencias. - Subdirección Operativa</t>
  </si>
  <si>
    <t>Adquisición de equipos de protección frente al riesgo eléctrico para el personal operativo de la UAE Cuerpo Oficial de Bomberos de Bogotá</t>
  </si>
  <si>
    <t>Adquisición de elementos de protección personal (E.P.P.) para la atención de emergencias de la UAE Cuerpo Oficial de Bomberos de Bogotá</t>
  </si>
  <si>
    <t>Adquisición de elementos y accesorios para el grupo especializado UARBO de la UAECOB.</t>
  </si>
  <si>
    <t>Adquisición de elementos y accesorios para los UAS (Sistema Aéreo No Tripulado) para el grupo especializado SART de la UAECOB.</t>
  </si>
  <si>
    <t>Adquisición de elementos y accesorios para el grupo especializado BRAE de la UAECOB.</t>
  </si>
  <si>
    <t>Adquisición de elementos para atención de IEGA para la UAECOB.</t>
  </si>
  <si>
    <t>46181500;46181600;46181800;46181900;46182000;46182100;46182200;46182300;46182400;46182500;46191500;46191604</t>
  </si>
  <si>
    <t>46181500;46181600;46181800;46181900;46182000;46182100;46182200;46182300;46182400;46182500;46191500;46191600; 46181504; 46182107</t>
  </si>
  <si>
    <t>46181500;46181600;46181800;46181900;46182000;46182100;46182200;46182300;46182400;46182500;46191500;46191600;46181503;46181504;46181505</t>
  </si>
  <si>
    <t>49141503;
46182004;
49141500</t>
  </si>
  <si>
    <t>26111711;
26111711;
25131600;</t>
  </si>
  <si>
    <t>41102600;
11162108;
45121522</t>
  </si>
  <si>
    <t>Prestar sus servicios profesionales para apoyar a la subdirección operativa en la proyección de solicitudes dirigidas a autoridades administrativas, respuestas a PQR´s, derechos de petición, y a requerimientos que efectúen los entes de control y autoridades administrativas por los diferentes canales de atención de la entidad, en el marco de los procesos y procedimientos a cargo de la dependencia. so</t>
  </si>
  <si>
    <t>Adición y prórroga al contrato 002 de 2024 cuto objeto es: "Prestar los servicios profesionales  jurídicos para apoyar las actividades propias de la gestión contractual que adelanta la Oficina Jurídica"</t>
  </si>
  <si>
    <t>Prestar los servicios profesionales  jurídicos para apoyar las actividades propias de la gestión contractual que adelanta la Oficina Jurídica</t>
  </si>
  <si>
    <t>Adición y prórroga al contrato 003 de 2024 cuto objeto es: "Prestar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</si>
  <si>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</si>
  <si>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Adición y prórroga al contrato 340 de 2024 cuto objeto es: "Prestar los servicios profesionales  jurídicos para apoyar las actividades propias de la gestión contractual que adelanta la Oficina Jurídica"</t>
  </si>
  <si>
    <t>Prestar los servicios profesionales para apoyar administrativamente la gestión, los procesos y procedimientos y demás trámites propios del cumplimiento de la misionalidad de la Oficina Jurídica</t>
  </si>
  <si>
    <t>Adición y prórroga al contrato 009 de 2024 cuto objeto es: "Prestar los servicios de apoyo para las gestiones documentales y administrativas requerida por la Oficina Jurídica."</t>
  </si>
  <si>
    <t>Prestar los servicios de apoyo para las gestiones documentales y administrativas requerida por la Oficina Jurídica.</t>
  </si>
  <si>
    <t>Adición y prórroga al contrato 011 de 2024 cuto objeto es: "Prestar los servicios profesionales  jurídicos para apoyar las actividades propias de la gestión contractual que adelanta la Oficina Jurídica"</t>
  </si>
  <si>
    <t>Prestar los servicios de apoyo para los tramites, gestiones y actividades propias que se requieran en los diferentes procesos disciplinarios propios de la etapa de juzgamiento de la Oficina Jurídica en la UAECOB</t>
  </si>
  <si>
    <t>Adición y prórroga al contrato 339 de 2024 cuto objeto es: "Prestar los servicios de apoyo para las gestiones documentales y administrativas requerida por la Oficina Jurídica."</t>
  </si>
  <si>
    <t>Adición y prórroga al contrato 031 de 2024 cuto objeto es: "Prestar servicios profesionales para apoyar en las acciones de control y manejo de la información y la presentación de los informes reglamentarios a los entes de control por parte de la Oficina Jurídica"</t>
  </si>
  <si>
    <t>Adición y prórroga al contrato 138 de 2024 cuto objeto es: "Prestar los servicios profesionales  jurídicos para apoyar las actividades propias de la gestión contractual que adelanta la Oficina Jurídica"</t>
  </si>
  <si>
    <t>Adición y prórroga al contrato 060 de 2024 cuto objeto es: "Prestar los servicios profesionales especializados para la representación judicial  de la Entidad y la prevención del daño antijurídico"</t>
  </si>
  <si>
    <t>Prestar servicios profesionales para apoyar las diferentes actuaciones jurídicas que adelanta la UAECOB</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</si>
  <si>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</si>
  <si>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jurídicos especializados para la verificación de la legalidad contractual en el desarrollo de las funciones de la Oficina Jurídica</t>
  </si>
  <si>
    <t>Prestación de servicios médicos veterinarios, con suministro de medicamentos e insumos veterinarios, para los caninos de la U.A.E. Cuerpo Oficial de Bomberos de Bogotá - SBLG</t>
  </si>
  <si>
    <t>Contratar el suministro de alimentación para los caninos del cuerpo oficial y animales rescatados por la U.A.E. del Cuerpo Oficial de Bomberos de Bogotá – SBLG.</t>
  </si>
  <si>
    <t>Monica Perez Barragan</t>
  </si>
  <si>
    <t>SGH - Prestar los servicios de capacitación, formación y entrenamiento en Buceo, para el personal operativo de la Unidad Administrativa Especial Cuerpo Oficial de Bomberos</t>
  </si>
  <si>
    <t>SGH - Garantizar los recursos para viáticos y tiquetes del personal</t>
  </si>
  <si>
    <t>SGH - Garantizar los Recursos para movilización del Personal para emergencias</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</si>
  <si>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</si>
  <si>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</si>
  <si>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SGH - Prestar de servicios profesionales para desarrollar actividades jurídicas en atención a los distintos requerimientos de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</si>
  <si>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</si>
  <si>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</si>
  <si>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</si>
  <si>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</si>
  <si>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</si>
  <si>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</si>
  <si>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servicios de apoyo a la gestión en la Subdirección de Gestión Humana en las diferentes actividades logísticas relacionadas con  el proceso de Academia.</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</si>
  <si>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</si>
  <si>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</si>
  <si>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a la Subdirección de Gestión Humana para el fortalecimiento y seguimiento del proceso de la escuela de formación bomberil.</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</si>
  <si>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</si>
  <si>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</si>
  <si>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</si>
  <si>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</si>
  <si>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</si>
  <si>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</si>
  <si>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</si>
  <si>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</si>
  <si>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</si>
  <si>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SGH - Prestar servicios de apoyo en la Subdirección de Gestión Humana de la UAE Cuerpo Oficial de Bomberos en el proceso de ausentismos del personal.</t>
  </si>
  <si>
    <t>SGH - Prestar servicios para soportar las actividades de la dependencia</t>
  </si>
  <si>
    <t>86101600;86101700;86101800;86111600;86141500;86121800</t>
  </si>
  <si>
    <t>N/A</t>
  </si>
  <si>
    <t>Pago de pasivos exigibles - Caobos salazar</t>
  </si>
  <si>
    <t>Adición y prórroga No. 1 al contrato 017 de 2024 que tiene como objeto “Contratar la prestación del servicio de aseo y cafetería incluido insumos para la UAE Cuerpo Oficial de Bomberos -SGC</t>
  </si>
  <si>
    <t>Pago de pasivos exigibles - INTERVENTORIA  caobos salazar</t>
  </si>
  <si>
    <t>Adición y prórroga No. 1 al contrato 043 de 2024 que tiene como objeto “Prestación de servicios de apoyo a la gestión en la ejecución de los planes y programas de servicio al ciudadano a cargo de la Subdirección de Gestión Corporativa.-SGC</t>
  </si>
  <si>
    <t>Adición y prórroga No. 1 al contrato 067 de 2024 que tiene como objeto “Prestación de servicios profesionales para articular la gestión en la ejecución de los planes y programas de servicio al ciudadano a cargo de la Subdirección de Gestión Corporativa.-SGC</t>
  </si>
  <si>
    <t>Adición y prórroga No. 1 al contrato 071 de 2024 que tiene como objeto “Prestación de servicios de apoyo a la gestión en la ejecución de los planes y programas de servicio al ciudadano a cargo de la Subdirección de Gestión Corporativa.-SGC</t>
  </si>
  <si>
    <t>Adición y prórroga No. 1 al contrato 081 de 2024 que tiene como objeto “Prestación de servicios de apoyo a la gestión en la ejecución de los planes y programas de servicio al ciudadano a cargo de la Subdirección de Gestión Corporativa.-SGC</t>
  </si>
  <si>
    <t>Adición y prórroga No. 1 al contrato 083 de 2024 que tiene como objeto “Prestación de servicios de apoyo a la gestión en la ejecución de los planes y programas de servicio al ciudadano a cargo de la Subdirección de Gestión Corporativa.-SGC</t>
  </si>
  <si>
    <t>Adición y prórroga No. 1 al contrato 086 de 2024 que tiene como objeto “Prestación de servicios de apoyo a la gestión en la ejecución de los planes y programas de servicio al ciudadano a cargo de la Subdirección de Gestión Corporativa.-SGC</t>
  </si>
  <si>
    <t>Adición y prórroga No. 1 al contrato 098 de 2024 que tiene como objeto “Prestación de servicios de apoyo a la gestión en la ejecución de los planes y programas de servicio al ciudadano a cargo de la Subdirección de Gestión Corporativa.-SGC</t>
  </si>
  <si>
    <t>Adición y prórroga No. 1 al contrato 107 de 2024 que tiene como objeto “Prestación de servicios de apoyo a la gestión en la ejecución de los planes y programas de servicio al ciudadano a cargo de la Subdirección de Gestión Corporativa.-SGC</t>
  </si>
  <si>
    <t>Adición y prórroga No. 1 al contrato 122 de 2024 que tiene como objeto “Prestación de servicios de apoyo a la gestión en la ejecución de los planes y programas de servicio al ciudadano a cargo de la Subdirección de Gestión Corporativa.-SGC</t>
  </si>
  <si>
    <t>Adición y prórroga No. 1 al contrato 142 de 2024 que tiene como objeto “Prestación de servicios de apoyo a la gestión en la ejecución de los planes y programas de servicio al ciudadano a cargo de la Subdirección de Gestión Corporativa.-SGC</t>
  </si>
  <si>
    <t>Adición y prórroga No. 1 al contrato 327 de 2024 que tiene como objeto “Prestación de servicios de apoyo a la gestión en la ejecución de los planes y programas de servicio al ciudadano a cargo de la Subdirección de Gestión Corporativa.-SGC</t>
  </si>
  <si>
    <t>Adición y prórroga No. 1 al contrato 332 de 2024 que tiene como objeto “Prestación de servicios de apoyo a la gestión en la ejecución de los planes y programas de servicio al ciudadano a cargo de la Subdirección de Gestión Corporativa.-SGC.</t>
  </si>
  <si>
    <t>Prestación de servicios profesionales en la Subdirección de Gestión Corporativa en las actividades relacionadas con MIPG-SGC</t>
  </si>
  <si>
    <t>Prestar servicios profesionales para realizar acompañamiento en la elaboración, revisión de actas de liquidación y cierre procesos contractuales adelantados por la Subdirección Gestión Corporativa -SGC</t>
  </si>
  <si>
    <t>Prestación de servicios de apoyo a la gestión del proceso de inventarios de la Subdirección de Gestión Corporativa.-SGC</t>
  </si>
  <si>
    <t>Prestación de servicios profesionales para el seguimiento, ejecución de los procesos de gestión de pagos que se desarrollan en el área Financiera de la UAE Cuerpo Oficial de Bomberos asignados. -SGC</t>
  </si>
  <si>
    <t>Prestar los servicios como conductor de la Subdirección de Gestión Corporativa -SGC</t>
  </si>
  <si>
    <t>Prestación de servicios de apoyo a la gestión en la Subdirección de Gestión Corporativa, en las actividades asociadas a los procesos y procedimientos del almacén de la Entidad.- SGC</t>
  </si>
  <si>
    <t>Prestación de servicios profesionales, en temas jurídicos de la gestión administrativa a cargo de la Subdirección de Gestión Corporativa.- SGC</t>
  </si>
  <si>
    <t>Pago pasivo exigible</t>
  </si>
  <si>
    <t>Elaboración de estudios y diseños técnicos para la construcción de la estación de bomberos de Ferias B-7 de la UAE Cuerpo Oficial de Bomberos de Bogotá – SGC</t>
  </si>
  <si>
    <t>Interventoría técnica, administrativa, financiera, contable, jurídica y ambiental para la elaboración de estudios y diseños técnicos para la construcción de la estación de Bomberos de Ferias B-7 de la UAE Cuerpo Oficial de Bomberos de Bogotá – SGC</t>
  </si>
  <si>
    <t>Realizar la interventoría técnica, administrativa, legal, financiera, contable, seguridad y salud en el trabajo, social y ambiental del contrato con objeto es "realizar la adecuación del espacio de entrenamiento de la estación de bomberos B-05 kennedy – SGC</t>
  </si>
  <si>
    <t>Adición y prórroga No. 1 al contrato 159 de 2024 que tiene como objeto “ Prestación de servicios profesionales especializados para articular y revisar los procesos y procedimientos del área de infraestructura, así como en el apoyo a la supervisión de los contratos que le sean asignados-SGC</t>
  </si>
  <si>
    <t>Adición y prórroga No. 1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t>
  </si>
  <si>
    <t>Adición y prórroga No. 1 al contrato 181 de 2024 que tiene como objeto “ Prestación de Servicios Profesionales para la formulación, seguimiento y ejecución de procesos presupuestales y financieros a cargo de la Subdirección de Gestión Corporativa -SGC</t>
  </si>
  <si>
    <t>Adición y prórroga No. 1 al contrato 266 de 2024 que tiene como objeto “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</si>
  <si>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302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</si>
  <si>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268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</si>
  <si>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322 de 2024 que tiene como objeto “Prestar los servicios profesionales en los trámites técnicos y administrativos para la adquisición de los bienes y servicios del Área de Infraestructura de la Subdirección de Gestión Corporativa-SGC</t>
  </si>
  <si>
    <t>Adición y prórroga No. 1 al contrato 360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</si>
  <si>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026 de 2024 que tiene como objeto “Arrendamiento de instalaciones estación Ferias--SGC</t>
  </si>
  <si>
    <t>Adición y prórroga No. 1 al contrato 151 de 2024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</si>
  <si>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Prestación de servicios profesionales al área Financiera de la Subdirección de Gestión Corporativa--SGC</t>
  </si>
  <si>
    <t>Prestación de servicios de apoyo a la gestión del área Financiera de la Subdirección de Gestión Corporativa.-SGC</t>
  </si>
  <si>
    <t>Adición y prórroga No. 1 al contrato 345 de 2024 que tiene como objeto “ Contratar el servicio de saneamiento ambiental, corte de césped, jardinería, poda y tala de árboles para las sedes (predios y/o estaciones) de la UAECOB-SGC</t>
  </si>
  <si>
    <t>44121700;44121800;44121900;44122000</t>
  </si>
  <si>
    <t>80111600;</t>
  </si>
  <si>
    <t>81101500;80101600</t>
  </si>
  <si>
    <t>80101600;81101500;72101500;72121400</t>
  </si>
  <si>
    <t>80101600;
81101500;
72101500;
72121400</t>
  </si>
  <si>
    <t>72151800;
72151505;
73152108;</t>
  </si>
  <si>
    <t xml:space="preserve">47111500;
73152100;
</t>
  </si>
  <si>
    <t>72121400;
72151700;
95121700;</t>
  </si>
  <si>
    <t>72121400;
72151700;
72154109;
95121700;</t>
  </si>
  <si>
    <t>80131502;</t>
  </si>
  <si>
    <t>78102206;</t>
  </si>
  <si>
    <t>78131800;80101500;80101600;80161500;81111900;81112000</t>
  </si>
  <si>
    <t>70111500;</t>
  </si>
  <si>
    <t>N/A-N/A N/A_N/A</t>
  </si>
  <si>
    <t>Contratar el servicio de soporte del software Veeam Backup para la U.A.E. Cuerpo oficial de Bomberos de Bogotá - TIC</t>
  </si>
  <si>
    <t>Contratar el servicio de soporte del sistema misional FUOCO para la U.A.E. Cuerpo Oficial de Bomberos de Bogotá de acuerdo a lo contemplado en el anexo técnico.-TIC-</t>
  </si>
  <si>
    <t>Contratar la renovación y soporte de licenciamiento del antivirus de la U.A.E. Cuerpo Oficial de Bomberos de Bogotá - TIC</t>
  </si>
  <si>
    <t>Adición y prórroga al contrato 350 del 2024 cuyo objeto es la "Contratar el servicio de soporte y mantenimiento del sistema de gestión documental  para la U.A.E. Cuerpo Oficial de Bomberos de Bogotá- TIC"</t>
  </si>
  <si>
    <t>Contratar la renovación , servicio de actualización y soporte de licenciamiento Oracle para Base de Datos,  y Web Logic para la U.A.E. Cuerpo Oficial de Bomberos de Bogotá - TIC</t>
  </si>
  <si>
    <t>Contratar el servicio de mantenimiento para el sistema de atención de turnos de la U.A.E. Cuerpo Oficial de Bomberos de Bogotá - TIC</t>
  </si>
  <si>
    <t>Adición y prórroga al contrato 505 del 2023 cuyo objeto es la "Contratar el servicio de mantenimiento preventivo y correctivo de los radios portátiles y móviles marca motorola propiedad de la U.A.E. Cuerpo Oficial de Bomberos de Bogotá - TIC"</t>
  </si>
  <si>
    <t>Contratar el servicio de actualización y soporte de licenciamiento ArcGis para la U.A.E. Cuerpo Oficial de Bomberos de Bogotá.- TIC</t>
  </si>
  <si>
    <t>Contratar la adquisición de equipo satelital y la prestación del servicio de Intenet satelital para la U.A.E. Cuerpo Oficial de Bomberos de Bogotá - TIC</t>
  </si>
  <si>
    <t>Prestar servicios profesionales para coordinar, controlar y ejercer seguimiento a las actividades de tecnología de Información y Comunicaciones de la UAE Cuerpo Oficial de bomberos de Bogotá.-TIC</t>
  </si>
  <si>
    <t>Prestar servicios profesionales en la planificación, administración y gestión de los proyectos TIC  de la UAE Cuerpo Oficial de Bomberos Bogotá, que fortalezcan la  ejecución y cumplimiento a los procesos de tecnología</t>
  </si>
  <si>
    <t>Prestar los servicios profesionales para apoyar  a la Dirección en la gestión juridica y contractual  relacionada con los proyectos y funciones TIC</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</si>
  <si>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</si>
  <si>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</si>
  <si>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</si>
  <si>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</si>
  <si>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Prestar Servicios Profesionales para administrar y gestionar los sistemas de información y aplicativos con los que cuenta la UAE Cuerpo Oficial de Bomberos Bogotá. -TIC</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</si>
  <si>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</si>
  <si>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jurídicos para apoyar las actividades propias de la gestión contractual que adelanta la UAE Cuerpo Oficial de Bomberos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</si>
  <si>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</si>
  <si>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</si>
  <si>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</si>
  <si>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</si>
  <si>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</si>
  <si>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Prestar servicios de apoyo a la gestión en la Dirección, para la creación de productos audiovisuales y generación de contenidos digitales en la entidad - TIC</t>
  </si>
  <si>
    <t>Prestar servicios asistenciales y de apoyo a la gestión para el desarrollo de actividades administrativas y procesos de gestión documental TIC</t>
  </si>
  <si>
    <t>Contratar la prestación de servicios de apoyo a la gestión para adelantar actividades administrativas y técnicas en el soporte técnico nivel (1) para los serivicios tecnológicos  del Edificio Comando de la U.A.E. Cuerpo Oficial de bomberos de Bogotá - TIC</t>
  </si>
  <si>
    <t>Prestar servicios profesionales en la gestión y soporte de las herramientas tecnológicas desarrolladas para el funcionamiento de las áreas de la entidad - TIC.</t>
  </si>
  <si>
    <t>Prestar servicios de apoyo a la gestión para el levantamiento de requerimientos, diseño, documentación,  soporte de análisis de datos y publicación de información</t>
  </si>
  <si>
    <t>Prestar los servicios profesionales para de oficial de seguridad de la infraestructura tecnologica  de la UAE Cuerpo Oficial de Bomberos - TIC</t>
  </si>
  <si>
    <t>Contratar los servicios de canales de datos dedicados para la UAE Cuerpo Oficial de Bomberos de Bogotá-TIC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</si>
  <si>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</si>
  <si>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</si>
  <si>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81112200;81112201</t>
  </si>
  <si>
    <t>43233000;81112200</t>
  </si>
  <si>
    <t>81112204;81112501</t>
  </si>
  <si>
    <t>32131023;39121011;43232300</t>
  </si>
  <si>
    <t>72151607;72103302</t>
  </si>
  <si>
    <t>83121700;83111600;43221700</t>
  </si>
  <si>
    <t>81112501;43232102;43232103;43231512</t>
  </si>
  <si>
    <t>81112100;81111500</t>
  </si>
  <si>
    <t>Programado</t>
  </si>
  <si>
    <t>DISTRIBUCIÓN PPTAL PROYECTADA PAA VR 0</t>
  </si>
  <si>
    <t xml:space="preserve">proyecto </t>
  </si>
  <si>
    <t>Diferencia</t>
  </si>
  <si>
    <t>Uniformes de trabajo</t>
  </si>
  <si>
    <t>Realizar los exámenes Médicos Ocupacionales para el personal de la UAECOB</t>
  </si>
  <si>
    <t>Adquirir elementos de protección personal para prevenir la aparición de enfermedades ocupacionales en el oido en el personal de la UAE cuerpo oficial de bomberos.</t>
  </si>
  <si>
    <t xml:space="preserve">Incentivos </t>
  </si>
  <si>
    <t>SGH - Realizar la capacitación y certificación de los funcionarios de la Unidad Administrativa Especial Cuerpo Oficial de Bomberos de Bogotá en el manejo de analizadores de alcohol en aire espirado (alcohosensores).</t>
  </si>
  <si>
    <t>85121503;85121603;85121604;85121608;85121610;85121611;85121612;85121702;85122201</t>
  </si>
  <si>
    <t>46181900;46181901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</si>
  <si>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</si>
  <si>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 xml:space="preserve">Prestación de servicios profesionales en el desarrollo de las actividades que se designen encaminadas a la implementación de las políticas de Fortalecimiento organizacional y simplificación de procesos y las que se designen en el marco del Modelo Integrado de Planeación y Gestión  MIPG que lidera la Oficina Asesora de Planeación.
</t>
  </si>
  <si>
    <t>Prestar los servicios de disposición final, devolución o destrucción del material pirotécnico, fuegos artificiales, polvora y globos incautados por las autoridades de policia de la ciudad, de acuerdo a lo establecido en el decreto 360-2018 en su articulo 21._SGR.</t>
  </si>
  <si>
    <t>ADICIÓN Y PRORROGA DEL CTO 199-2024-Cuyo objeto es, Prestar servicios profesionales en las actividades de Programas y Campañas de Prevención para la Subdirección de Gestión del Riesgo._SGR</t>
  </si>
  <si>
    <t>ADICIÓN Y PRORROGA DEL CTO 024-2024-Cuyo objeto es, Prestar servicios profesionales para las actividades de aglomeraciones de público y eventos con pirotecnia desarrollados en el distrito. _SGR.</t>
  </si>
  <si>
    <t>ADICIÓN Y PRORROGA DEL CTO 141-2024- Cuyo objeto es,Apoyar las actividades de la subdirección de gestión del riesgo relacionadas con las aglomeraciones de público y eventos con pirotecnia desarrollados en el distrito. _SGR.</t>
  </si>
  <si>
    <t xml:space="preserve">Prestar servicios técnicos administrativos apoyando a la Subdirección de Gestión del Riesgo con lo relacionado al seguimiento y control de sus solicitudes y peticiones._SGR 
</t>
  </si>
  <si>
    <t>ADICIÓN Y PRORROGA CTO 222-2024, Cuyo objeto es, Prestar servicios profesionales en las actividades del MIPG de la Subdirección de Gestión del riesgo.</t>
  </si>
  <si>
    <t>ADICIÓN Y PRORROGA del CTO 481-2023, Prestar servicios profesionales en las actividades de Programas y Campañas de Prevención para la Subdirección de Gestión del Riesgo._SGR</t>
  </si>
  <si>
    <t>ARMONIZACION</t>
  </si>
  <si>
    <t>O23202020088714199 Servicio de mantenimiento y reparación de vehículos automotores n.c.p. MTTO VEHICULOS (3.850.000.000)
O23201010030208 Otra maquinaria para usos especiales y sus partes y piezas (600.000.000) FOX - ALINEACIÓN Y BALAN</t>
  </si>
  <si>
    <t>Prestar los servicios profesionales para los realizar gestión de tramites y actividades que se requieran en los diferentes procesos disciplinarios propios de la etapa de juzgamiento de la Oficina Jurídica en la UAECOB</t>
  </si>
  <si>
    <t>Prestación de servicios profesionales para apoyar a la Subdirección Operativa en el analisis de información y elaboración de productos relacionados con la estrategia de preparativos de la UAE Cuerpo Oficial de Bomberos de Bogotá SO</t>
  </si>
  <si>
    <t>Prestación de servicios profesionales para apoyar a la Subdirección Operativa en la consolidación y reporte de la información técnica para la estructuración del documento estrategia de preparativos de la UAE Cuerpo Oficial de Bomberos de Bogotá SO</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</si>
  <si>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</si>
  <si>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</si>
  <si>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</si>
  <si>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</si>
  <si>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Prestación de servicios profesionales especializados para apoyar las actividades técnicas del Área de Infraestructura de la Subdirección de Gestión Corporativa-SGC</t>
  </si>
  <si>
    <t>Prestación de servicios profesionales para adelantar actividades técnicas y trámites administrativos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</si>
  <si>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</si>
  <si>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</si>
  <si>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</si>
  <si>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</si>
  <si>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Prestar servicios profesionales para acompañar jurídicamente los procesos y procedimientos del área de infraestructura de la Subdirección de Gestión Corporativa. 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</si>
  <si>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</si>
  <si>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</si>
  <si>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Suministro  de implementos  de  papelería y oficina para las dependencias de la UAE Cuerpo  Oficial de Bomberos-SGC</t>
  </si>
  <si>
    <t>Seleccionar un promotor y/o intermediario público o privado, para que tramite, gestione y lidere la venta en subasta pública de los bienes muebles obsoletos, servibles no utilizables e inservibles de propiedad de la U.A.E. Cuerpo Oficial de Bomberos Bogotá- SGC</t>
  </si>
  <si>
    <t>80101500;80141700;80141600;80151500;84121500</t>
  </si>
  <si>
    <t xml:space="preserve">Adición al contrato 573 del 2023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t>
  </si>
  <si>
    <t>Prestar el servicio de mantenimiento preventivo y correctivo, de latonería y pintura, incluyendo el suministro de repuestos, insumos y mano de obra especializada para los vehículos livianos pertenecientes al parque automotor de la UAE Cuerpo Oficial de Bomberos de Bogotá DC</t>
  </si>
  <si>
    <t>Prestación de servicios profesionales técnicos, administrativos y operativos en la gestión de mantenimientos a cargo de la subdirección logística. SBGL</t>
  </si>
  <si>
    <t>Prestación de servicios profesionales, para apoyar la política de Compras y Contratación Pública del Modelo Integrado de Planeación y Gestión, en la elaboración, tramite e impulso de los procesos de contratación en sus diferentes etapas a cargo de la Subdirección Logística - SBLG.</t>
  </si>
  <si>
    <t>Prestar servicios de apoyo en la gestión documental, física y digital, administrando y diligenciando las bases de datos, y demás documentos a cargo de la Subdirección logística. -SBLG, en el marco del modelo integrado de planeación y gestión.</t>
  </si>
  <si>
    <t>Prestar servicios de apoyo a la gestión para la organización, clasificación, foliación, digitalización e indexación de documentos de la Subdirección Logística - SBLG, en el marco del modelo integrado de planeación y gestión.</t>
  </si>
  <si>
    <t>Prestar servicios profesionales para realizar seguimiento y control de los diferentes procesos administrativos a cargo de la Subdirección Logística - SBLG, en el marco del modelo integrado de planeación y gestión.</t>
  </si>
  <si>
    <t>Prestar servicios profesionales, en apoyo a la política de Compras y Contratación Pública del Modelo Integrado de Planeación y Gestión, para la gestión de los aspectos jurídicos de la Subdirección Logística -SBLG.</t>
  </si>
  <si>
    <t>Prestar servicios profesionales para el seguimiento y gestión de las actividades establecidas en los planes de acción y estratégicos; así como, de los procedimientos administrativos y financieros propios de Subdirección Logística - SBLG, en el marco del modelo integrado de planeación y gestión.</t>
  </si>
  <si>
    <t>Prestación de servicios de apoyo a la gestión administrativa, en el marco del MIPG, en especial a lo concerniente al parque automotor a cargo de la Subdirección Logística - SBLG.</t>
  </si>
  <si>
    <t>Prestar el servicio de instalación, alineación, balanceo y conexos, incluyendo el suministro de llantas a los vehículos del parque automotor de la U.A.E. Cuerpo Oficial de Bomberos de Bogotá - SBLG.</t>
  </si>
  <si>
    <t xml:space="preserve">10121801;10121802;10121602 </t>
  </si>
  <si>
    <t>Adición y prórroga del contrato 580/23 cuyo objeto es "Suministro de concentrado de espuma y extintores y el mantenimiento, recarga de extintores, cilindros y tanques de las maquinas extintoras - SBLG" - LOTE I</t>
  </si>
  <si>
    <t>Suministrar los repuestos, accesorios e insumos de los equipos de rescate vehicular liviano y pesado marca LUKAS- SBLG</t>
  </si>
  <si>
    <t>23191200; 23153100; 23271800; 26121600; 27131600; 26101700; 31162800; 31163000; 31163100; 31171500; 31171700; 31191500; 31201600; 40141700; 31121700; 26111700</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</si>
  <si>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</si>
  <si>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72101500;72154200</t>
  </si>
  <si>
    <t xml:space="preserve">31261500; 31161500; 31161600; 31162300; 31162800; 31171500; 31171700; 39121600; 27121600 </t>
  </si>
  <si>
    <t>70122002; 70122005; 70122006; 70122007; 70122008; 70122009; 70122010</t>
  </si>
  <si>
    <t>Adición y prórroga del Contrato 581/23 cuyo objeto es "Suministro de concentrado de espuma y extintores y el mantenimiento, recarga de extintores, cilindros y tanques de las maquinas extintoras"</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</si>
  <si>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</si>
  <si>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Prestación de servicios profesionales para la gestión administrativa de las herramientas tecnológicas de la Subdirección Logística asociados a la mesa logística - SBLG</t>
  </si>
  <si>
    <t>Prestación de servicios profesionales técnicos y administrativos en el seguimiento y control en los diferentes procesos y procedimiemtos incluyendo el sistema de Gestión ambiental de la Subdirección Logística . -SBGL</t>
  </si>
  <si>
    <t>Prestar servicios profesionales en la definición y gestión de procedimientos, lineamientos ambientales y de SST de los procesos, así como del sistema de Gestión de Calidad . – SBGL</t>
  </si>
  <si>
    <t>Prestar servicios de apoyo a la gestión en el manejo de las herramientas tecnológicas a cargo de la Subdirección Logística, y en diligenciamiento, seguimiento y control de las herramientas de gestión asociadas a la mesa logística. – SBLG</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</si>
  <si>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</si>
  <si>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SGH - Prestar servicios profesionales en la Subdirección de Gestión Humana en los diferentes procesos y procedimientos propios del área de nómina de la Unidad Administrativa del Cuerpo oficial de Bomberos.</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</si>
  <si>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</si>
  <si>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</si>
  <si>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en la Subdirección de Gestión Corporativa en lo relacionado con los procesos de inventarios, almacén y bajas-SGC</t>
  </si>
  <si>
    <t>Prestar servicios profesionales en la Subdirección de Gestión Corporativa para aplicar los procesos y procedimientos a los inventarios a cargo de la UAECOB-SGC</t>
  </si>
  <si>
    <t>Prestar servicios profesionales para desarrollar e implementar sistemas de información, brindar soporte, mantenimiento y generar interoperabilidad con BOGDATA, en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</si>
  <si>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</si>
  <si>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</si>
  <si>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</si>
  <si>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</si>
  <si>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</si>
  <si>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Prestación de servicios profesionales en la implementación, consolidación, seguimiento y reporte de los lineamientos ambientales en cada una de las sedes de la UAE CUERPO OFICIAL DE BOMBEROS BOGOTÁ-SGC</t>
  </si>
  <si>
    <t>Prestación de servicios profesionales en la implementación, consolidación, seguimiento y reporte de los lineamientos ambientales en cada una de las sedes de la entidad, enfatizado en los equipos de trabajo de la Subdirección de Gestión Corporativa-SGC</t>
  </si>
  <si>
    <t>Prestar los servicios profesionales para la gestión administrativa y operativa de la Subdirección de Gestión Corporativa en el proceso de adquisición de bienes y servicios - SGC</t>
  </si>
  <si>
    <t xml:space="preserve">Recursos destinados a cubrir el pago a cargo de Pago de pasivos exigibles correspondientes a la Subdirección de Gestión Corporativa </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</si>
  <si>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</si>
  <si>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</si>
  <si>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Prestación de servicios profesionales en la Dirección General, en Comunicaciones y Prensa, para la divulgación, difusión y socialización de los procesos misionales de la UAECOB de manera interna y externa.</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</si>
  <si>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</si>
  <si>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Contratar la adquisición de un (1) equipo de aire acondicionado para la U.A.E. Cuerpo Oficial de Bomberos de Bogotá</t>
  </si>
  <si>
    <t xml:space="preserve">Prestación de servicios profesionales en la planificación, control y seguimiento de los insumos y suministros para la atención de emergencias </t>
  </si>
  <si>
    <t xml:space="preserve">SGH - Prestar servicios profesionales juridicos para desarrollar actividades en la Subdireccion de Gestion Humana y el area de academia. </t>
  </si>
  <si>
    <t>Prestación de servicios profesionales para apoyar las actividades jurídicas y gestión predial del Área de Infraestructura de la Subdirección de Gestión Corporativa-SGC</t>
  </si>
  <si>
    <t>Prestación de servicios profesionales en la proyección y el seguimiento financiero a los proyectos de la Subdirección de Gestión Corporativa-SGC</t>
  </si>
  <si>
    <t>Prestación de servicios profesionales con el fin de gestionar trámites de carácter técnico, administrativo y operativamente en el desarrollo de los proyectos de inversión  de la entidad-SGC</t>
  </si>
  <si>
    <t>Prestar servicios profesionales en la Oficina Asesora de Planeación, 
para liderar las actividades necesarias que permiten la 
consolidación de la infraestructura tecnológica de la UAECOB en 
una herramienta para el cumplimiento del plan estratégico 
institucional.</t>
  </si>
  <si>
    <t>Prestar servicios profesionales a la Oficina Asesora de Planeación, en el marco de los procesos y procedimientos que adelanta la dependencia.</t>
  </si>
  <si>
    <t>Contratar servicio de integración, compatibilidad y puesta en funcionamiento de los dispositivos pistolas de toma físico de inventarios al sistema de control y registros inventarios de la U.A.E. Cuerpo Oficial de Bomberos de Bogotá - TIC"</t>
  </si>
  <si>
    <t>Prestar servicios profesionales en los procesos de análisis y diseño de las herramientas tecnológicas desarrolladas para el funcionamiento de las áreas de la entidad - TIC.</t>
  </si>
  <si>
    <t>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t>
  </si>
  <si>
    <t>81111811;72151600; 43223300;
39131700</t>
  </si>
  <si>
    <t xml:space="preserve">Prestar servicios técnicos administrativos en las actividades de Programas y Campañas de Prevención para la Subdirección de Gestión del Riesgo.SGR  </t>
  </si>
  <si>
    <t>Adquirir elementos para el funcionamiento del grupo de apoyo operacional_SGR”</t>
  </si>
  <si>
    <t>“Adquisición de carpas de uso institucional para puesto de mando unificado, actividades de bienestar, logistica, campañas y apoyo a operaciones_SGR</t>
  </si>
  <si>
    <t>Dirección Tic - reduccion</t>
  </si>
  <si>
    <t>Sub. Gestión Humana - reduccion</t>
  </si>
  <si>
    <t>Mantenimiento preventivo y correctivo, que incluye el suministro de insumos y repuestos de las plantas eléctricas ubicadas en los diferentes edificios de la Unidad Administrativa Especial del Cuerpo Oficial de Bomberos Bogotá D.C -SGC</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</si>
  <si>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</si>
  <si>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</si>
  <si>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Adición y prórroga No. 1 al contrato 635 de 2023 que tiene como objeto “ Realizar el mantenimiento preventivo, correctivo de puertas automatizadas para las salas de máquinas de las estaciones de la UAE Cuerpo Oficial de Bomberos-SGC</t>
  </si>
  <si>
    <t>Adición y prórroga No. 1 al contrato 041 de 2024 que tiene como objeto “Prestación de servicios profesionales para apoyar las actividades técnicas del Área de Infraestructura de la Subdirección de Gestión Corporativa-SGC</t>
  </si>
  <si>
    <t>Adición y prórroga al  Contrato 047 de 2024 con objeto "Prestar servicios profesionales en el desarrollo de las actividades y de los diferentes procesos que tiene a su cargo y bajo su seguimiento la Dirección General de la UAE Cuerpo Oficial de Bomberos de Bogotá"</t>
  </si>
  <si>
    <t xml:space="preserve">Prestación de servicios profesionales especializados para apoyar las actividades técnicas del Área de Infraestructura de la Subdirección de Gestión Corporativa-SGC </t>
  </si>
  <si>
    <t>43232300
43232500
43233700
86141500
81111800
81112500
86141700</t>
  </si>
  <si>
    <t>11000000
53101800
53101802
53101804</t>
  </si>
  <si>
    <t>Adquisición de elementos de identificación institucional para el personal que desarrolla actividades misionales de la UAECOB _SGR.</t>
  </si>
  <si>
    <t xml:space="preserve">Prestar servicios profesionales para el seguimiento de los proyectos de inversión de la UAECOB. _SGR </t>
  </si>
  <si>
    <t>49121500
49121600</t>
  </si>
  <si>
    <t>SGH - Prestar servicios profesionales en la Subdirección de Gestión Humana de la UAE Cuerpo Oficial de Bomberos de Bogotá D.C. en lo relacionado con los diferentes procesos de archivo y trámites administrativos.</t>
  </si>
  <si>
    <t>SGH- Prestar servicios profesionales en la Subdirección de Gestión Humana de la UAE Cuerpo Oficial de Bomberos Bogotá D.C. en lo relacionado con la consolidación y análisis de base de datos y constitución del presupuesto</t>
  </si>
  <si>
    <t>SGH - Prestar servicios profesionales para apoyar el programa de vigilancia epidemiológico al riesgo psicosocial y actividades de seguridad y salud en el trabajo en la Subdirección de Gestión Humana</t>
  </si>
  <si>
    <t>SGH - Prestar servicios profesionales para desarrollar actividades jurídicas relacionadas con los procesos de seguridad social y las diferentes situaciones administrativas de la Subdirección de Gestión Humana de la UAE Cuerpo oficial de Bomberos.</t>
  </si>
  <si>
    <t>Adición y prórroga al contrato 450-24cuyo objeto es prestar servicios profesionales en la seguimiento,verificación y control administrativo financiero de los procesos contractuales en la etapa de ejecución a cargo de la Subdirección Logistica – SBLG.</t>
  </si>
  <si>
    <t>Adición y prórroga al contrato 474-24, cuyo objeto es prestación de servicios profesionales en la administración, gestión integral y mantenimiento del equipo menor a cargo de la Subdirección Logística -SBLG.</t>
  </si>
  <si>
    <t>Adición y prorroga del contrato 457-24 cuyo objeto es prestación de servicios de apoyo a la gestión para realizar el diagnóstico, los mantenimientos preventivos y correctivos a fin de garantizar la permanente funcionalidad de los equipos menores pertenecientes a la UAECOB, en la Subdirección Logística - SBLG</t>
  </si>
  <si>
    <t xml:space="preserve">Prestar servicios profesionales para apoyar en los diferentes trámites administrativos, documental e inventario de la Subdirección Logística – SBLG. </t>
  </si>
  <si>
    <t xml:space="preserve">Adición y prorroga del contrato 527-24 cuyo objeto es prestación de servicios profesionales en la planificación, control y seguimiento de los insumos y suministros para la atención de emergencias. </t>
  </si>
  <si>
    <t>Adición y prorroga del Contrato 412-24 cuyo objeto es prestar servicios de apoyo a la gestión en el seguimiento y control de los suministros y consumibles garantizando la disponibilidad para la atención de emergencias  -SBLG.</t>
  </si>
  <si>
    <t>Pago de pasivo exigible contrato 517-22 Ingenieria contra Incendio y Seguridad Industrial Incoldext SAS</t>
  </si>
  <si>
    <t>Prestar los servicios profesionales para la gestión, financiera de los   proyectos y procesos de la Subdirección - SBLG, en el marco del modelo integrado de planeación y gestión.</t>
  </si>
  <si>
    <t>Adición y prórroga del Contrato 541 de 2023 cuyo objeto es 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</si>
  <si>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</si>
  <si>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y prensa para apoyar las labores periodísticas y de divulgación de información, de acuerdo con la misionalidad de la UAECOB.</t>
  </si>
  <si>
    <t>Prestación de servicios profesionales en asuntos de comunicaciones y prensa para apoyar la creación y divulgación audiovisual relacionada con la misionalidad de la UAECOB.</t>
  </si>
  <si>
    <t>Prestación de servicios como conductor en los diferentes recorridos de carácter operativo que se requieran en la Dirección General.</t>
  </si>
  <si>
    <t>Adición No.5 y prórroga No.6 al contrato 409 de 2021 que tiene como objeto "Prestar los servicios de Custodia, Consulta y Traslado Documental de Acuerdo a las especificaciones Técnicas  y requisitos contemplados en la normatividad Archivística Vigente-SGC</t>
  </si>
  <si>
    <t>Prestar los servicios profesionales en la Subdirección de Gestión Corporativa en las actividades asociadas a procesos jurídicos relacionados con la gestión administrativa.- SGC</t>
  </si>
  <si>
    <t>Prestar el servicio de recolección y diposición final de los residuos sanitarios y aguas no tratadas de las instalaciones de la Unidad Administrativa Especial Cuerpo Oficial de Bomberos Bogotá -SGC</t>
  </si>
  <si>
    <t>Prestación de servicios de apoyo a la gestión en la ejecución de los planes y programas de servicio al ciudadano a cargo de la Subdirección de Gestión Corporativa.-SGC</t>
  </si>
  <si>
    <t>81141807;
40151517;
76121701;
83101506;</t>
  </si>
  <si>
    <t>Prestar los servicios profesionales para apoyar  a la Dirección en la gestión de procesor juridicos y contractuales relacionados con los proyectos de inversion y funcionamiento de la U.A.E. Cuerpo Oficial de Bomberos de Bogotá - TIC</t>
  </si>
  <si>
    <t>Prestar servicios tecnicos de apoyo a la gestión para el desarrollo de actividades administrativas y procesos de gestión documental TIC</t>
  </si>
  <si>
    <t>Contratar la prestación de servicios de apoyo a la gestión para adelantar actividades administrativas y técnicas en el soporte técnico niveles (1 y 2) para los serivicios tecnológicos  del Edificio Comando de la U.A.E. Cuerpo Oficial de bomberos de Bogotá - TIC</t>
  </si>
  <si>
    <t>Contratar la prestación de servicios de apoyo a la gestión para adelantar actividades administrativas y técnicas en el soporte técnico niveles (1 y 2)  para los serivicios tecnológicos  del Edificio Comando de la U.A.E. Cuerpo Oficial de bomberos de Bogotá - TIC</t>
  </si>
  <si>
    <t>Adquirir de hardware y software de gestión de para el sistema de atención de turnos de la U.A.E. Cuerpo Oficial de Bomberos de Bogotá - TIC</t>
  </si>
  <si>
    <t>Prestar servicios profesionales en los procesos de análisis, levantamiento de información, parametrización y diseño de las herramientas tecnológicas desarrolladas para el funcionamiento de la U.A.E. Cuerpo Oficial de Bomberos de Bogotá - TIC</t>
  </si>
  <si>
    <t>pago de pasivo exigible del contrato No. 624-2020, cuyo objeto es; "Prestar servicios profesionales en la Oficina Asesora de Planeación para elaborar, ejecutar y poner en marcha sistemas de información de la entidad".</t>
  </si>
  <si>
    <t>pago pasivo exigible del contrato No. 149 de 2021, cuyo objeto es: "Prestar Servicios profesionales como gestor de servicios Tecnológicos para apoyar los procesos relacionados con la gestión de la capacidad continuidad, disponibilidad, y seguridad de la infraestructura tecnológica de la UAECOB".</t>
  </si>
  <si>
    <t>Contratar la prestación de servicios profesionales de apoyo a la gestión para adelantar actividades administrativas y técnicas en el soporte de la mesa de ayuda y serivicios tecnológicos  del Edificio Comando, Estaciones y  Supercades de la U.A.E. Cuerpo Oficial de bomberos de Bogotá - TIC</t>
  </si>
  <si>
    <t>Adición y prórroga al contrato 390 de 2024 cuto objeto es: "Prestar los servicios profesionales  jurídicos para apoyar las actividades propias de la gestión contractual que adelanta la Oficina Jurídica"</t>
  </si>
  <si>
    <t>Prestar los servicios profesionales juridicos especializados en el desarrollo de las funciones de la Oficina Juridica</t>
  </si>
  <si>
    <t>Prestación de servicios profesionales en el desarrollo de las actividades que se designen para el seguimiento y la implementación de las políticas del Modelo Integrado de Planeación y Gestión MIPG que lidera la Oficina Asesora de Planeación.</t>
  </si>
  <si>
    <t>Adición y prorroga Implementación del modelo integrado de planeación y gestión</t>
  </si>
  <si>
    <t>Adición y prórroga al contrato 325 de 2024 cuyo objeto es: Prestar servicios profesionales para coordinar, implementar y ejercer seguimiento a las políticas que componen el modelo de gestión -MIPG, asì como los sistemas de gestión que se definan por la Oficina Asesora de Planeación</t>
  </si>
  <si>
    <t>Adquisición de Dron- UAS para el grupo especializado SART de la UAECOB, para apoyar las operaciones de búsqueda, rescate, control de incendios y otras emergencias misionales a cargo de la Entidad</t>
  </si>
  <si>
    <t>Prestación de servicios profesionales para apoyar a la Subdirección Operativa en el análisis de información y elaboración de informes de gestión, documentos técnicos, reportes y demás productos relacionados con la atención de emergencias, gestión del conocimiento y procesos a cargo de la dependencia.</t>
  </si>
  <si>
    <t>Prestar los servicios profesionales para el acompañamiento y seguimiento de los planes y proyectos de la Subdireccion de Gestión Corporativa-SGC</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</si>
  <si>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</si>
  <si>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de apoyo a la gestión en asuntos de comunicaciones y prensa para detectar las necesidades de la Entidad y facilitar la inserción de nuevas estrategias de comunicación</t>
  </si>
  <si>
    <t>Prestación de servicios profesionales en asuntos de comunicaciones y prensa para apoyar las labores de divulgación de la información en las redes sociales, pagina web e intranet, de acuerdo con la misionalidad de la UAECOB.</t>
  </si>
  <si>
    <t>Suministro de elementos para la adecuacion de escenarios practicos y simulados para cursos especializados, entrenamiento misional y capacitación en el puesto de trabajo en el marco de los programas de capacitación formación y entrenamiento</t>
  </si>
  <si>
    <t>86101600, 86101700, 86101800, 86111600, 86141500,  86121800, 80111500</t>
  </si>
  <si>
    <t>Adición y prórroga al contrato 646 del 2023 cuyo objeto es la "Contratar el soporte y mantenimiento preventivo y correctivo con repuestos para los sistemas de video vigilancia de las estaciones y Edificio Comando de la U.A.E. Cuerpo Oficial de Bomberos de Bogotá - TIC"</t>
  </si>
  <si>
    <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</si>
  <si>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</si>
  <si>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Prestar los servicios profesionales para apoyar la política de Planeación institucional del Modelo Integrado de Planeación y Gestión, para la implementación, sostenibilidad y seguimiento al programa de seguridad vial PESV, así como a los demás programas que se requieran y estén a cargo de la Subdirección Logística - SBLG.</t>
  </si>
  <si>
    <t>Omer Mauricio Rivera Ruiz</t>
  </si>
  <si>
    <t>Adición y prórroga del contrato 495-24 cuyo objeto es prestación de servicios profesionales como residente de talleres para gestionar y garantizar el funcionamiento y operación del parque automotor asignado a la  Subdirección Logística - SBLG.</t>
  </si>
  <si>
    <t xml:space="preserve">                       </t>
  </si>
  <si>
    <t>Prestación de servicios de apoyo  a la Subdirección Operativa como conductor, brindando atención en los diferentes requerimientos y gestiones de la dependencia.</t>
  </si>
  <si>
    <t>46181504; 46182107</t>
  </si>
  <si>
    <t>Adicion y prorroga contrato 326-2024 cuyo objeto es " Contratar la Prestación de Servicios para desarrollar el Plan de Bienestar de la UAE Cuerpo Oficial de Bomberos para la Vigencia 2024"</t>
  </si>
  <si>
    <t>90101600;90111600;90141700;90151700</t>
  </si>
  <si>
    <t xml:space="preserve">SGH - Prestar servicios de apoyo a la Gestion con actividades encaminadas al entrenamiento deportivo y fortalecimiento al respecto y la sana convivencia del personal uniformado, promoviendo el bienestar y sus competencias internas. </t>
  </si>
  <si>
    <t>SGH prestar servicios profesionales en los diferentes procesos de seguimiento presupuestal y contractual en el area de academia de la subdireccion</t>
  </si>
  <si>
    <t>Adicion y prorroga contrato 192-2024 cuyo objeto es "SGH - Prestar servicios profesionales para apoyar el programa de desórdenes musculoesqueléticos de la UAE Cuerpo Oficial de Bomberos de Bogotá".</t>
  </si>
  <si>
    <t>Adicion y Prorroga contrato 204-2024 cuyo objeto es "SGH - Prestar sus servicios profesionales en la Subdirección de Gestión Humana, en los procesos contractuales y demás actividades relacionadas con la Subdirección de Gestión Humana"</t>
  </si>
  <si>
    <t>Adicion y prorroga al contrato 208-2024 cuyo objeto es "SGH - Prestar sus servicios profesionales en la Subdirección de Gestión Humana, en la administración de sistema de seguridad y salud en el trabajo"</t>
  </si>
  <si>
    <t>Adicion y prorroga al contrato 193-2024 cuyo objeto es "GH - Prestar servicios profesionales para apoyar el programa de vigilancia epidemiológico al riesgo psicosocial y actividades de seguridad y salud en el trabajo en la Subdirección de Gestión Humana."</t>
  </si>
  <si>
    <t>SGH - Adquirir el manual Fundamentos de lucha contra incendios IFSTA 7</t>
  </si>
  <si>
    <t>SGH - Contratar formacion para instructor del fuego I - proboard para el personal operativo de la Unidad Administrativa Especial Cuerpo Oficial de Bomberos</t>
  </si>
  <si>
    <t>55101509, 55101516</t>
  </si>
  <si>
    <t>86101600, 86101700, 86101800, 86111600, 86141500,  86121800, 80111500, 46161600</t>
  </si>
  <si>
    <t>Adición y prórroga al contrato 385 de 2024 cuto objeto es: "Prestar los servicios profesionales jurídicos para apoyar las actuaciones procesales y procedimentales de la Oficina Jurídica"</t>
  </si>
  <si>
    <t xml:space="preserve"> Adición No. 2 al contrato 510 de 2022 que tiene como objeto "Elaboración de estudios y diseños técnicos para la construcción de la estación de bomberos de Caobos Salazar B-13 de la UAE Cuerpo Oficial de Bomberos de Bogotá – SGC</t>
  </si>
  <si>
    <t>Adición N° 1 al contrato de obra 383 de 2024, que tiene como objeto “Realizar la adecuación del espacio de entrenamiento de la estación de bomberos B-05 Kennedy – SGC</t>
  </si>
  <si>
    <t>80101600, 81101500</t>
  </si>
  <si>
    <t>72121400, 72151500, 72151700, 72152400, 95121700</t>
  </si>
  <si>
    <t>Adición y prórroga No. 1 al contrato 539 de 2024 que tiene como objeto “Prestación de servicios profesionales para adelantar actividades técnicas y trámites administrativos del Área de Infraestructura de la Subdirección de Gestión Corporativa-SGC</t>
  </si>
  <si>
    <t>Adición y prórroga No. 1 al contrato 472 de 2024 que tiene como objeto “Prestación de servicios profesionales al área Financiera de la Subdirección de Gestión Corporativa-SGC</t>
  </si>
  <si>
    <t>Adición y prórroga No. 1 al contrato 493 de 2024 que tiene como objeto “Prestación de servicios profesionales al área Financiera de la Subdirección de Gestión Corporativa-SGC</t>
  </si>
  <si>
    <t>Adición y prórroga No. 1 al contrato 269 de 2024 que tiene como objeto “Prestar servicios profesionales en la Subdirección de Gestión Corporativa en el marco de las actividades administrativas de la Dependencia.-SGC</t>
  </si>
  <si>
    <t>Contratar el suministro de solucion para  protección y prevención de amenazas a puntos finales y servidores de la U.A.E. Cuerpo Oficial de Bomberos de Bogotá - TIC</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</si>
  <si>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</si>
  <si>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</si>
  <si>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</si>
  <si>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53000000
53100000
53101500
53103101
53101502</t>
  </si>
  <si>
    <t>60121104
60121708
44111515
24121503
24112404</t>
  </si>
  <si>
    <t>60141000
60141100
60141200
60141400
73101500
73151500</t>
  </si>
  <si>
    <t>232314
231416
231818
391214</t>
  </si>
  <si>
    <t>Prestar servicios asistenciales en el desarrollo de actividades relacionadas con la gestión administrativa en la Oficina Asesora de Planeación de la Unidad Administrativa Especial Cuerpo Oficial de Bomberos de Bogotá.</t>
  </si>
  <si>
    <t>Fatima Veronica Quintero Nuñez</t>
  </si>
  <si>
    <t xml:space="preserve">Prestar servicios profesionales en temas transversales de los procesos de planeación, logísticos, administrativos y financieros que se deriven de las competencias a cargo de la Subdirección Logística - SBLG. </t>
  </si>
  <si>
    <t xml:space="preserve">Prestación de servicios profesionales en el apoyo jurídico relacionado a la gestión contractual y administrativa de la subdirección Logística- SBLG, de acuerdo con los lineamientos internos de la UAECOB. </t>
  </si>
  <si>
    <t>Prestación de servicios profesionales para el control y seguimiento, de las actividades derivadas de la gestión contractual, en las etapas pre-contractual y post-contractual a cargo de la Subdirección Logística. SBLG.</t>
  </si>
  <si>
    <t>Prestar servicios profesionales en el desarrollo de las actividades y de los diferentes procesos que tiene a su cargo y bajo su seguimiento la Dirección General de la UAE Cuerpo Oficial de Bomberos de Bogotá.</t>
  </si>
  <si>
    <t>Etiquetas de fila</t>
  </si>
  <si>
    <t>Total general</t>
  </si>
  <si>
    <t>Suma de Valor Programado</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</si>
  <si>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</si>
  <si>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</si>
  <si>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</si>
  <si>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</si>
  <si>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Contratar la prestación de servicios de apoyo a la gestión técnica en la evaluación, manutención y alistamiento de los equipos industriales y/o combustión a cargo de la Subdirección Logística – SBLG.</t>
  </si>
  <si>
    <t xml:space="preserve"> Prestar servicios profesionales para apoyar la gestión financiera y presupuestal de los proyectos y planes a cargo de la Subdirección Logística - SBLG. </t>
  </si>
  <si>
    <t>Prestación de servicios profesionales especializados para apoyar las actividades técnicas y gestión predial del Área de Infraestructura de la Subdirección de Gestión Corporativa-SGC</t>
  </si>
  <si>
    <t>Prestar servicios de apoyo a la gestión en actividades administrativas y documentales que se desarrollen en la Subdirección Logística – SBLG.</t>
  </si>
  <si>
    <t>Prestar servicios de apoyo a la gestión en el seguimiento, control y finalización del trámite de siniestros a cargo de la Subdirección Logística</t>
  </si>
  <si>
    <t>Prestación de servicios de apoyo a la gestión en la Dirección para el acompañamiento en las labores administrativas en asuntos de Comunicaciones y Prensa de la UAECOB</t>
  </si>
  <si>
    <t>José Andres Ponce Caicedo</t>
  </si>
  <si>
    <t xml:space="preserve">SGH – Prestar servicios profesionales en las diferentes actividades del  sistema de gestión de seguridad y salud en el trabajo y en vigilancia epidemiológica de la Subdirección de Gestión Humana. </t>
  </si>
  <si>
    <t>O23011745032024025508031_</t>
  </si>
  <si>
    <t>(en blanco)</t>
  </si>
  <si>
    <t>Versión No. 9 - PLAN DISTRITAL DE DESARROLLO "BOGOTÁ CAMINA SEGURA"</t>
  </si>
  <si>
    <t>Pago de pasivo exigible del contrato 513 de 2022</t>
  </si>
  <si>
    <t>Contratar el mantenimiento y recarga de los extintores y otros elementos pertinentes  a la U.A.E. Cuerpo Oficial de Bomberos 
de Bogotá. - SBLG</t>
  </si>
  <si>
    <t>46191601
72101509</t>
  </si>
  <si>
    <t>Prestación de servicios de apoyo a la gestión administrativa y documental, en lo concerniente al parque automotor a cargo de la Subdirección Logística - SBLG.</t>
  </si>
  <si>
    <t>Adición y prorroga del contrato 434-24 cuyo objeto es: Prestación de servicios de apoyo a la gestión como  conductor para realizar el transporte de personas, materiales y alimentos de acuerdo a las necesidades e instrucciones de la Subdirección Logística</t>
  </si>
  <si>
    <t>Prestación de servicios profesionales administrativos en el seguimiento y control de los procesos y procedimientos de la Subdirección Logística incluyendo el sistema de Gestión ambiental de la Subdirección. -SBGL</t>
  </si>
  <si>
    <t>Prestar servicios de apoyo a la gestión de la Subdirección Logística para la organización, clasificación, foliación, digitalización e indexación de los documentos elaborados y gestionados desde la subdirección  - SBLG</t>
  </si>
  <si>
    <t xml:space="preserve">Contrato de Prestación de servicios de apoyo a la gestión en actividades Técnicas, administrativas y documentales de la Subdirección Logística - SBLG </t>
  </si>
  <si>
    <t>Prestar servicios de apoyo a la gestión para la recepción,gestión y trámite de todas las incidencias o solicitudes informadas a través de la herramienta tecnologica de la Subdirección Logística de la UAECOB. – SBLG.</t>
  </si>
  <si>
    <t>Adicion y prorroga contrato 248-2024 cuyo objeto es "SGH - Prestar servicios profesionales para la implementación y seguimiento del sistema de gestión de seguridad y salud en el trabajo en la Subdirección de Gestión Humana".</t>
  </si>
  <si>
    <t>Adicion y prorroga contrato 230-2024 cuyo objeto es "SGH - Prestar servicios de apoyo a la gestión en la Subdirección de Gestión Humana en las diferentes actividades logísticas relacionadas con  el proceso de Academia.".</t>
  </si>
  <si>
    <t>Adicion y prorroga contrato 146-2024 cuyo objeto es "SGH - Prestar servicios profesionales para la implementación y seguimiento del sistema de gestión de seguridad y salud en el trabajo en la Subdirección de Gestión Humana".</t>
  </si>
  <si>
    <t>Adicion y prorroga contrato 584-2024 cuyo objeto es "SGH - Prestar servicios profesionales especializados en el desarrollo de las actividades y de los diferentes procesos que tiene a cargo la Subdirección de Gestión Humana de la UAE Cuerpo Oficial de Bomberos de Bogotá".</t>
  </si>
  <si>
    <t>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t>
  </si>
  <si>
    <t>Adición y prórroga al contrato 569 de 2024 cuyo objeto es: "Prestación de servicios profesionales jurídicos para orientar y apoyar el trámite y la gestión de los procesos disciplinarios que se adelanten en la Oficina Jurídica de la Unidad Administrativa Especial Cuerpo Oficial de Bomberos Bogotá"</t>
  </si>
  <si>
    <t>Adición y prórroga al contrato 471 de 2024 cuyo objeto es: "Prestar servicios profesionales para apoyar las diferentes actuaciones jurídicas que adelanta la UAECOB"</t>
  </si>
  <si>
    <t>Adición y prórroga al contrato 596 de 2024 cuyo objeto es: "Prestar los servicios profesionales para realizar el acompañamiento administrativo y financiero en temas de liquidación y cierre de expedientes, como demás actuaciones administrativas requeridas de los procesos contractuales"</t>
  </si>
  <si>
    <t>Adición y prórroga al contrato 467 de 2024 cuyo objeto es: "Prestar los servicios profesionales jurídicos especializados para la verificación de la legalidad contractual en el desarrollo de las funciones de la Oficina Jurídica"</t>
  </si>
  <si>
    <t>Adición y prórroga al contrato 226 de 2024 cuyo objeto es: "Prestar los servicios profesionales para apoyar la depuración de la cartera de cobro coactivo, así como actividades propias de la defensa judicial de la Entidad y demas actiuaciones relacionadas que requiera la Oficina Jurídica"</t>
  </si>
  <si>
    <t>Adición y prórroga al contrato 449 de 2024 cuto objeto es: "Prestar los servicios de apoyo para los tramites, gestiones y actividades propias que se requieran en los diferentes procesos disciplinarios propios de la etapa de juzgamiento de la Oficina Jurídica en la UAECOB"</t>
  </si>
  <si>
    <t>ADICION Y PRORROGA CTO 399-2024,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</si>
  <si>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ADICION Y PRORROGA CTO 422-2024,Prestar servicios profesionales en los procesos de formacion y capacitacion de la subdirección de gestión del riesgo._SGR</t>
  </si>
  <si>
    <t xml:space="preserve">ADICION Y PRORROGA CTO 456-2024, Prestar servicios de apoyo en las actividades de Programas y Campañas de Prevención para la Subdirección de Gestión del Riesgo.  </t>
  </si>
  <si>
    <t xml:space="preserve">ADICION Y PRORROGA CTO 547-2024, Prestar sus servicios profesionales en los procesos de formación y capacitación de la Subdirección de Gestión del Riesgo para las acciones derivadas del campus virtual. _SGR. </t>
  </si>
  <si>
    <t>ADICION Y PRORROGA CTO 576-2024, Prestar sus servicios profesionales en las actividades relacionadas con el seguimiento a la emision de conceptos a cargo de la Subdirección de Gestión del Riesgo._SGR</t>
  </si>
  <si>
    <t xml:space="preserve">ADICION Y PRORROGA CTO 559-2024, Prestar  servicios profesionales en las actividades de proyeccion e innovacion para la Subdirección de Gestión del Riesgo._SGR </t>
  </si>
  <si>
    <t xml:space="preserve">ADICION Y PRORROGA CTO 465-2024,Prestar servicios técnicos administrativos apoyando a la Subdirección de Gestión del Riesgo con lo relacionado al seguimiento y control de sus solicitudes y peticiones._SGR 
</t>
  </si>
  <si>
    <t>ADICION Y PRORROGA CTO 464-2024, Prestar servicios profesionales para la gestión de la SGR, en el desarrollo de actividades de planeación y gestión._SGR</t>
  </si>
  <si>
    <t>ADICION Y PRORROGA CTO 404-2024, Prestar servicios profesionales para la gestión de la SGR, estructurando el seguimiento de los procesos contractuales y demás aspectos jurídicos._SGR</t>
  </si>
  <si>
    <t>ADICION Y PRORROGA CTO 601-2024, Prestar servicios profesionales para la gestión de la SGR, estructurando el seguimiento de los procesos contractuales y demás aspectos jurídicos._SGR</t>
  </si>
  <si>
    <t>ADICION Y PRORROGA CTO 201-2024, Prestar servicios profesionales a la Subdirección de Gestión del Riesgo coordinando las actividades del proceso de Conocimiento del Riesgo._SGR</t>
  </si>
  <si>
    <t>ADICION Y PRORROGA CTO 369-2024, Prestar servicios profesionales en las actividades de análisis de información de escenarios a cargo de la subdirección de Gestión del Riesgo SGR”.</t>
  </si>
  <si>
    <t>ADICION Y PRORROGA CTO 341-2024, Prestar servicios de apoyo a la gestion en las actividades de monitoreo del riesgo para la Subdirección de Gestión del Riesgo._SGR</t>
  </si>
  <si>
    <t>ADICION Y PRORROGA CTO 338-2024, Prestar servicios de apoyo a la gestion en las actividades de monitoreo del riesgo para la Subdirección de Gestión del Riesgo._SGR</t>
  </si>
  <si>
    <t>ADICION Y PRORROGA CTO 367-2024, Prestar servicios de apoyo a la gestión en las actividades de soporte operacional de la UAECOB._SGR</t>
  </si>
  <si>
    <t xml:space="preserve">Prestar servicios de apoyo en las actividades de Programas y Campañas de Prevención para la Subdirección de Gestión del Riesgo.SGR </t>
  </si>
  <si>
    <t>Adición y prórroga No. 1 al contrato 395 de 2024 que tiene como objeto“Suministro de insumos para las impresoras de las dependencias de la UAE Cuerpo Oficial de Bomberos.-SGC.</t>
  </si>
  <si>
    <t>44103100;44103101;44103103;44103105;44103106;44103108;44103110;44103111;55101500;</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</si>
  <si>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</si>
  <si>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</si>
  <si>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</si>
  <si>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Prestación de servicios de apoyo en las actividades asociadas a los procesos de almacén de la Subdirección de Gestión Corporativa SGC</t>
  </si>
  <si>
    <t xml:space="preserve">Adquisición de mobiliario para la dotación de las instalaciones de la UAE Cuerpo Oficial de Bomberos Bogotá- SGC </t>
  </si>
  <si>
    <t>56101500;
56101700;
56101900;
56111500;</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</si>
  <si>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</si>
  <si>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</si>
  <si>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</si>
  <si>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Prestación de servicios profesionales para atender las actividades financieras, a cargo de la Subdirección de Gestión Corporativa-SGC</t>
  </si>
  <si>
    <t>Prestación de servicios profesionales para atender los proceso y procedimientos a cargo del área Financiera de la Subdirección de Gestión Corporativa-SGC</t>
  </si>
  <si>
    <t xml:space="preserve"> Adición y prorroga al contrato 419 de 2024 "Prestar los servicios profesionales como abogado en la Oficina de Control Interno para el desarrollo del Plan Anual de Auditorías."</t>
  </si>
  <si>
    <t>Adición y prorroga al contrato 424 de 2024 "Prestar los servicios profesionales  en la Oficina de Control Interno para el desarrollo del Plan Anual de Auditorías."</t>
  </si>
  <si>
    <t xml:space="preserve"> Adición y prorroga al contrato 448 de 2024 "Prestar servicios de apoyo a la gestión como técnico en la Oficina de Control Interno para ejecutar procesos y procedimientos administrativos y asistenciales teniendo en cuenta el Plan Anual de Auditorías."</t>
  </si>
  <si>
    <t>Adición y prórroga al contrato 343 del 2024 cuyo objeto es la " Contratar el alquiler de equipos tecnológicos, periféricos y servicios complementarios para la U.A.E. Cuerpo Oficial de Bomberos de Bogotá. - TIC"</t>
  </si>
  <si>
    <t>Adición y prórroga al contrato 347 del 2024 cuyo objeto es la " Contratar el alquiler de equipos tecnológicos, periféricos y servicios complementarios para la U.A.E. Cuerpo Oficial de Bomberos de Bogotá. - TIC"</t>
  </si>
  <si>
    <t>Contratar el servicio de soporte y mantenimiento del sistema de control de acceso para los visitantes y los funcionarios de la U.A.E. Cuerpo Oficial Bomberos de Bogotá</t>
  </si>
  <si>
    <t>Contratar la adquisición de monitores curvos y diademas para el fortalecimiento de la infraestructura tecnológica en la atención y gestión de las operaciones de emergencia, que se coordinan en la Central de Coordinación y Comunicaciones de la UAE Cuerpo Oficial de Bomberos de Bogotá.</t>
  </si>
  <si>
    <t xml:space="preserve">Adquisición de elementos tecnológicos especializados para fortalecer las capacidades del área de comunicaciones y prensa de la UAE Cuerpo Oficial de Bomberos de Bogotá - TIC. </t>
  </si>
  <si>
    <t>Contratar la adquisición de pantallas interactivas y televisores para el fortalecimiento de la infraestructura tecnológica para el desarrollo de la gestión misional y administrativa general de la UAE Cuerpo Oficial de Bomberos de Bogotá.</t>
  </si>
  <si>
    <t>Contratar la adquisición de dispositivos para el fortalecimiento y modernización de la infraestructura tecnológica de la U.A.E. Cuerpo Oficial de Bomberos de Bogotá.</t>
  </si>
  <si>
    <t>Contratar  la prestacion de servicios de apoyo a la coordinación en los procesos de análisis, levantamiento de información, parametrización, diseño y testeo de las herramientas tecnológicas desarrolladas para el funcionamiento de la U.A.E. Cuerpo Oficial de Bomberos de Bogotá - TIC</t>
  </si>
  <si>
    <t>Prestar servicios profesionales para el desarrollo de herramientas de colaboración alineadas a los procesos misionales de la U.A.E. Cuerpo Oficial de Bomberos de Bogotá - TIC</t>
  </si>
  <si>
    <t>Prestar servicios profesionales para el desarrollo de los sistemas de información alineados a los procesos misionales de la U.A.E. Cuerpo Oficial de Bomberos de Bogotá - TIC</t>
  </si>
  <si>
    <t>43211500, 43211503, 43211507, 43211509, 43211619</t>
  </si>
  <si>
    <t>43222500, 43233200, 81111800, 81112200</t>
  </si>
  <si>
    <t>Adición y prórroga del contrato 247-2024 con objeto "Prestar servicios profesionales jurídicos en el desarrollo de las actividades y de los diferentes procesos de la Dirección General de la UAE Cuerpo Oficial de Bomberos de Bogotá"</t>
  </si>
  <si>
    <t>Adición y prórroga del contrato 284-2024 con objeto "Prestación de servicios profesionales para acompañar a la Dirección en la estructuración de fichas técnicas y en la identificación de necesidades técnicas que requiere suplir la UAE Cuerpo Oficial de Bomberos de Bogotá"</t>
  </si>
  <si>
    <t>Adición y prórroga del contrato 655-2024 con objeto "Prestar servicios profesionales a la Dirección General en actividades de articulación interinstitucional entre las diferentes dependencias, entidades del sector, y demás que estén relacionadas con la misionalidad de la UAECOB"</t>
  </si>
  <si>
    <t>Adición y prórroga del contrato 405-2024 con objeto "Prestación de servicios profesionales jurídicos en virtud de las funciones asignadas a la Dirección General de la UAECOB, para apoyar los procesos contractuales y actividades administrativas requeridas."</t>
  </si>
  <si>
    <t>Adición y prórroga del contrato 441-2024 con objeto "Prestar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</si>
  <si>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Adición y prórroga del contrato 443-2024 con objeto "Prestar servicios de apoyo a la gestión en la UAECOB, en asuntos administrativos y asistenciales requeridos, especificamente en el seguimiento de la información."</t>
  </si>
  <si>
    <t>Adición y prórroga del contrato 420-2024 con objeto "Prestar servicios profesionales especializados en la Dirección General de la UAECOB en la organización y liderazgo de los asuntos relacionados con comunicaciones de conformidad a la misionalidad de la entidad."</t>
  </si>
  <si>
    <t>Adición y prórroga del contrato 496-2024 con objeto "Prestación de servicios profesionales para apoyar a la Dirección en la elaboración, diseño y diagramación de piezas requeridas para los planes, programas, proyectos y procedimientos"</t>
  </si>
  <si>
    <t>Adición y prórroga del contrato 436-2024 con objeto "Prestar servicios profesionales para apoyar el desarrollo de estrategias de la dirección general, en asuntos relacionados con comunicaciones y prensa, encaminadas al posicionamiento, imagen y divulgación corporativa de la entidad y dirigidas a sus públicos internos"</t>
  </si>
  <si>
    <t>Adición y prórroga del contrato 561-2024 con objeto "Prestación de servicios profesionales en asuntos de comunicaciones y prensa para apoyar la divulgación y socialización de la información relacionada con la misionalidad de la UAECOB de manera interna y externa"</t>
  </si>
  <si>
    <t>Adición y prórroga del contrato 552-2024 con objeto "Prestación de servicios profesionales en la Dirección en comunicaciones y prensa, para apoyar la difusión de la información al público interno y externo de la UAECOB."</t>
  </si>
  <si>
    <t>Adición y prórroga del contrato 409-2024 con objeto "Prestar servicios de apoyo para la gestión en asuntos de comunicaciones y prensa en la Dirección General, y demás acciones encaminadas al cumplimiento de las estrategias comunicacionales de la UAECOB"</t>
  </si>
  <si>
    <t>Adición y prórroga del contrato 542-2024 con objeto "Prestar servicios profesionales en la Dirección General para el diseño gráfico y apoyo periodistico requerido en el marco de la estrategia de comunicaciones y prensa de la UEACOB".</t>
  </si>
  <si>
    <t>Adición y prórroga del contrato 574-2024 con objeto "Prestar apoyo técnico en la Dirección, en asuntos de comunicaciones y prensa, para la producción, diseño y edición de material audiovisual de la UAECOB."</t>
  </si>
  <si>
    <t>Adición y prórroga del contrato 401-2024 con objeto "Prestar servicios profesionales en la Dirección General para  el manejo de redes sociales de la entidad y apoyo periodistico requerido en el marco de la estrategia de comunicaciones y prensa de la UEACOB".</t>
  </si>
  <si>
    <t>Prestación de servicios profesionales en el desarrollo de las actividades que se designen del Modelo Integrado de Planeación y Gestión  MIPG, encaminadas a apoyar el área que requiera soporte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</si>
</sst>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17">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
      <sz val="11"/>
      <color rgb="FFFF0000"/>
      <name val="Tahoma"/>
      <family val="2"/>
    </font>
    <font>
      <b/>
      <sz val="11"/>
      <color theme="1"/>
      <name val="Tahoma"/>
      <family val="2"/>
    </font>
  </fonts>
  <fills count="15">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rgb="FFFFFF0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00FF00"/>
        <bgColor indexed="64"/>
      </patternFill>
    </fill>
    <fill>
      <patternFill patternType="solid">
        <fgColor rgb="FF99CCFF"/>
        <bgColor indexed="64"/>
      </patternFill>
    </fill>
    <fill>
      <patternFill patternType="solid">
        <fgColor rgb="FF00FFFF"/>
        <bgColor indexed="64"/>
      </patternFill>
    </fill>
    <fill>
      <patternFill patternType="solid">
        <fgColor rgb="FF92D050"/>
        <bgColor indexed="64"/>
      </patternFill>
    </fill>
    <fill>
      <patternFill patternType="solid">
        <fgColor rgb="FFCCFF99"/>
        <bgColor indexed="64"/>
      </patternFill>
    </fill>
    <fill>
      <patternFill patternType="solid">
        <fgColor rgb="FF66FFCC"/>
        <bgColor indexed="64"/>
      </patternFill>
    </fill>
    <fill>
      <patternFill patternType="solid">
        <fgColor theme="0"/>
        <bgColor indexed="64"/>
      </patternFill>
    </fill>
    <fill>
      <patternFill patternType="solid">
        <fgColor rgb="FFC0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220">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0" fontId="13" fillId="0" borderId="0" xfId="0" applyFont="1" applyAlignment="1">
      <alignment horizontal="center" vertical="center"/>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 fontId="3" fillId="0" borderId="0" xfId="0" applyNumberFormat="1" applyFont="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4" fillId="0" borderId="0" xfId="0"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4" fontId="3" fillId="0" borderId="1" xfId="4"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165" fontId="4" fillId="0" borderId="0" xfId="2" applyNumberFormat="1" applyFont="1" applyAlignment="1" applyProtection="1">
      <alignment vertical="center" wrapText="1"/>
      <protection locked="0"/>
    </xf>
    <xf numFmtId="165" fontId="4" fillId="0" borderId="0" xfId="2" applyNumberFormat="1" applyFont="1" applyAlignment="1" applyProtection="1">
      <alignment horizontal="center" vertical="center" wrapText="1"/>
      <protection locked="0"/>
    </xf>
    <xf numFmtId="165" fontId="3" fillId="0" borderId="0" xfId="2" applyNumberFormat="1" applyFont="1" applyAlignment="1" applyProtection="1">
      <alignment horizontal="right"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165" fontId="5" fillId="0" borderId="0" xfId="0" applyNumberFormat="1" applyFont="1" applyAlignment="1" applyProtection="1">
      <alignment vertical="center"/>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65" fontId="4" fillId="0" borderId="5" xfId="2" applyNumberFormat="1" applyFont="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9" xfId="5" applyFont="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14" fontId="3" fillId="0" borderId="3" xfId="4"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165" fontId="3" fillId="0" borderId="3" xfId="2" applyNumberFormat="1" applyFont="1" applyFill="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2" fontId="3" fillId="0" borderId="1" xfId="4" applyNumberFormat="1" applyFont="1" applyFill="1" applyBorder="1" applyAlignment="1" applyProtection="1">
      <alignment horizontal="center" vertical="center" wrapText="1"/>
      <protection locked="0"/>
    </xf>
    <xf numFmtId="0" fontId="3" fillId="0" borderId="1" xfId="1"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43" fontId="14" fillId="0" borderId="0" xfId="2" applyFont="1" applyFill="1" applyAlignment="1" applyProtection="1">
      <alignment vertical="center"/>
      <protection locked="0"/>
    </xf>
    <xf numFmtId="165" fontId="14" fillId="0" borderId="0" xfId="2" applyNumberFormat="1" applyFont="1" applyFill="1" applyAlignment="1" applyProtection="1">
      <alignment vertical="center"/>
      <protection locked="0"/>
    </xf>
    <xf numFmtId="14" fontId="16" fillId="0" borderId="0" xfId="2" applyNumberFormat="1" applyFont="1" applyFill="1" applyBorder="1" applyAlignment="1" applyProtection="1">
      <alignment horizontal="center" vertical="center" wrapText="1"/>
      <protection locked="0"/>
    </xf>
    <xf numFmtId="0" fontId="0" fillId="0" borderId="0" xfId="0" pivotButton="1"/>
    <xf numFmtId="43" fontId="0" fillId="0" borderId="0" xfId="2" applyFont="1"/>
    <xf numFmtId="43" fontId="3" fillId="0" borderId="1" xfId="2" applyFont="1" applyFill="1" applyBorder="1" applyAlignment="1" applyProtection="1">
      <alignment horizontal="center" vertical="center" wrapText="1"/>
      <protection locked="0"/>
    </xf>
    <xf numFmtId="43" fontId="3" fillId="0" borderId="1" xfId="2"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0" borderId="1" xfId="5" applyFont="1" applyBorder="1" applyAlignment="1">
      <alignment horizontal="center" vertical="center" wrapText="1"/>
    </xf>
    <xf numFmtId="0" fontId="3" fillId="0" borderId="6" xfId="5" applyFont="1" applyBorder="1" applyAlignment="1" applyProtection="1">
      <alignment horizontal="center" vertical="center" wrapText="1"/>
      <protection locked="0"/>
    </xf>
    <xf numFmtId="0" fontId="15" fillId="0" borderId="1" xfId="5" applyFont="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5" applyFont="1" applyBorder="1" applyAlignment="1" applyProtection="1">
      <alignment horizontal="center" vertical="center" wrapText="1"/>
      <protection locked="0"/>
    </xf>
    <xf numFmtId="14" fontId="3" fillId="0" borderId="3" xfId="0" applyNumberFormat="1" applyFont="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0" fontId="3" fillId="0" borderId="3" xfId="5" applyFont="1" applyBorder="1" applyAlignment="1">
      <alignment horizontal="center" vertical="center" wrapText="1"/>
    </xf>
    <xf numFmtId="0" fontId="3" fillId="0" borderId="11" xfId="5" applyFont="1" applyBorder="1" applyAlignment="1" applyProtection="1">
      <alignment horizontal="center" vertical="center" wrapText="1"/>
      <protection locked="0"/>
    </xf>
    <xf numFmtId="0" fontId="3" fillId="5" borderId="1" xfId="2" applyNumberFormat="1"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1" xfId="5" applyFont="1" applyFill="1" applyBorder="1" applyAlignment="1" applyProtection="1">
      <alignment horizontal="center" vertical="center" wrapText="1"/>
      <protection locked="0"/>
    </xf>
    <xf numFmtId="1" fontId="3" fillId="5" borderId="1" xfId="4" applyNumberFormat="1"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1" fontId="3" fillId="5" borderId="1" xfId="2" applyNumberFormat="1" applyFont="1" applyFill="1" applyBorder="1" applyAlignment="1" applyProtection="1">
      <alignment horizontal="center" vertical="center"/>
      <protection locked="0"/>
    </xf>
    <xf numFmtId="165" fontId="3" fillId="5" borderId="1" xfId="2" applyNumberFormat="1" applyFont="1" applyFill="1" applyBorder="1" applyAlignment="1" applyProtection="1">
      <alignment horizontal="center" vertical="center" wrapText="1"/>
      <protection locked="0"/>
    </xf>
    <xf numFmtId="0" fontId="3" fillId="5" borderId="1" xfId="5" applyFont="1" applyFill="1" applyBorder="1" applyAlignment="1">
      <alignment horizontal="center" vertical="center" wrapText="1"/>
    </xf>
    <xf numFmtId="0" fontId="3" fillId="4" borderId="1" xfId="5" applyFont="1" applyFill="1" applyBorder="1" applyAlignment="1" applyProtection="1">
      <alignment horizontal="center" vertical="center" wrapText="1"/>
      <protection locked="0"/>
    </xf>
    <xf numFmtId="165" fontId="0" fillId="0" borderId="0" xfId="2" applyNumberFormat="1" applyFont="1"/>
    <xf numFmtId="165" fontId="0" fillId="0" borderId="0" xfId="0" applyNumberFormat="1"/>
    <xf numFmtId="0" fontId="0" fillId="0" borderId="0" xfId="0" applyAlignment="1">
      <alignment wrapText="1"/>
    </xf>
    <xf numFmtId="0" fontId="0" fillId="0" borderId="0" xfId="0"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 xfId="0" pivotButton="1" applyBorder="1"/>
    <xf numFmtId="0" fontId="0" fillId="0" borderId="1" xfId="0" pivotButton="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165" fontId="0" fillId="0" borderId="1" xfId="0" applyNumberFormat="1"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65" fontId="0" fillId="2" borderId="1" xfId="0" applyNumberFormat="1" applyFill="1"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165" fontId="0" fillId="6" borderId="1" xfId="0" applyNumberFormat="1" applyFill="1" applyBorder="1" applyAlignment="1">
      <alignment horizontal="center" vertical="center" wrapText="1"/>
    </xf>
    <xf numFmtId="0" fontId="0" fillId="2" borderId="1" xfId="0" applyFill="1" applyBorder="1" applyAlignment="1">
      <alignment horizontal="left"/>
    </xf>
    <xf numFmtId="0" fontId="0" fillId="2" borderId="1" xfId="0" applyFill="1" applyBorder="1"/>
    <xf numFmtId="165" fontId="0" fillId="2" borderId="1" xfId="0" applyNumberFormat="1" applyFill="1" applyBorder="1"/>
    <xf numFmtId="0" fontId="0" fillId="6" borderId="1" xfId="0" applyFill="1" applyBorder="1" applyAlignment="1">
      <alignment horizontal="left"/>
    </xf>
    <xf numFmtId="0" fontId="0" fillId="6" borderId="1" xfId="0" applyFill="1" applyBorder="1"/>
    <xf numFmtId="165" fontId="0" fillId="6" borderId="1" xfId="0" applyNumberFormat="1" applyFill="1" applyBorder="1"/>
    <xf numFmtId="0" fontId="3" fillId="7" borderId="1" xfId="5" applyFont="1" applyFill="1" applyBorder="1" applyAlignment="1" applyProtection="1">
      <alignment horizontal="center" vertical="center" wrapText="1"/>
      <protection locked="0"/>
    </xf>
    <xf numFmtId="165" fontId="0" fillId="0" borderId="1" xfId="0" applyNumberFormat="1" applyBorder="1" applyAlignment="1">
      <alignment horizontal="left" vertical="center"/>
    </xf>
    <xf numFmtId="165" fontId="0" fillId="0" borderId="1" xfId="0" applyNumberFormat="1" applyBorder="1" applyAlignment="1">
      <alignment vertical="center"/>
    </xf>
    <xf numFmtId="0" fontId="3" fillId="8" borderId="1" xfId="5" applyFont="1" applyFill="1" applyBorder="1" applyAlignment="1" applyProtection="1">
      <alignment horizontal="center" vertical="center" wrapText="1"/>
      <protection locked="0"/>
    </xf>
    <xf numFmtId="0" fontId="3" fillId="5" borderId="6" xfId="5" applyFont="1" applyFill="1" applyBorder="1" applyAlignment="1" applyProtection="1">
      <alignment horizontal="center" vertical="center" wrapText="1"/>
      <protection locked="0"/>
    </xf>
    <xf numFmtId="2" fontId="3" fillId="5" borderId="1" xfId="4" applyNumberFormat="1" applyFont="1" applyFill="1" applyBorder="1" applyAlignment="1" applyProtection="1">
      <alignment horizontal="center" vertical="center" wrapText="1"/>
      <protection locked="0"/>
    </xf>
    <xf numFmtId="14" fontId="3" fillId="5" borderId="1" xfId="4" applyNumberFormat="1" applyFont="1" applyFill="1" applyBorder="1" applyAlignment="1" applyProtection="1">
      <alignment horizontal="center" vertical="center" wrapText="1"/>
      <protection locked="0"/>
    </xf>
    <xf numFmtId="0" fontId="3" fillId="9" borderId="1" xfId="5" applyFont="1" applyFill="1" applyBorder="1" applyAlignment="1" applyProtection="1">
      <alignment horizontal="center" vertical="center" wrapText="1"/>
      <protection locked="0"/>
    </xf>
    <xf numFmtId="165" fontId="3" fillId="9" borderId="1" xfId="2" applyNumberFormat="1" applyFont="1" applyFill="1" applyBorder="1" applyAlignment="1" applyProtection="1">
      <alignment horizontal="center" vertical="center" wrapText="1"/>
      <protection locked="0"/>
    </xf>
    <xf numFmtId="0" fontId="3" fillId="9" borderId="1" xfId="5" applyFont="1" applyFill="1" applyBorder="1" applyAlignment="1">
      <alignment horizontal="center" vertical="center" wrapText="1"/>
    </xf>
    <xf numFmtId="0" fontId="3" fillId="11" borderId="1" xfId="5" applyFont="1" applyFill="1" applyBorder="1" applyAlignment="1" applyProtection="1">
      <alignment horizontal="center" vertical="center" wrapText="1"/>
      <protection locked="0"/>
    </xf>
    <xf numFmtId="0" fontId="3" fillId="12" borderId="1" xfId="5" applyFont="1" applyFill="1" applyBorder="1" applyAlignment="1" applyProtection="1">
      <alignment horizontal="center" vertical="center" wrapText="1"/>
      <protection locked="0"/>
    </xf>
    <xf numFmtId="0" fontId="3" fillId="10" borderId="1" xfId="5" applyFont="1" applyFill="1" applyBorder="1" applyAlignment="1" applyProtection="1">
      <alignment horizontal="center" vertical="center" wrapText="1"/>
      <protection locked="0"/>
    </xf>
    <xf numFmtId="0" fontId="3" fillId="5" borderId="1" xfId="1" applyNumberFormat="1" applyFont="1" applyFill="1" applyBorder="1" applyAlignment="1" applyProtection="1">
      <alignment horizontal="center" vertical="center" wrapText="1"/>
      <protection locked="0"/>
    </xf>
    <xf numFmtId="1" fontId="3" fillId="5" borderId="1" xfId="2" applyNumberFormat="1" applyFont="1" applyFill="1" applyBorder="1" applyAlignment="1" applyProtection="1">
      <alignment horizontal="center" vertical="center" wrapText="1"/>
      <protection locked="0"/>
    </xf>
    <xf numFmtId="0" fontId="3" fillId="0" borderId="6" xfId="5" applyFont="1" applyBorder="1" applyAlignment="1">
      <alignment horizontal="center" vertical="center" wrapText="1"/>
    </xf>
    <xf numFmtId="0" fontId="3" fillId="5" borderId="1" xfId="0" applyFont="1" applyFill="1" applyBorder="1" applyAlignment="1" applyProtection="1">
      <alignment vertical="center" wrapText="1"/>
      <protection locked="0"/>
    </xf>
    <xf numFmtId="0" fontId="3" fillId="0" borderId="0" xfId="5" applyFont="1" applyBorder="1" applyAlignment="1">
      <alignment horizontal="center" vertical="center" wrapText="1"/>
    </xf>
    <xf numFmtId="165" fontId="3" fillId="0" borderId="0" xfId="2" applyNumberFormat="1" applyFont="1" applyFill="1" applyBorder="1" applyAlignment="1" applyProtection="1">
      <alignment horizontal="center" vertical="center" wrapText="1"/>
      <protection locked="0"/>
    </xf>
    <xf numFmtId="0" fontId="3" fillId="5" borderId="6" xfId="0" applyFont="1" applyFill="1" applyBorder="1" applyAlignment="1" applyProtection="1">
      <alignment vertical="center" wrapText="1"/>
      <protection locked="0"/>
    </xf>
    <xf numFmtId="0" fontId="3" fillId="0" borderId="0" xfId="5" applyFont="1" applyBorder="1" applyAlignment="1" applyProtection="1">
      <alignment horizontal="center" vertical="center" wrapText="1"/>
      <protection locked="0"/>
    </xf>
    <xf numFmtId="0" fontId="3" fillId="13" borderId="7" xfId="2" applyNumberFormat="1" applyFont="1" applyFill="1" applyBorder="1" applyAlignment="1" applyProtection="1">
      <alignment horizontal="center" vertical="center" wrapText="1"/>
      <protection locked="0"/>
    </xf>
    <xf numFmtId="0" fontId="3" fillId="14" borderId="7" xfId="2" applyNumberFormat="1" applyFont="1" applyFill="1" applyBorder="1" applyAlignment="1" applyProtection="1">
      <alignment horizontal="center" vertical="center" wrapText="1"/>
      <protection locked="0"/>
    </xf>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0" fillId="0" borderId="1" xfId="0" applyBorder="1" applyAlignment="1">
      <alignment horizontal="center"/>
    </xf>
    <xf numFmtId="0" fontId="7" fillId="0" borderId="1"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xf numFmtId="0" fontId="0" fillId="0" borderId="1" xfId="0" applyBorder="1" applyAlignment="1">
      <alignment horizontal="left"/>
    </xf>
    <xf numFmtId="0" fontId="7" fillId="0" borderId="2" xfId="0" applyFont="1" applyBorder="1" applyAlignment="1">
      <alignment horizontal="center"/>
    </xf>
    <xf numFmtId="43" fontId="8" fillId="0" borderId="0" xfId="2" applyFont="1" applyAlignment="1">
      <alignment horizontal="center"/>
    </xf>
    <xf numFmtId="43" fontId="7" fillId="0" borderId="1" xfId="2" applyFont="1" applyBorder="1" applyAlignment="1">
      <alignment horizontal="center"/>
    </xf>
  </cellXfs>
  <cellStyles count="7">
    <cellStyle name="Currency" xfId="1"/>
    <cellStyle name="Millares" xfId="2" builtinId="3"/>
    <cellStyle name="Millares 2" xfId="3"/>
    <cellStyle name="Moneda" xfId="4" builtinId="4"/>
    <cellStyle name="Normal" xfId="0" builtinId="0"/>
    <cellStyle name="Normal 2" xfId="5"/>
    <cellStyle name="Normal 2 10" xfId="6"/>
  </cellStyles>
  <dxfs count="346">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ill>
        <patternFill patternType="solid">
          <fgColor rgb="FFF4B084"/>
          <bgColor rgb="FF000000"/>
        </patternFill>
      </fill>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5" formatCode="_-* #,##0_-;\-* #,##0_-;_-* &quot;-&quot;??_-;_-@_-"/>
    </dxf>
    <dxf>
      <numFmt numFmtId="165" formatCode="_-* #,##0_-;\-* #,##0_-;_-* &quot;-&quot;??_-;_-@_-"/>
    </dxf>
    <dxf>
      <numFmt numFmtId="165" formatCode="_-* #,##0_-;\-* #,##0_-;_-* &quot;-&quot;??_-;_-@_-"/>
    </dxf>
    <dxf>
      <alignment wrapText="1"/>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numFmt numFmtId="165" formatCode="_-* #,##0_-;\-* #,##0_-;_-* &quot;-&quot;??_-;_-@_-"/>
    </dxf>
    <dxf>
      <numFmt numFmtId="165" formatCode="_-* #,##0_-;\-* #,##0_-;_-* &quot;-&quot;??_-;_-@_-"/>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horizontal="left"/>
    </dxf>
    <dxf>
      <alignment horizontal="left"/>
    </dxf>
    <dxf>
      <alignment vertical="center"/>
    </dxf>
    <dxf>
      <alignment vertical="center"/>
    </dxf>
    <dxf>
      <alignment wrapText="1"/>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wrapText="1"/>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_-;\-* #,##0_-;_-* &quot;-&quot;??_-;_-@_-"/>
      <fill>
        <patternFill>
          <fgColor indexed="64"/>
          <bgColor theme="5" tint="0.59999389629810485"/>
        </patternFill>
      </fill>
    </dxf>
    <dxf>
      <numFmt numFmtId="165" formatCode="_-* #,##0_-;\-* #,##0_-;_-* &quot;-&quot;??_-;_-@_-"/>
    </dxf>
    <dxf>
      <numFmt numFmtId="165" formatCode="_-* #,##0_-;\-* #,##0_-;_-* &quot;-&quot;??_-;_-@_-"/>
    </dxf>
    <dxf>
      <fill>
        <patternFill patternType="solid">
          <bgColor theme="5" tint="0.59999389629810485"/>
        </patternFill>
      </fill>
    </dxf>
    <dxf>
      <fill>
        <patternFill patternType="solid">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patternType="solid">
          <fgColor indexed="64"/>
          <bgColor theme="7" tint="0.59999389629810485"/>
        </patternFill>
      </fill>
      <alignment horizontal="center" vertical="center" wrapText="1"/>
    </dxf>
    <dxf>
      <numFmt numFmtId="165" formatCode="_-* #,##0_-;\-* #,##0_-;_-* &quot;-&quot;??_-;_-@_-"/>
    </dxf>
    <dxf>
      <numFmt numFmtId="165" formatCode="_-* #,##0_-;\-* #,##0_-;_-* &quot;-&quot;??_-;_-@_-"/>
    </dxf>
    <dxf>
      <alignment wrapText="1"/>
    </dxf>
    <dxf>
      <alignment wrapText="1"/>
    </dxf>
    <dxf>
      <alignment wrapText="1"/>
    </dxf>
    <dxf>
      <alignment wrapText="1"/>
    </dxf>
    <dxf>
      <alignment wrapText="1"/>
    </dxf>
    <dxf>
      <alignment wrapText="1"/>
    </dxf>
    <dxf>
      <alignment wrapText="1"/>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numFmt numFmtId="165" formatCode="_-* #,##0_-;\-* #,##0_-;_-* &quot;-&quot;??_-;_-@_-"/>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7" tint="0.59999389629810485"/>
        </patternFill>
      </fill>
    </dxf>
    <dxf>
      <fill>
        <patternFill patternType="solid">
          <bgColor theme="7" tint="0.59999389629810485"/>
        </patternFill>
      </fill>
    </dxf>
    <dxf>
      <numFmt numFmtId="165" formatCode="_-* #,##0_-;\-* #,##0_-;_-* &quot;-&quot;??_-;_-@_-"/>
    </dxf>
    <dxf>
      <numFmt numFmtId="165" formatCode="_-* #,##0_-;\-* #,##0_-;_-* &quot;-&quot;??_-;_-@_-"/>
    </dxf>
    <dxf>
      <alignment wrapText="1"/>
    </dxf>
    <dxf>
      <alignment wrapText="1"/>
    </dxf>
    <dxf>
      <alignment wrapText="1"/>
    </dxf>
    <dxf>
      <alignment wrapText="1"/>
    </dxf>
    <dxf>
      <alignment wrapText="1"/>
    </dxf>
    <dxf>
      <alignment wrapText="1"/>
    </dxf>
    <dxf>
      <alignment wrapText="1"/>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numFmt numFmtId="165" formatCode="_-* #,##0_-;\-* #,##0_-;_-* &quot;-&quot;??_-;_-@_-"/>
    </dxf>
    <dxf>
      <numFmt numFmtId="165" formatCode="_-* #,##0_-;\-* #,##0_-;_-* &quot;-&quot;??_-;_-@_-"/>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colors>
    <mruColors>
      <color rgb="FF00FFFF"/>
      <color rgb="FF66FFCC"/>
      <color rgb="FFCCFF99"/>
      <color rgb="FF99CCFF"/>
      <color rgb="FFFFFF99"/>
      <color rgb="FF00FF00"/>
      <color rgb="FFFF8181"/>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31750</xdr:rowOff>
    </xdr:from>
    <xdr:to>
      <xdr:col>3</xdr:col>
      <xdr:colOff>82550</xdr:colOff>
      <xdr:row>8</xdr:row>
      <xdr:rowOff>69850</xdr:rowOff>
    </xdr:to>
    <xdr:pic>
      <xdr:nvPicPr>
        <xdr:cNvPr id="1241" name="Imagen 12">
          <a:extLst>
            <a:ext uri="{FF2B5EF4-FFF2-40B4-BE49-F238E27FC236}">
              <a16:creationId xmlns:a16="http://schemas.microsoft.com/office/drawing/2014/main" id="{277E74E1-49CF-96C1-5BB6-15812E04A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2626" b="15536"/>
        <a:stretch>
          <a:fillRect/>
        </a:stretch>
      </xdr:blipFill>
      <xdr:spPr bwMode="auto">
        <a:xfrm>
          <a:off x="241300" y="209550"/>
          <a:ext cx="3638550" cy="141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OneDrive%20-%20Bomberos%20Bogota/Escritorio/1.%20contrato%20124%20de%202024%20-%20UAECOB/5.%20armonizacion%20pptal%202024%20UAECOB/Anexo%202%20Proyectos%20y%20Conceptos%20de%20Gasto_vf_0805%20Circular%20SDH%20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Intrucciones"/>
      <sheetName val="PROYECTOS DE INVERSION"/>
      <sheetName val=" Homologos FUT y CUIPO"/>
      <sheetName val="MGA"/>
      <sheetName val="TD"/>
      <sheetName val="Homologaciones"/>
      <sheetName val="Anexo 2 Proyectos y Conceptos d"/>
    </sheetNames>
    <sheetDataSet>
      <sheetData sheetId="0"/>
      <sheetData sheetId="1"/>
      <sheetData sheetId="2"/>
      <sheetData sheetId="3"/>
      <sheetData sheetId="4">
        <row r="7990">
          <cell r="A7990" t="str">
            <v>0401</v>
          </cell>
        </row>
        <row r="7991">
          <cell r="A7991" t="str">
            <v>0406</v>
          </cell>
        </row>
        <row r="7992">
          <cell r="A7992" t="str">
            <v>0499</v>
          </cell>
        </row>
        <row r="7993">
          <cell r="A7993" t="str">
            <v>1201</v>
          </cell>
        </row>
        <row r="7994">
          <cell r="A7994" t="str">
            <v>1202</v>
          </cell>
        </row>
        <row r="7995">
          <cell r="A7995" t="str">
            <v>1203</v>
          </cell>
        </row>
        <row r="7996">
          <cell r="A7996" t="str">
            <v>1204</v>
          </cell>
        </row>
        <row r="7997">
          <cell r="A7997" t="str">
            <v>1205</v>
          </cell>
        </row>
        <row r="7998">
          <cell r="A7998" t="str">
            <v>1206</v>
          </cell>
        </row>
        <row r="7999">
          <cell r="A7999" t="str">
            <v>1207</v>
          </cell>
        </row>
        <row r="8000">
          <cell r="A8000" t="str">
            <v>1208</v>
          </cell>
        </row>
        <row r="8001">
          <cell r="A8001" t="str">
            <v>1209</v>
          </cell>
        </row>
        <row r="8002">
          <cell r="A8002" t="str">
            <v>1299</v>
          </cell>
        </row>
        <row r="8003">
          <cell r="A8003" t="str">
            <v>1702</v>
          </cell>
        </row>
        <row r="8004">
          <cell r="A8004" t="str">
            <v>1703</v>
          </cell>
        </row>
        <row r="8005">
          <cell r="A8005" t="str">
            <v>1704</v>
          </cell>
        </row>
        <row r="8006">
          <cell r="A8006" t="str">
            <v>1705</v>
          </cell>
        </row>
        <row r="8007">
          <cell r="A8007" t="str">
            <v>1706</v>
          </cell>
        </row>
        <row r="8008">
          <cell r="A8008" t="str">
            <v>1707</v>
          </cell>
        </row>
        <row r="8009">
          <cell r="A8009" t="str">
            <v>1708</v>
          </cell>
        </row>
        <row r="8010">
          <cell r="A8010" t="str">
            <v>1709</v>
          </cell>
        </row>
        <row r="8011">
          <cell r="A8011" t="str">
            <v>1799</v>
          </cell>
        </row>
        <row r="8012">
          <cell r="A8012" t="str">
            <v>1903</v>
          </cell>
        </row>
        <row r="8013">
          <cell r="A8013" t="str">
            <v>1905</v>
          </cell>
        </row>
        <row r="8014">
          <cell r="A8014" t="str">
            <v>1906</v>
          </cell>
        </row>
        <row r="8015">
          <cell r="A8015" t="str">
            <v>1999</v>
          </cell>
        </row>
        <row r="8016">
          <cell r="A8016" t="str">
            <v>2101</v>
          </cell>
        </row>
        <row r="8017">
          <cell r="A8017" t="str">
            <v>2102</v>
          </cell>
        </row>
        <row r="8018">
          <cell r="A8018" t="str">
            <v>2103</v>
          </cell>
        </row>
        <row r="8019">
          <cell r="A8019" t="str">
            <v>2104</v>
          </cell>
        </row>
        <row r="8020">
          <cell r="A8020" t="str">
            <v>2105</v>
          </cell>
        </row>
        <row r="8021">
          <cell r="A8021" t="str">
            <v>2106</v>
          </cell>
        </row>
        <row r="8022">
          <cell r="A8022" t="str">
            <v>2199</v>
          </cell>
        </row>
        <row r="8023">
          <cell r="A8023" t="str">
            <v>2201</v>
          </cell>
        </row>
        <row r="8024">
          <cell r="A8024" t="str">
            <v>2202</v>
          </cell>
        </row>
        <row r="8025">
          <cell r="A8025" t="str">
            <v>2299</v>
          </cell>
        </row>
        <row r="8026">
          <cell r="A8026" t="str">
            <v>2301</v>
          </cell>
        </row>
        <row r="8027">
          <cell r="A8027" t="str">
            <v>2302</v>
          </cell>
        </row>
        <row r="8028">
          <cell r="A8028" t="str">
            <v>2399</v>
          </cell>
        </row>
        <row r="8029">
          <cell r="A8029" t="str">
            <v>2401</v>
          </cell>
        </row>
        <row r="8030">
          <cell r="A8030" t="str">
            <v>2402</v>
          </cell>
        </row>
        <row r="8031">
          <cell r="A8031" t="str">
            <v>2403</v>
          </cell>
        </row>
        <row r="8032">
          <cell r="A8032" t="str">
            <v>2404</v>
          </cell>
        </row>
        <row r="8033">
          <cell r="A8033" t="str">
            <v>2405</v>
          </cell>
        </row>
        <row r="8034">
          <cell r="A8034" t="str">
            <v>2406</v>
          </cell>
        </row>
        <row r="8035">
          <cell r="A8035" t="str">
            <v>2407</v>
          </cell>
        </row>
        <row r="8036">
          <cell r="A8036" t="str">
            <v>2408</v>
          </cell>
        </row>
        <row r="8037">
          <cell r="A8037" t="str">
            <v>2409</v>
          </cell>
        </row>
        <row r="8038">
          <cell r="A8038" t="str">
            <v>2410</v>
          </cell>
        </row>
        <row r="8039">
          <cell r="A8039" t="str">
            <v>2499</v>
          </cell>
        </row>
        <row r="8040">
          <cell r="A8040" t="str">
            <v>2501</v>
          </cell>
        </row>
        <row r="8041">
          <cell r="A8041" t="str">
            <v>2502</v>
          </cell>
        </row>
        <row r="8042">
          <cell r="A8042" t="str">
            <v>2503</v>
          </cell>
        </row>
        <row r="8043">
          <cell r="A8043" t="str">
            <v>2504</v>
          </cell>
        </row>
        <row r="8044">
          <cell r="A8044" t="str">
            <v>2599</v>
          </cell>
        </row>
        <row r="8045">
          <cell r="A8045" t="str">
            <v>3201</v>
          </cell>
        </row>
        <row r="8046">
          <cell r="A8046" t="str">
            <v>3202</v>
          </cell>
        </row>
        <row r="8047">
          <cell r="A8047" t="str">
            <v>3203</v>
          </cell>
        </row>
        <row r="8048">
          <cell r="A8048" t="str">
            <v>3204</v>
          </cell>
        </row>
        <row r="8049">
          <cell r="A8049" t="str">
            <v>3205</v>
          </cell>
        </row>
        <row r="8050">
          <cell r="A8050" t="str">
            <v>3206</v>
          </cell>
        </row>
        <row r="8051">
          <cell r="A8051" t="str">
            <v>3207</v>
          </cell>
        </row>
        <row r="8052">
          <cell r="A8052" t="str">
            <v>3208</v>
          </cell>
        </row>
        <row r="8053">
          <cell r="A8053" t="str">
            <v>3299</v>
          </cell>
        </row>
        <row r="8054">
          <cell r="A8054" t="str">
            <v>3301</v>
          </cell>
        </row>
        <row r="8055">
          <cell r="A8055" t="str">
            <v>3302</v>
          </cell>
        </row>
        <row r="8056">
          <cell r="A8056" t="str">
            <v>3399</v>
          </cell>
        </row>
        <row r="8057">
          <cell r="A8057" t="str">
            <v>3501</v>
          </cell>
        </row>
        <row r="8058">
          <cell r="A8058" t="str">
            <v>3502</v>
          </cell>
        </row>
        <row r="8059">
          <cell r="A8059" t="str">
            <v>3503</v>
          </cell>
        </row>
        <row r="8060">
          <cell r="A8060" t="str">
            <v>3599</v>
          </cell>
        </row>
        <row r="8061">
          <cell r="A8061" t="str">
            <v>3601</v>
          </cell>
        </row>
        <row r="8062">
          <cell r="A8062" t="str">
            <v>3602</v>
          </cell>
        </row>
        <row r="8063">
          <cell r="A8063" t="str">
            <v>3603</v>
          </cell>
        </row>
        <row r="8064">
          <cell r="A8064" t="str">
            <v>3604</v>
          </cell>
        </row>
        <row r="8065">
          <cell r="A8065" t="str">
            <v>3605</v>
          </cell>
        </row>
        <row r="8066">
          <cell r="A8066" t="str">
            <v>3699</v>
          </cell>
        </row>
        <row r="8067">
          <cell r="A8067" t="str">
            <v>3905</v>
          </cell>
        </row>
        <row r="8068">
          <cell r="A8068" t="str">
            <v>3906</v>
          </cell>
        </row>
        <row r="8069">
          <cell r="A8069" t="str">
            <v>3999</v>
          </cell>
        </row>
        <row r="8070">
          <cell r="A8070" t="str">
            <v>4001</v>
          </cell>
        </row>
        <row r="8071">
          <cell r="A8071" t="str">
            <v>4002</v>
          </cell>
        </row>
        <row r="8072">
          <cell r="A8072" t="str">
            <v>4003</v>
          </cell>
        </row>
        <row r="8073">
          <cell r="A8073" t="str">
            <v>4099</v>
          </cell>
        </row>
        <row r="8074">
          <cell r="A8074" t="str">
            <v>4101</v>
          </cell>
        </row>
        <row r="8075">
          <cell r="A8075" t="str">
            <v>4102</v>
          </cell>
        </row>
        <row r="8076">
          <cell r="A8076" t="str">
            <v>4103</v>
          </cell>
        </row>
        <row r="8077">
          <cell r="A8077" t="str">
            <v>4104</v>
          </cell>
        </row>
        <row r="8078">
          <cell r="A8078" t="str">
            <v>4199</v>
          </cell>
        </row>
        <row r="8079">
          <cell r="A8079" t="str">
            <v>4301</v>
          </cell>
        </row>
        <row r="8080">
          <cell r="A8080" t="str">
            <v>4302</v>
          </cell>
        </row>
        <row r="8081">
          <cell r="A8081" t="str">
            <v>4399</v>
          </cell>
        </row>
        <row r="8082">
          <cell r="A8082" t="str">
            <v>4501</v>
          </cell>
        </row>
        <row r="8083">
          <cell r="A8083" t="str">
            <v>4502</v>
          </cell>
        </row>
        <row r="8084">
          <cell r="A8084" t="str">
            <v>4503</v>
          </cell>
        </row>
        <row r="8085">
          <cell r="A8085" t="str">
            <v>4599</v>
          </cell>
        </row>
      </sheetData>
      <sheetData sheetId="5"/>
      <sheetData sheetId="6"/>
      <sheetData sheetId="7" refreshError="1"/>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ario" refreshedDate="45587.785505671294" createdVersion="8" refreshedVersion="8" minRefreshableVersion="3" recordCount="903">
  <cacheSource type="worksheet">
    <worksheetSource name="PAA"/>
  </cacheSource>
  <cacheFields count="28">
    <cacheField name="Id" numFmtId="0">
      <sharedItems containsString="0" containsBlank="1" containsNumber="1" containsInteger="1" minValue="20240037" maxValue="20241375"/>
    </cacheField>
    <cacheField name="Proyecto y nombre " numFmtId="0">
      <sharedItems containsBlank="1" count="5">
        <s v="131- Funcionamiento"/>
        <s v="8173-Modernización de las capacidades del Cuerpo Oficial de Bomberos Bogotá D.C."/>
        <s v="8126-Fortalecimiento institucional de la UAECOB para un gobierno confiable Bogotá D.C."/>
        <s v="N/A"/>
        <m/>
      </sharedItems>
    </cacheField>
    <cacheField name="Dependencia " numFmtId="0">
      <sharedItems containsBlank="1" count="13">
        <s v="Sub. Gestión Corporativa"/>
        <s v="Sub. Logística"/>
        <s v="Dirección Tic"/>
        <s v="Sub. Gestión Riesgos"/>
        <s v="Sub. Operativa"/>
        <s v="Oficina de Control Disciplinario Interno"/>
        <s v="Oficina de Control Interno"/>
        <s v="Dirección"/>
        <s v="Dirección comunicaciones y Prensa"/>
        <s v="Oficina Asesora de Planeación"/>
        <s v="Oficina Juridica"/>
        <s v="Sub. Gestión Humana"/>
        <m/>
      </sharedItems>
    </cacheField>
    <cacheField name="Responsable" numFmtId="0">
      <sharedItems containsBlank="1"/>
    </cacheField>
    <cacheField name="Objeto" numFmtId="0">
      <sharedItems containsBlank="1" longText="1"/>
    </cacheField>
    <cacheField name="Tipo de Contratación" numFmtId="0">
      <sharedItems containsBlank="1"/>
    </cacheField>
    <cacheField name="Código UNSPSC (cada código separado por ;)" numFmtId="0">
      <sharedItems containsBlank="1" containsMixedTypes="1" containsNumber="1" containsInteger="1" minValue="15121500" maxValue="90121800"/>
    </cacheField>
    <cacheField name="Mes inicio de ejecución" numFmtId="0">
      <sharedItems containsString="0" containsBlank="1" containsNumber="1" containsInteger="1" minValue="0" maxValue="12"/>
    </cacheField>
    <cacheField name="plazo ejec Meses" numFmtId="0">
      <sharedItems containsString="0" containsBlank="1" containsNumber="1" minValue="0" maxValue="12"/>
    </cacheField>
    <cacheField name="mas plazo ejec Días (si aplica)" numFmtId="0">
      <sharedItems containsString="0" containsBlank="1" containsNumber="1" minValue="0" maxValue="28"/>
    </cacheField>
    <cacheField name="Valor Programado" numFmtId="165">
      <sharedItems containsString="0" containsBlank="1" containsNumber="1" containsInteger="1" minValue="0" maxValue="3200000000"/>
    </cacheField>
    <cacheField name="Fuente de Recursos" numFmtId="0">
      <sharedItems containsBlank="1" count="4">
        <s v="1-100-F001 VA-Recursos distrito"/>
        <s v="NA"/>
        <s v="1-601-F001 PAS-Otros distrito"/>
        <m/>
      </sharedItems>
    </cacheField>
    <cacheField name="Modalidad de Selección" numFmtId="165">
      <sharedItems containsBlank="1"/>
    </cacheField>
    <cacheField name="Meta Proyecto de Inversión" numFmtId="0">
      <sharedItems containsBlank="1" count="21" longText="1">
        <s v="No aplica"/>
        <s v="8173 4-Desarrollar 3 estrategias para el fortalecimiento de la logistica en la atención de emergencias. "/>
        <s v="8126 4-Administrar, soportar y mantener el 100% del servicio de Herramientas de Colaboración y sistemas de información."/>
        <s v="8173 1-Implementación 6 estrategias de reducción del riesgo de incendios,  incidentes con materiales peligrosos y rescate en todas sus modalidades en la ciudad de Bogotá"/>
        <s v="8173 2-Desarrollar un programa de renovación de equipos, herramientas, accesorios y elementos de protección personal en la UAECOB."/>
        <s v="8126 5-Desarrollar el 100% de las acciones asociadas al fortalecimiento de la infraestructura tecnológica y de comunicaciones de la UAECOB"/>
        <s v="8173 7-Adecuar 4 Sedes de la UAECOB"/>
        <s v="8126 9-Fortalecer el 100% de la gestión administrativa de las áreas de apoyo al cumplimiento de la misionalidad de la UAECOB"/>
        <s v="8126 10-Formular e Implementar una estrategia de comunicaciones en lo relacionado con la divulgación de estrategias, programas, proyectos y servicios a los grupos de interés, de la UAECOB"/>
        <s v="8173 5-Realizar 3 Estrategias de Investigación, desarrollo e innovación en gestión del riesgo"/>
        <s v="8173 6-Implementar un sistema de monitoreo y seguimiento a incidentes y emergencias para Bogotá, incluyendo cerros orientales"/>
        <s v="8126 1-Implementar el 100% de las actividades de seguimiento y control de los requisitos y directrices de las políticas del Modelo integrado de Planeación y Gestión - MIPG"/>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3-Implementar el 100% de los sistemas y modelos de gestión que defina la UAECOB en el marco del MIPG"/>
        <s v="8173 9-Implementar el 100% del programa de capacitación, formación y entrenamiento al personal uniformado de la Unidad Administrativa Cuerpo Oficial de Bomberos de Bogotá."/>
        <s v="8126 8-Implementar el 100% del programa de mantenimiento a las sedes de Bomberos de Bogotá"/>
        <s v="8173 10-Realizar 2 documentos de lineamientos técnicos para la construcción de estaciones de bomberos"/>
        <s v="8126 6-Formular e Implementar 1 Plan Estratégico de Tecnologías de la Información y Transformación Digital de la UAECOB."/>
        <s v="8126 7-Actualizar e implementar el 100% del Plan Anual de Seguridad y Privacidad de la Información."/>
        <s v="8173 8-Construir 1 sede de bomberos de la UAECOB"/>
        <m/>
      </sharedItems>
    </cacheField>
    <cacheField name="Bogotá camina segura" numFmtId="0">
      <sharedItems count="3">
        <s v="NA"/>
        <s v="O230117"/>
        <s v=" "/>
      </sharedItems>
    </cacheField>
    <cacheField name="Sector_Programa MGA" numFmtId="0">
      <sharedItems count="4">
        <s v="NA"/>
        <s v="4503"/>
        <s v="4599"/>
        <s v=" "/>
      </sharedItems>
    </cacheField>
    <cacheField name="BPIN (AÑO+COD_PROYECTO)" numFmtId="0">
      <sharedItems containsMixedTypes="1" containsNumber="1" containsInteger="1" minValue="20240207" maxValue="20240255" count="4">
        <s v="NA"/>
        <n v="20240255"/>
        <n v="20240207"/>
        <s v=" "/>
      </sharedItems>
    </cacheField>
    <cacheField name="Producto PMR" numFmtId="0">
      <sharedItems containsBlank="1" count="12">
        <s v="N/A"/>
        <s v="09"/>
        <s v="11"/>
        <s v="05"/>
        <s v="10"/>
        <s v="08"/>
        <s v="13"/>
        <s v="06"/>
        <s v="04"/>
        <s v="12"/>
        <s v="07"/>
        <m/>
      </sharedItems>
    </cacheField>
    <cacheField name="Descripción Producto PMR" numFmtId="0">
      <sharedItems containsBlank="1"/>
    </cacheField>
    <cacheField name="PMR conca" numFmtId="0">
      <sharedItems/>
    </cacheField>
    <cacheField name="Producto MGA" numFmtId="0">
      <sharedItems containsBlank="1" count="14">
        <s v="N/A"/>
        <s v="004"/>
        <s v="007"/>
        <s v="035"/>
        <s v="014"/>
        <s v="016"/>
        <s v="019"/>
        <s v="018"/>
        <s v="002"/>
        <s v="031"/>
        <s v="023"/>
        <s v="031_"/>
        <s v="015"/>
        <m/>
      </sharedItems>
    </cacheField>
    <cacheField name="Descripción Producto MGA" numFmtId="0">
      <sharedItems containsBlank="1"/>
    </cacheField>
    <cacheField name="concatenarMGA" numFmtId="0">
      <sharedItems/>
    </cacheField>
    <cacheField name="PM MGA conca" numFmtId="0">
      <sharedItems/>
    </cacheField>
    <cacheField name="Código de proyecto de inversión, asociado a productos PMR y MGA" numFmtId="0">
      <sharedItems count="20">
        <s v="NANANAN/AN/A"/>
        <s v="O23011745032024025509004"/>
        <s v="O23011745992024020711007"/>
        <s v="O23011745032024025505035"/>
        <s v="O23011745032024025510004"/>
        <s v="O23011745032024025508014"/>
        <s v="O23011745992024020708016"/>
        <s v="O23011745992024020713019"/>
        <s v="O23011745032024025511018"/>
        <s v="O23011745032024025506035"/>
        <s v="O23011745032024025505002"/>
        <s v="O23011745992024020713031"/>
        <s v="O23011745992024020713023"/>
        <s v="O23011745032024025504004"/>
        <s v="O23011745032024025512004"/>
        <s v="O23011745032024025507002"/>
        <s v="O23011745032024025508031_"/>
        <s v="O23011745032024025508015"/>
        <s v="   "/>
        <s v="O23011745032024025508016" u="1"/>
      </sharedItems>
    </cacheField>
    <cacheField name="codigo PEP" numFmtId="0">
      <sharedItems count="19">
        <s v="N/A"/>
        <s v="PM/0131/0109/45030040255"/>
        <s v="PM/0131/0111/45990070207"/>
        <s v="PM/0131/0105/45030350255"/>
        <s v="PM/0131/0110/45030040255"/>
        <s v="PM/0131/0108/45030140255"/>
        <s v="PM/0131/0108/45990160207"/>
        <s v="PM/0131/0113/45990190207"/>
        <s v="PM/0131/0111/45030180255"/>
        <s v="PM/0131/0106/45030350255"/>
        <s v="PM/0131/0105/45030020255"/>
        <s v="PM/0131/0113/45990310207"/>
        <s v="PM/0131/0113/45990230207"/>
        <s v="PM/0131/0104/45030040255"/>
        <s v="PM/0131/0112/45030040255"/>
        <s v="PM/0131/0107/45030020255"/>
        <s v="PM/0131/0108/45030310255"/>
        <s v="PM/0131/0108/45030150255"/>
        <s v=" "/>
      </sharedItems>
    </cacheField>
    <cacheField name="POSPRE" numFmtId="0">
      <sharedItems containsBlank="1"/>
    </cacheField>
    <cacheField name="Si Secop / No Secop"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03">
  <r>
    <n v="20240037"/>
    <x v="0"/>
    <x v="0"/>
    <s v="Fatima Veronica Quintero Nuñez"/>
    <s v="Suministro  de implementos  de  papelería y oficina para las dependencias de la UAE Cuerpo  Oficial de Bomberos-SGC"/>
    <s v="08 - contrato de suministro"/>
    <s v="44121700;44121800;44121900;44122000"/>
    <n v="7"/>
    <n v="8"/>
    <n v="0"/>
    <n v="58500000"/>
    <x v="0"/>
    <s v="04 - contratación mínima cuantía"/>
    <x v="0"/>
    <x v="0"/>
    <x v="0"/>
    <x v="0"/>
    <x v="0"/>
    <s v="N/A"/>
    <s v="N/A-N/A"/>
    <x v="0"/>
    <s v="N/A"/>
    <s v="N/A_N/A"/>
    <s v="N/A-N/A N/A_N/A"/>
    <x v="0"/>
    <x v="0"/>
    <s v="No Aplica"/>
    <s v="Si Secop "/>
  </r>
  <r>
    <n v="20240068"/>
    <x v="1"/>
    <x v="1"/>
    <s v="Omer Mauricio Rivera Ruiz"/>
    <s v="Prestar el servicio de instalación, alineación, balanceo y conexos, incluyendo el suministro de llantas a los vehículos del parque automotor de la U.A.E. Cuerpo Oficial de Bomberos de Bogotá - SBLG."/>
    <s v="03 - contrato de prestacion de servicios"/>
    <n v="25172500"/>
    <n v="7"/>
    <n v="12"/>
    <n v="0"/>
    <n v="250000000"/>
    <x v="0"/>
    <s v="03 - selec. abrev. subasta invers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s v="O23201010030208 Otra maquinaria para usos especiales y sus partes y piezas"/>
    <s v="Si Secop "/>
  </r>
  <r>
    <n v="20240074"/>
    <x v="1"/>
    <x v="1"/>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s v="03 - contrato de prestacion de servicios"/>
    <n v="46161600"/>
    <n v="7"/>
    <n v="12"/>
    <n v="0"/>
    <n v="7000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s v="O23201010030208 Otra maquinaria para usos especiales y sus partes y piezas"/>
    <s v="Si Secop "/>
  </r>
  <r>
    <n v="20240083"/>
    <x v="1"/>
    <x v="1"/>
    <s v="Omer Mauricio Rivera Ruiz"/>
    <s v="Prestar el servicio de mantenimiento preventivo y correctivo, de latonería y pintura, incluyendo el suministro de repuestos, insumos y mano de obra especializada para los vehículos pertenecientes al parque automotor de la UAE Cuerpo Oficial de Bomberos de Bogotá DC"/>
    <s v="17 - contrato de mantenimiento"/>
    <n v="78181500"/>
    <n v="7"/>
    <n v="12"/>
    <n v="0"/>
    <n v="3200000000"/>
    <x v="0"/>
    <s v="01 - licitación públic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s v="O23202020088714199 Servicio de mantenimiento y reparación de vehículos automotores n.c.p."/>
    <s v="Si Secop "/>
  </r>
  <r>
    <n v="20240323"/>
    <x v="2"/>
    <x v="2"/>
    <s v="Paula Ximena Henao Escobar"/>
    <s v="Contratar el servicio de soporte del software Veeam Backup para la U.A.E. Cuerpo oficial de Bomberos de Bogotá - TIC"/>
    <s v="24 - contrato de servicio"/>
    <n v="81112200"/>
    <n v="7"/>
    <n v="12"/>
    <n v="0"/>
    <n v="64243900"/>
    <x v="0"/>
    <s v="03 - selec. abrev. subasta invers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132 Servicios de soporte en tecnologías de la información (TI)"/>
    <s v="Si Secop "/>
  </r>
  <r>
    <n v="20240329"/>
    <x v="1"/>
    <x v="3"/>
    <s v="William Alfonso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7"/>
    <n v="7"/>
    <n v="0"/>
    <n v="584348572"/>
    <x v="0"/>
    <s v="02 - selec. abrev. menor cuantí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s v="O232020200883990 Otros servicios profesionales, técnicos y empresariales n.c.p."/>
    <s v="Si Secop "/>
  </r>
  <r>
    <n v="20240368"/>
    <x v="2"/>
    <x v="2"/>
    <s v="Paula Ximena Henao Escobar"/>
    <s v="Contratar la renovación y soporte de licenciamiento del antivirus de la U.A.E. Cuerpo Oficial de Bomberos de Bogotá - TIC"/>
    <s v="24 - contrato de servicio"/>
    <n v="43233205"/>
    <n v="8"/>
    <n v="12"/>
    <n v="0"/>
    <n v="0"/>
    <x v="0"/>
    <s v="04 - contratación mínima cuantí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0395"/>
    <x v="3"/>
    <x v="0"/>
    <s v="Fatima Veronica Quintero Nuñez"/>
    <s v="Seleccionar un promotor y/o intermediario público o privado, para que tramite, gestione y lidere la venta en subasta pública de los bienes muebles obsoletos, servibles no utilizables e inservibles de propiedad de la U.A.E. Cuerpo Oficial de Bomberos Bogotá- SGC"/>
    <s v="03 - contrato de prestacion de servicios"/>
    <s v="80101500;80141700;80141600;80151500;84121500"/>
    <n v="8"/>
    <n v="12"/>
    <n v="0"/>
    <n v="0"/>
    <x v="1"/>
    <s v="02 - selec. abrev. menor cuantía"/>
    <x v="0"/>
    <x v="0"/>
    <x v="0"/>
    <x v="0"/>
    <x v="0"/>
    <s v="N/A"/>
    <s v="N/A-N/A"/>
    <x v="0"/>
    <s v="N/A"/>
    <s v="N/A_N/A"/>
    <s v="N/A-N/A N/A_N/A"/>
    <x v="0"/>
    <x v="0"/>
    <s v="No Aplica"/>
    <s v="Si Secop "/>
  </r>
  <r>
    <n v="20240449"/>
    <x v="1"/>
    <x v="4"/>
    <s v="Mauricio Ayala Vasquez"/>
    <s v="Adquisición de elementos de protección personal (E.P.P.) para la atención de emergencias de la UAE Cuerpo Oficial de Bomberos de Bogotá"/>
    <s v="06 - contrato de compraventa"/>
    <s v="46181500;46181600;46181800;46181900;46182000;46182100;46182200;46182300;46182400;46182500;46191500;46191600;46181503;46181504;46181505"/>
    <n v="8"/>
    <n v="6"/>
    <n v="0"/>
    <n v="782856854"/>
    <x v="0"/>
    <s v="03 - selec. abrev. subasta invers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s v="O23201010030208 Otra maquinaria para usos especiales y sus partes y piezas"/>
    <s v="Si Secop "/>
  </r>
  <r>
    <n v="20240461"/>
    <x v="2"/>
    <x v="2"/>
    <s v="Paula Ximena Henao Escobar"/>
    <s v="Contratar la renovación , servicio de actualización y soporte de licenciamiento Oracle para Base de Datos,  y Web Logic para la U.A.E. Cuerpo Oficial de Bomberos de Bogotá - TIC"/>
    <s v="19 - contrato de renovacion de licencias"/>
    <s v="81112204;81112501"/>
    <n v="7"/>
    <n v="12"/>
    <n v="0"/>
    <n v="175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132 Servicios de soporte en tecnologías de la información (TI)"/>
    <s v="Si Secop "/>
  </r>
  <r>
    <n v="20240532"/>
    <x v="1"/>
    <x v="0"/>
    <s v="Fatima Veronica Quintero Nuñez"/>
    <s v="Realizar la interventoría técnica, administrativa, legal, financiera, contable, seguridad y salud en el trabajo, social y ambiental del contrato con objeto es &quot;realizar la adecuación del espacio de entrenamiento de la estación de bomberos B-05 kennedy – SGC"/>
    <s v="14 - contrato de interventoria"/>
    <s v="80101600;_x000a_81101500;_x000a_72101500;_x000a_72121400"/>
    <n v="7"/>
    <n v="5"/>
    <n v="0"/>
    <n v="50000000"/>
    <x v="0"/>
    <s v="06 - concurso de méritos abierto"/>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s v="O2320202005040554590 Otros servicios especializados de la construcción"/>
    <s v="Si Secop "/>
  </r>
  <r>
    <n v="20240638"/>
    <x v="1"/>
    <x v="4"/>
    <s v="Mauricio Ayala Vasquez"/>
    <s v="Adquisición de equipos de protección frente al riesgo eléctrico para el personal operativo de la UAE Cuerpo Oficial de Bomberos de Bogotá"/>
    <s v="06 - contrato de compraventa"/>
    <s v="46181500;46181600;46181800;46181900;46182000;46182100;46182200;46182300;46182400;46182500;46191500;46191600; 46181504; 46182107"/>
    <n v="8"/>
    <n v="6"/>
    <n v="0"/>
    <n v="0"/>
    <x v="0"/>
    <s v="03 - selec. abrev. subasta invers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s v="O23201010030208 Otra maquinaria para usos especiales y sus partes y piezas"/>
    <s v="Si Secop "/>
  </r>
  <r>
    <n v="20240767"/>
    <x v="2"/>
    <x v="5"/>
    <s v="Yenire Lozano Ascanio"/>
    <s v="Prestar servicios profesionales jurídicos especializados en la Oficina de Control Disciplinario Interno de la entidad  en la revisión de las decisiones disciplinarias y demás actuaciones adelantadas con ocasión a los procesos y asuntos a cargo."/>
    <s v="25 - contrato de prestacion de servicios profesionales"/>
    <n v="80111600"/>
    <n v="8"/>
    <n v="4"/>
    <n v="0"/>
    <n v="30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768"/>
    <x v="2"/>
    <x v="5"/>
    <s v="Yenire Lozano Ascanio"/>
    <s v="Prestar servicios profesionales como abogada en la Oficina de Control Disciplinario Interno de la entidad, apoyando juridicamente actuaciones contractuales, administrativas, y sustanciación en los procesos disciplinarios que le sean asignados."/>
    <s v="25 - contrato de prestacion de servicios profesionales"/>
    <n v="80111600"/>
    <n v="7"/>
    <n v="5"/>
    <n v="0"/>
    <n v="35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769"/>
    <x v="2"/>
    <x v="5"/>
    <s v="Yenire Lozano Ascanio"/>
    <s v="Prestar servicios profesionales jurídicos especializados en la Oficina de Control Disciplinario Interno de la entidad para apoyar la sustanciación, revisión y trámite de las actuaciones que deban adelantarse dentro de los procesos disciplinarios a cargo de esta oficina que se encuentren en etapa de instrucción"/>
    <s v="25 - contrato de prestacion de servicios profesionales"/>
    <n v="80111600"/>
    <n v="8"/>
    <n v="4"/>
    <n v="0"/>
    <n v="32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770"/>
    <x v="2"/>
    <x v="5"/>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4"/>
    <n v="0"/>
    <n v="24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771"/>
    <x v="2"/>
    <x v="5"/>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4"/>
    <n v="0"/>
    <n v="24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772"/>
    <x v="2"/>
    <x v="5"/>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3"/>
    <n v="0"/>
    <n v="1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773"/>
    <x v="2"/>
    <x v="5"/>
    <s v="Yenire Lozano Ascanio"/>
    <s v="Prestación de servicios profesionales jurídicos para apoyar la gestión de los procesos disciplinarios en etapa de instrucción que sean adelantados por la Oficina de Control Disciplinario Interno de la UAECOB."/>
    <s v="25 - contrato de prestacion de servicios profesionales"/>
    <n v="80111600"/>
    <n v="9"/>
    <n v="4"/>
    <n v="0"/>
    <n v="20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774"/>
    <x v="2"/>
    <x v="5"/>
    <s v="Yenire Lozano Ascanio"/>
    <s v="Prestación de servicios de apoyo técnico a la Oficina de Control Disciplinario Interno de la UAECOB en la gestión administrativa de las actuaciones que deban surtirse dentro de los procesos disciplinarios en etapa de instrucción."/>
    <s v="26 - contrato de prestacion de servicios de apoyo a la gestion"/>
    <n v="80111600"/>
    <n v="8"/>
    <n v="4"/>
    <n v="7"/>
    <n v="14058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775"/>
    <x v="2"/>
    <x v="5"/>
    <s v="Yenire Lozano Ascanio"/>
    <s v="Prestación de servicios de apoyo a la gestión a la Oficina de Control Disciplinario Interno de la UAECOB para el cumplimiento de las funciones asignadas a esta dependencia, especialmente en aquellas de carácter administrativo y asistencial."/>
    <s v="26 - contrato de prestacion de servicios de apoyo a la gestion"/>
    <n v="80111600"/>
    <n v="9"/>
    <n v="4"/>
    <n v="0"/>
    <n v="95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776"/>
    <x v="2"/>
    <x v="6"/>
    <s v="Jaime Hernando Arias Patiño"/>
    <s v="Prestar los servicios profesionales  como abogado en la Oficina de Control Interno para el desarrollo del Plan Anual de Auditorías."/>
    <s v="25 - contrato de prestacion de servicios profesionales"/>
    <n v="80111600"/>
    <n v="8"/>
    <n v="5"/>
    <n v="17"/>
    <n v="4063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777"/>
    <x v="2"/>
    <x v="6"/>
    <s v="Jaime Hernando Arias Patiño"/>
    <s v="Prestar los servicios profesionales como contador publico en la Oficina de Control Interno para el desarrollo del Plan Anual de Auditorías."/>
    <s v="25 - contrato de prestacion de servicios profesionales"/>
    <n v="80111600"/>
    <n v="8"/>
    <n v="5"/>
    <n v="8"/>
    <n v="3844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778"/>
    <x v="2"/>
    <x v="6"/>
    <s v="Jaime Hernando Arias Patiño"/>
    <s v="Prestar los servicios profesionales  en la Oficina de Control Interno para el desarrollo del Plan Anual de Auditorías."/>
    <s v="25 - contrato de prestacion de servicios profesionales"/>
    <n v="80111600"/>
    <n v="7"/>
    <n v="5"/>
    <n v="6"/>
    <n v="2292250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779"/>
    <x v="2"/>
    <x v="6"/>
    <s v="Jaime Hernando Arias Patiño"/>
    <s v="Prestar los servicios profesionales  en la Oficina de Control Interno para el desarrollo del Plan Anual de Auditorías."/>
    <s v="25 - contrato de prestacion de servicios profesionales"/>
    <n v="80111600"/>
    <n v="8"/>
    <n v="6"/>
    <n v="22"/>
    <n v="42339992"/>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780"/>
    <x v="2"/>
    <x v="6"/>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8"/>
    <n v="5"/>
    <n v="15"/>
    <n v="1990912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781"/>
    <x v="2"/>
    <x v="7"/>
    <s v="Paula Ximena Henao Escobar"/>
    <s v="Adición y prórroga al  Contrato 047 de 2024 con objeto &quot;Prestar servicios profesionales en el desarrollo de las actividades y de los diferentes procesos que tiene a su cargo y bajo su seguimiento la Dirección General de la UAE Cuerpo Oficial de Bomberos de Bogotá&quot;"/>
    <s v="25 - contrato de prestacion de servicios profesionales"/>
    <n v="80111600"/>
    <n v="8"/>
    <n v="5"/>
    <n v="0"/>
    <n v="27825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0782"/>
    <x v="2"/>
    <x v="7"/>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8"/>
    <n v="4"/>
    <n v="0"/>
    <n v="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783"/>
    <x v="2"/>
    <x v="7"/>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9"/>
    <n v="3"/>
    <n v="0"/>
    <n v="21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784"/>
    <x v="2"/>
    <x v="7"/>
    <s v="Paula Ximena Henao Escobar"/>
    <s v="Prestar servicios profesionales en el desarrollo de las actividades y de los diferentes procesos que tiene a su cargo y bajo su seguimiento la Dirección General de la UAE Cuerpo Oficial de Bomberos de Bogotá."/>
    <s v="25 - contrato de prestacion de servicios profesionales"/>
    <n v="80111600"/>
    <n v="10"/>
    <n v="4"/>
    <n v="0"/>
    <n v="324625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785"/>
    <x v="2"/>
    <x v="7"/>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7"/>
    <n v="5"/>
    <n v="0"/>
    <n v="21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786"/>
    <x v="2"/>
    <x v="7"/>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8"/>
    <n v="4"/>
    <n v="0"/>
    <n v="16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787"/>
    <x v="2"/>
    <x v="7"/>
    <s v="Paula Ximena Henao Escobar"/>
    <s v="Prestar servicios de apoyo a la gestión en la UAECOB, en asuntos administrativos y asistenciales requeridos, especificamente en el seguimiento de la información."/>
    <s v="26 - contrato de prestacion de servicios de apoyo a la gestion"/>
    <n v="80111600"/>
    <n v="8"/>
    <n v="4"/>
    <n v="0"/>
    <n v="146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788"/>
    <x v="2"/>
    <x v="8"/>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8"/>
    <n v="5"/>
    <n v="0"/>
    <n v="48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Si Secop "/>
  </r>
  <r>
    <n v="20240789"/>
    <x v="2"/>
    <x v="8"/>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8"/>
    <n v="4"/>
    <n v="0"/>
    <n v="2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Si Secop "/>
  </r>
  <r>
    <n v="20240790"/>
    <x v="2"/>
    <x v="8"/>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8"/>
    <n v="5"/>
    <n v="0"/>
    <n v="3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Si Secop "/>
  </r>
  <r>
    <n v="20240791"/>
    <x v="2"/>
    <x v="8"/>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8"/>
    <n v="4"/>
    <n v="0"/>
    <n v="2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Si Secop "/>
  </r>
  <r>
    <n v="20240792"/>
    <x v="2"/>
    <x v="8"/>
    <s v="Paula Ximena Henao Escobar"/>
    <s v="Prestación de servicios profesionales en la Dirección en comunicaciones y prensa, para apoyar la difusión de la información al público interno y externo de la UAECOB."/>
    <s v="25 - contrato de prestacion de servicios profesionales"/>
    <n v="80111600"/>
    <n v="8"/>
    <n v="4"/>
    <n v="0"/>
    <n v="2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Si Secop "/>
  </r>
  <r>
    <n v="20240793"/>
    <x v="2"/>
    <x v="8"/>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7"/>
    <n v="5"/>
    <n v="0"/>
    <n v="215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Si Secop "/>
  </r>
  <r>
    <n v="20240794"/>
    <x v="2"/>
    <x v="8"/>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7"/>
    <n v="5"/>
    <n v="0"/>
    <n v="189476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Si Secop "/>
  </r>
  <r>
    <n v="20240795"/>
    <x v="2"/>
    <x v="8"/>
    <s v="Paula Ximena Henao Escobar"/>
    <s v="&quot;Prestar servicios profesionales en la Dirección General para el diseño gráfico y apoyo periodistico requerido en el marco de la estrategia de comunicaciones y prensa de la UEACOB&quot;."/>
    <s v="25 - contrato de prestacion de servicios profesionales"/>
    <n v="80111600"/>
    <n v="8"/>
    <n v="4"/>
    <n v="0"/>
    <n v="2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Si Secop "/>
  </r>
  <r>
    <n v="20240796"/>
    <x v="2"/>
    <x v="8"/>
    <s v="Paula Ximena Henao Escobar"/>
    <s v="Prestar apoyo técnico en la Dirección, en asuntos de comunicaciones y prensa, para la producción, diseño y edición de material audiovisual de la UAECOB."/>
    <s v="26 - contrato de prestacion de servicios de apoyo a la gestion"/>
    <n v="80111600"/>
    <n v="8"/>
    <n v="4"/>
    <n v="0"/>
    <n v="134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Si Secop "/>
  </r>
  <r>
    <n v="20240797"/>
    <x v="2"/>
    <x v="8"/>
    <s v="Paula Ximena Henao Escobar"/>
    <s v="Prestar apoyo en la Dirección, en asuntos de comunicaciones y prensa"/>
    <s v="26 - contrato de prestacion de servicios de apoyo a la gestion"/>
    <n v="80111600"/>
    <n v="9"/>
    <n v="3"/>
    <n v="0"/>
    <n v="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Si Secop "/>
  </r>
  <r>
    <n v="20240798"/>
    <x v="1"/>
    <x v="4"/>
    <s v="Mauricio Ayala Vasquez"/>
    <s v="Adquisición de equipos de protección frente al riesgo eléctrico para el personal operativo de la UAE Cuerpo Oficial de Bomberos de Bogotá"/>
    <s v="06 - contrato de compraventa"/>
    <s v="46181504; 46182107"/>
    <n v="10"/>
    <n v="2"/>
    <n v="0"/>
    <n v="846501227"/>
    <x v="0"/>
    <s v="03 - selec. abrev. subasta invers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s v="O23201010030208 Otra maquinaria para usos especiales y sus partes y piezas"/>
    <s v="Si Secop "/>
  </r>
  <r>
    <n v="20240799"/>
    <x v="1"/>
    <x v="3"/>
    <s v="William Alfonso Tovar Segura"/>
    <s v="Prestar los servicios de disposición final, devolución o destrucción del material pirotécnico, fuegos artificiales, polvora y globos incautados por las autoridades de policia de la ciudad, de acuerdo a lo establecido en el decreto 360-2018 en su articulo 21._SGR."/>
    <s v="03 - contrato de prestacion de servicios"/>
    <s v="78121600_x000a_78131800_x000a_92111600_x000a_72141500"/>
    <n v="7"/>
    <n v="7"/>
    <n v="0"/>
    <n v="0"/>
    <x v="0"/>
    <s v="02 - selec. abrev. menor cuantí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s v="O232020200883990 Otros servicios profesionales, técnicos y empresariales n.c.p."/>
    <s v="Si Secop "/>
  </r>
  <r>
    <n v="20240800"/>
    <x v="1"/>
    <x v="3"/>
    <s v="William Alfonso Tovar Segura"/>
    <s v="Adquisición de elementos de identificación institucional para el personal que desarrolla actividades misionales de la UAECOB _SGR."/>
    <s v="08 - contrato de suministro"/>
    <s v="53000000_x000a_53100000_x000a_53101500_x000a_53103101_x000a_53101502"/>
    <n v="10"/>
    <n v="3"/>
    <n v="0"/>
    <n v="56916047"/>
    <x v="0"/>
    <s v="04 - contratación mínima cuantí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01"/>
    <x v="1"/>
    <x v="3"/>
    <s v="William Alfonso Tovar Segura"/>
    <s v="ADICIÓN Y PRORROGA DEL CTO 199-2024-Cuyo objeto es, Prestar servicios profesionales en las actividades de Programas y Campañas de Prevención para la Subdirección de Gestión del Riesgo._SGR"/>
    <s v="25 - contrato de prestacion de servicios profesionales"/>
    <n v="80111600"/>
    <n v="7"/>
    <n v="3"/>
    <n v="12"/>
    <n v="202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s v="O232020200883990 Otros servicios profesionales, técnicos y empresariales n.c.p."/>
    <s v="No Secop"/>
  </r>
  <r>
    <n v="20240802"/>
    <x v="1"/>
    <x v="3"/>
    <s v="William Alfonso Tovar Segura"/>
    <s v="Prestar servicios profesionales en los procesos de formacion y capacitacion de la subdirección de gestión del riesgo._SGR"/>
    <s v="25 - contrato de prestacion de servicios profesionales"/>
    <n v="80111600"/>
    <n v="8"/>
    <n v="6"/>
    <n v="0"/>
    <n v="24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s v="O232020200883990 Otros servicios profesionales, técnicos y empresariales n.c.p."/>
    <s v="Si Secop "/>
  </r>
  <r>
    <n v="20240803"/>
    <x v="1"/>
    <x v="3"/>
    <s v="William Alfonso Tovar Segura"/>
    <s v="“Prestar servicios de apoyo en las actividades de Programas y Campañas de Prevención para la Subdirección de Gestión del Riesgo.  "/>
    <s v="26 - contrato de prestacion de servicios de apoyo a la gestion"/>
    <n v="80111600"/>
    <n v="8"/>
    <n v="6"/>
    <n v="0"/>
    <n v="10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s v="O232020200883990 Otros servicios profesionales, técnicos y empresariales n.c.p."/>
    <s v="Si Secop "/>
  </r>
  <r>
    <n v="20240804"/>
    <x v="1"/>
    <x v="3"/>
    <s v="William Alfonso Tovar Segura"/>
    <s v="Prestar servicios técnicos administrativos en las actividades de Programas y Campañas de Prevención para la Subdirección de Gestión del Riesgo.SGR  "/>
    <s v="26 - contrato de prestacion de servicios de apoyo a la gestion"/>
    <n v="80111600"/>
    <n v="8"/>
    <n v="5"/>
    <n v="0"/>
    <n v="15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s v="O232020200883990 Otros servicios profesionales, técnicos y empresariales n.c.p."/>
    <s v="Si Secop "/>
  </r>
  <r>
    <n v="20240805"/>
    <x v="1"/>
    <x v="3"/>
    <s v="William Alfonso Tovar Segura"/>
    <s v="“Prestar servicios de apoyo en las actividades de Programas y Campañas de Prevención para la Subdirección de Gestión del Riesgo.  "/>
    <s v="26 - contrato de prestacion de servicios de apoyo a la gestion"/>
    <n v="80111600"/>
    <n v="8"/>
    <n v="6"/>
    <n v="0"/>
    <n v="15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s v="O232020200883990 Otros servicios profesionales, técnicos y empresariales n.c.p."/>
    <s v="Si Secop "/>
  </r>
  <r>
    <n v="20240806"/>
    <x v="1"/>
    <x v="3"/>
    <s v="William Alfonso Tovar Segura"/>
    <s v="Prestar servicios de apoyo en las actividades de Programas y Campañas de Prevención para la Subdirección de Gestión del Riesgo._SGR"/>
    <s v="26 - contrato de prestacion de servicios de apoyo a la gestion"/>
    <n v="80111600"/>
    <n v="8"/>
    <n v="5"/>
    <n v="0"/>
    <n v="9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s v="O232020200883990 Otros servicios profesionales, técnicos y empresariales n.c.p."/>
    <s v="Si Secop "/>
  </r>
  <r>
    <n v="20240807"/>
    <x v="1"/>
    <x v="3"/>
    <s v="William Alfonso Tovar Segura"/>
    <s v="Prestar sus servicios profesionales en los procesos de formación y capacitación de la Subdirección de Gestión del Riesgo para las acciones derivadas del campus virtual. _SGR. "/>
    <s v="25 - contrato de prestacion de servicios profesionales"/>
    <n v="80111600"/>
    <n v="8"/>
    <n v="7"/>
    <n v="0"/>
    <n v="288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s v="O232020200883990 Otros servicios profesionales, técnicos y empresariales n.c.p."/>
    <s v="Si Secop "/>
  </r>
  <r>
    <n v="20240809"/>
    <x v="1"/>
    <x v="3"/>
    <s v="William Alfonso Tovar Segura"/>
    <s v="Adquisición de insumos y materias primas para la producción de impresos de artes gráficas_ SGR."/>
    <s v="08 - contrato de suministro"/>
    <s v="60121104_x000a_60121708_x000a_44111515_x000a_24121503_x000a_24112404"/>
    <n v="10"/>
    <n v="3"/>
    <n v="0"/>
    <n v="51000000"/>
    <x v="0"/>
    <s v="04 - contratación mínima cuantí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s v="O232020200883990 Otros servicios profesionales, técnicos y empresariales n.c.p."/>
    <s v="Si Secop "/>
  </r>
  <r>
    <n v="20240810"/>
    <x v="1"/>
    <x v="3"/>
    <s v="William Alfonso Tovar Segura"/>
    <s v="“Adquisición de elementos de apoyo didáctico y pedagógico para actividades, programas y campañas requeridas en la Subdirección de Gestión del Riesgo_SGR”"/>
    <s v="08 - contrato de suministro"/>
    <s v="60141000_x000a_60141100_x000a_60141200_x000a_60141400_x000a_73101500_x000a_73151500"/>
    <n v="10"/>
    <n v="3"/>
    <n v="0"/>
    <n v="49000000"/>
    <x v="0"/>
    <s v="04 - contratación mínima cuantí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s v="O232020200883990 Otros servicios profesionales, técnicos y empresariales n.c.p."/>
    <s v="Si Secop "/>
  </r>
  <r>
    <n v="20240811"/>
    <x v="1"/>
    <x v="3"/>
    <s v="William Alfonso Tovar Segura"/>
    <s v="Adquisicion de EPP para el personal que participa en la atencion de emergencias, procesos logisticos  y/o para el apoyo en actividades de la SGR de la UAECOB"/>
    <s v="08 - contrato de suministro"/>
    <n v="80111600"/>
    <n v="10"/>
    <n v="3"/>
    <n v="0"/>
    <n v="0"/>
    <x v="0"/>
    <s v="04 - contratación mínima cuantí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s v="O232020200883990 Otros servicios profesionales, técnicos y empresariales n.c.p."/>
    <s v="Si Secop "/>
  </r>
  <r>
    <n v="20240812"/>
    <x v="1"/>
    <x v="3"/>
    <s v="William Alfonso Tovar Segura"/>
    <s v="ADICIÓN Y PRORROGA DEL CTO 024-2024-Cuyo objeto es, Prestar servicios profesionales para las actividades de aglomeraciones de público y eventos con pirotecnia desarrollados en el distrito. _SGR."/>
    <s v="25 - contrato de prestacion de servicios profesionales"/>
    <n v="80111600"/>
    <n v="12"/>
    <n v="1.5"/>
    <n v="0"/>
    <n v="11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s v="O232020200883990 Otros servicios profesionales, técnicos y empresariales n.c.p."/>
    <s v="No Secop"/>
  </r>
  <r>
    <n v="20240813"/>
    <x v="1"/>
    <x v="3"/>
    <s v="William Alfonso Tovar Segura"/>
    <s v="ADICIÓN Y PRORROGA DEL CTO 141-2024- Cuyo objeto es,Apoyar las actividades de la subdirección de gestión del riesgo relacionadas con las aglomeraciones de público y eventos con pirotecnia desarrollados en el distrito. _SGR."/>
    <s v="26 - contrato de prestacion de servicios de apoyo a la gestion"/>
    <n v="80111600"/>
    <n v="12"/>
    <n v="2"/>
    <n v="0"/>
    <n v="74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s v="O232020200883990 Otros servicios profesionales, técnicos y empresariales n.c.p."/>
    <s v="No Secop"/>
  </r>
  <r>
    <n v="20240814"/>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4"/>
    <n v="0"/>
    <n v="1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s v="O232020200883990 Otros servicios profesionales, técnicos y empresariales n.c.p."/>
    <s v="Si Secop "/>
  </r>
  <r>
    <n v="20240815"/>
    <x v="1"/>
    <x v="3"/>
    <s v="William Alfonso Tovar Segura"/>
    <s v="Prestar sus servicios profesionales en las actividades relacionadas con la emision de conceptos a cargo de la Subdirección de Gestión del Riesgo._SGR"/>
    <s v="25 - contrato de prestacion de servicios profesionales"/>
    <n v="80111600"/>
    <n v="8"/>
    <n v="6"/>
    <n v="0"/>
    <n v="22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s v="O232020200883990 Otros servicios profesionales, técnicos y empresariales n.c.p."/>
    <s v="Si Secop "/>
  </r>
  <r>
    <n v="20240816"/>
    <x v="1"/>
    <x v="3"/>
    <s v="William Alfonso Tovar Segura"/>
    <s v="Prestar sus servicios profesionales en las actividades relacionadas con la emision de conceptos a cargo de la Subdirección de Gestión del Riesgo._SGR"/>
    <s v="25 - contrato de prestacion de servicios profesionales"/>
    <n v="80111600"/>
    <n v="8"/>
    <n v="6"/>
    <n v="0"/>
    <n v="2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s v="O232020200883990 Otros servicios profesionales, técnicos y empresariales n.c.p."/>
    <s v="Si Secop "/>
  </r>
  <r>
    <n v="20240817"/>
    <x v="1"/>
    <x v="3"/>
    <s v="William Alfonso Tovar Segura"/>
    <s v="Prestar sus servicios profesionales en las actividades relacionadas con el seguimiento a la emision de conceptos a cargo de la Subdirección de Gestión del Riesgo._SGR"/>
    <s v="25 - contrato de prestacion de servicios profesionales"/>
    <n v="80111600"/>
    <n v="8"/>
    <n v="5"/>
    <n v="15"/>
    <n v="24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s v="O232020200883990 Otros servicios profesionales, técnicos y empresariales n.c.p."/>
    <s v="Si Secop "/>
  </r>
  <r>
    <n v="20240818"/>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s v="O232020200883990 Otros servicios profesionales, técnicos y empresariales n.c.p."/>
    <s v="Si Secop "/>
  </r>
  <r>
    <n v="20240819"/>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s v="O232020200883990 Otros servicios profesionales, técnicos y empresariales n.c.p."/>
    <s v="Si Secop "/>
  </r>
  <r>
    <n v="20240820"/>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s v="O232020200883990 Otros servicios profesionales, técnicos y empresariales n.c.p."/>
    <s v="Si Secop "/>
  </r>
  <r>
    <n v="20240821"/>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5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s v="O232020200883990 Otros servicios profesionales, técnicos y empresariales n.c.p."/>
    <s v="Si Secop "/>
  </r>
  <r>
    <n v="20240822"/>
    <x v="1"/>
    <x v="3"/>
    <s v="William Alfonso Tovar Segura"/>
    <s v="Prestar servicios de apoyo a la gestion en las actividades de monitoreo del riesgo para la Subdirección de Gestión del Riesgo._SGR Analista"/>
    <s v="26 - contrato de prestacion de servicios de apoyo a la gestion"/>
    <n v="80111600"/>
    <n v="7"/>
    <n v="6"/>
    <n v="0"/>
    <n v="222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23"/>
    <x v="1"/>
    <x v="3"/>
    <s v="William Alfonso Tovar Segura"/>
    <s v="Prestar servicios de apoyo a la gestion en las actividades de monitoreo del riesgo para la Subdirección de Gestión del Riesgo._SGR"/>
    <s v="26 - contrato de prestacion de servicios de apoyo a la gestion"/>
    <n v="80111600"/>
    <n v="8"/>
    <n v="6"/>
    <n v="0"/>
    <n v="15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24"/>
    <x v="1"/>
    <x v="3"/>
    <s v="William Alfonso Tovar Segura"/>
    <s v="Prestar servicios de apoyo a la gestion en las actividades de monitoreo del riesgo para la Subdirección de Gestión del Riesgo._SGR"/>
    <s v="26 - contrato de prestacion de servicios de apoyo a la gestion"/>
    <n v="80111600"/>
    <n v="8"/>
    <n v="6"/>
    <n v="0"/>
    <n v="15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25"/>
    <x v="1"/>
    <x v="3"/>
    <s v="William Alfonso Tovar Segura"/>
    <s v="Prestar servicios de apoyo a la gestión en las actividades de soporte operacional de la UAECOB._SGR"/>
    <s v="26 - contrato de prestacion de servicios de apoyo a la gestion"/>
    <n v="80111600"/>
    <n v="8"/>
    <n v="6"/>
    <n v="0"/>
    <n v="1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26"/>
    <x v="1"/>
    <x v="3"/>
    <s v="William Alfonso Tovar Segura"/>
    <s v="Prestar servicios de apoyo a la gestión en las actividades de soporte operacional de la UAECOB._SGR"/>
    <s v="26 - contrato de prestacion de servicios de apoyo a la gestion"/>
    <n v="80111600"/>
    <n v="8"/>
    <n v="6"/>
    <n v="0"/>
    <n v="1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27"/>
    <x v="1"/>
    <x v="3"/>
    <s v="William Alfonso Tovar Segura"/>
    <s v="Prestar servicios de apoyo a la gestión en las actividades de soporte operacional de la UAECOB._SGR"/>
    <s v="26 - contrato de prestacion de servicios de apoyo a la gestion"/>
    <n v="80111600"/>
    <n v="8"/>
    <n v="6"/>
    <n v="0"/>
    <n v="1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28"/>
    <x v="1"/>
    <x v="3"/>
    <s v="William Alfonso Tovar Segura"/>
    <s v="Prestar servicios de apoyo a la gestión en las actividades de soporte operacional de la UAECOB._SGR"/>
    <s v="26 - contrato de prestacion de servicios de apoyo a la gestion"/>
    <n v="80111600"/>
    <n v="8"/>
    <n v="6"/>
    <n v="0"/>
    <n v="1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29"/>
    <x v="1"/>
    <x v="3"/>
    <s v="William Alfonso Tovar Segura"/>
    <s v="Prestar servicios de apoyo a la gestión en las actividades de soporte operacional de la UAECOB._SGR"/>
    <s v="26 - contrato de prestacion de servicios de apoyo a la gestion"/>
    <n v="80111600"/>
    <n v="8"/>
    <n v="5"/>
    <n v="0"/>
    <n v="12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30"/>
    <x v="1"/>
    <x v="3"/>
    <s v="William Alfonso Tovar Segura"/>
    <s v="Prestar servicios de apoyo a la gestion en las actividades de monitoreo del riesgo para la Subdirección de Gestión del Riesgo._SGR"/>
    <s v="26 - contrato de prestacion de servicios de apoyo a la gestion"/>
    <n v="80111600"/>
    <n v="8"/>
    <n v="6"/>
    <n v="0"/>
    <n v="75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31"/>
    <x v="1"/>
    <x v="3"/>
    <s v="William Alfonso Tovar Segura"/>
    <s v=" PAGO PASIVO-Diseño y desarrollo de escenarios de realidad virtual para el proceso de capacitación y formación de la subdirección de gestión del riesgo_SGR, CONTRATO DE CONSULTORIA 685 de 2022. "/>
    <s v="24 - contrato de servicio"/>
    <n v="80111600"/>
    <n v="8"/>
    <n v="1"/>
    <n v="0"/>
    <n v="35600000"/>
    <x v="2"/>
    <s v="04 - contratación mínima cuantí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No Secop"/>
  </r>
  <r>
    <n v="20240832"/>
    <x v="1"/>
    <x v="3"/>
    <s v="William Alfonso Tovar Segura"/>
    <s v="Prestar servicios de apoyo a la gestion en las actividades de monitoreo del riesgo para la Subdirección de Gestión del Riesgo._SGR"/>
    <s v="26 - contrato de prestacion de servicios de apoyo a la gestion"/>
    <n v="80111600"/>
    <n v="8"/>
    <n v="6"/>
    <n v="0"/>
    <n v="10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33"/>
    <x v="1"/>
    <x v="3"/>
    <s v="William Alfonso Tovar Segura"/>
    <s v="Prestar servicios de apoyo a la gestion en las actividades de monitoreo del riesgo para la Subdirección de Gestión del Riesgo._SGR"/>
    <s v="26 - contrato de prestacion de servicios de apoyo a la gestion"/>
    <n v="80111600"/>
    <n v="8"/>
    <n v="6"/>
    <n v="0"/>
    <n v="10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34"/>
    <x v="1"/>
    <x v="3"/>
    <s v="William Alfonso Tovar Segura"/>
    <s v="Prestar servicios de apoyo a la gestion en las actividades de monitoreo del riesgo para la Subdirección de Gestión del Riesgo._SGR"/>
    <s v="26 - contrato de prestacion de servicios de apoyo a la gestion"/>
    <n v="80111600"/>
    <n v="8"/>
    <n v="6"/>
    <n v="0"/>
    <n v="15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35"/>
    <x v="1"/>
    <x v="3"/>
    <s v="William Alfonso Tovar Segura"/>
    <s v="Prestar servicios de apoyo a la gestión en las actividades de soporte operacional de la UAECOB._SGR"/>
    <s v="26 - contrato de prestacion de servicios de apoyo a la gestion"/>
    <n v="80111600"/>
    <n v="8"/>
    <n v="5"/>
    <n v="0"/>
    <n v="12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36"/>
    <x v="1"/>
    <x v="3"/>
    <s v="William Alfonso Tovar Segura"/>
    <s v="Prestar servicios de apoyo a la gestión en las actividades de soporte operacional de la UAECOB._SGR"/>
    <s v="26 - contrato de prestacion de servicios de apoyo a la gestion"/>
    <n v="80111600"/>
    <n v="8"/>
    <n v="5"/>
    <n v="0"/>
    <n v="1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37"/>
    <x v="1"/>
    <x v="3"/>
    <s v="William Alfonso Tovar Segura"/>
    <s v="Prestar servicios de apoyo a la gestión en las actividades de soporte operacional de la UAECOB._SGR"/>
    <s v="26 - contrato de prestacion de servicios de apoyo a la gestion"/>
    <n v="80111600"/>
    <n v="8"/>
    <n v="5"/>
    <n v="0"/>
    <n v="1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38"/>
    <x v="1"/>
    <x v="3"/>
    <s v="William Alfonso Tovar Segura"/>
    <s v="Contratar un servicio de acceso a la herramienta LMS E-learning, que permita el desarrollo de las capacitaciones virtuales programadas en la UAECOB._SGR"/>
    <s v="03 - contrato de prestacion de servicios"/>
    <s v="43232300_x000a_43232500_x000a_43233700_x000a_86141500_x000a_81111800_x000a_81112500_x000a_86141700"/>
    <n v="10"/>
    <n v="4"/>
    <n v="0"/>
    <n v="42447000"/>
    <x v="0"/>
    <s v="04 - contratación mínima cuantí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39"/>
    <x v="1"/>
    <x v="3"/>
    <s v="William Alfonso Tovar Segura"/>
    <s v="ADICIÓN Y PRORROGA DEL CTO 198-2024-Cuyo objeto es, Prestar servicios profesionales en las actividades de proyeccion e innovacion para la Subdirección de Gestión del Riesgo._SGR "/>
    <s v="25 - contrato de prestacion de servicios profesionales"/>
    <s v="11000000_x000a_53101800_x000a_53101802_x000a_53101804"/>
    <n v="9"/>
    <n v="3"/>
    <n v="12"/>
    <n v="202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No Secop"/>
  </r>
  <r>
    <n v="20240840"/>
    <x v="1"/>
    <x v="3"/>
    <s v="William Alfonso Tovar Segura"/>
    <s v="Prestar  servicios profesionales en las actividades de proyeccion e innovacion para la Subdirección de Gestión del Riesgo._SGR "/>
    <s v="25 - contrato de prestacion de servicios profesionales"/>
    <n v="80111600"/>
    <n v="8"/>
    <n v="6"/>
    <n v="0"/>
    <n v="36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41"/>
    <x v="1"/>
    <x v="3"/>
    <s v="William Alfonso Tovar Segura"/>
    <s v="Prestar  servicios profesionales en las actividades de proyeccion e innovacion para la Subdirección de Gestión del Riesgo._SGR "/>
    <s v="25 - contrato de prestacion de servicios profesionales"/>
    <n v="80111600"/>
    <n v="8"/>
    <n v="5"/>
    <n v="0"/>
    <n v="1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42"/>
    <x v="1"/>
    <x v="3"/>
    <s v="William Alfonso Tovar Segura"/>
    <s v="Prestar  servicios profesionales en las actividades de proyeccion e innovacion para la Subdirección de Gestión del Riesgo._SGR "/>
    <s v="25 - contrato de prestacion de servicios profesionales"/>
    <n v="80111600"/>
    <n v="8"/>
    <n v="5"/>
    <n v="0"/>
    <n v="2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43"/>
    <x v="1"/>
    <x v="3"/>
    <s v="William Alfonso Tovar Segura"/>
    <s v="Prestar  servicios profesionales en las actividades de proyeccion e innovacion para la Subdirección de Gestión del Riesgo._SGR "/>
    <s v="25 - contrato de prestacion de servicios profesionales"/>
    <n v="80111600"/>
    <n v="8"/>
    <n v="6"/>
    <n v="0"/>
    <n v="30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44"/>
    <x v="1"/>
    <x v="3"/>
    <s v="William Alfonso Tovar Segura"/>
    <s v="Prestar  servicios profesionales en las actividades de proyeccion e innovacion para la Subdirección de Gestión del Riesgo._SGR "/>
    <s v="25 - contrato de prestacion de servicios profesionales"/>
    <n v="80111600"/>
    <n v="8"/>
    <n v="4"/>
    <n v="0"/>
    <n v="24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45"/>
    <x v="1"/>
    <x v="3"/>
    <s v="William Alfonso Tovar Segura"/>
    <s v="Prestar sus servicios a la Subdirección de Gestión del Riesgo en las actividades de Caracterización y Análisis de Escenarios de Riesgo._SGR"/>
    <s v="25 - contrato de prestacion de servicios profesionales"/>
    <n v="80111600"/>
    <n v="8"/>
    <n v="5"/>
    <n v="0"/>
    <n v="20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46"/>
    <x v="1"/>
    <x v="3"/>
    <s v="William Alfonso Tovar Segura"/>
    <s v="Prestar  servicios profesionales en las actividades de proyeccion e innovacion para la Subdirección de Gestión del Riesgo._SGR "/>
    <s v="25 - contrato de prestacion de servicios profesionales"/>
    <n v="80111600"/>
    <n v="8"/>
    <n v="6"/>
    <n v="0"/>
    <n v="20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47"/>
    <x v="1"/>
    <x v="3"/>
    <s v="William Alfonso Tovar Segura"/>
    <s v="Prestar servicios profesionales en las actividades de ánalisis de información de escenarios a cargo de la subdirección de Gestión del Riesgo_SGR."/>
    <s v="25 - contrato de prestacion de servicios profesionales"/>
    <n v="80111600"/>
    <n v="8"/>
    <n v="5"/>
    <n v="0"/>
    <n v="174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48"/>
    <x v="1"/>
    <x v="3"/>
    <s v="William Alfonso Tovar Segura"/>
    <s v="Prestar servicios técnicos administrativos apoyando a la Subdirección de Gestión del Riesgo con lo relacionado al seguimiento y control de sus solicitudes y peticiones._SGR _x000a_"/>
    <s v="26 - contrato de prestacion de servicios de apoyo a la gestion"/>
    <n v="80111600"/>
    <n v="8"/>
    <n v="6"/>
    <n v="0"/>
    <n v="12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s v="O232020200883990 Otros servicios profesionales, técnicos y empresariales n.c.p."/>
    <s v="Si Secop "/>
  </r>
  <r>
    <n v="20240849"/>
    <x v="1"/>
    <x v="3"/>
    <s v="William Alfonso Tovar Segura"/>
    <s v="Prestar servicios profesionales para la gestión de la SGR, en el desarrollo de actividades de planeación y gestión._SGR"/>
    <s v="25 - contrato de prestacion de servicios profesionales"/>
    <n v="80111600"/>
    <n v="8"/>
    <n v="6"/>
    <n v="0"/>
    <n v="16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s v="O232020200883990 Otros servicios profesionales, técnicos y empresariales n.c.p."/>
    <s v="Si Secop "/>
  </r>
  <r>
    <n v="20240850"/>
    <x v="1"/>
    <x v="3"/>
    <s v="William Alfonso Tovar Segura"/>
    <s v="Prestar servicios profesionales para la gestión de la SGR, en su compomente técnico, administrativo y análisis financiero._SGR."/>
    <s v="25 - contrato de prestacion de servicios profesionales"/>
    <n v="80111600"/>
    <n v="8"/>
    <n v="6"/>
    <n v="0"/>
    <n v="33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s v="O232020200883990 Otros servicios profesionales, técnicos y empresariales n.c.p."/>
    <s v="Si Secop "/>
  </r>
  <r>
    <n v="20240851"/>
    <x v="1"/>
    <x v="3"/>
    <s v="William Alfonso Tovar Segura"/>
    <s v="Prestar servicios profesionales para la gestión de la SGR, estructurando el seguimiento de los procesos contractuales y demás aspectos jurídicos._SGR"/>
    <s v="25 - contrato de prestacion de servicios profesionales"/>
    <n v="80111600"/>
    <n v="8"/>
    <n v="6"/>
    <n v="0"/>
    <n v="174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s v="O232020200883990 Otros servicios profesionales, técnicos y empresariales n.c.p."/>
    <s v="Si Secop "/>
  </r>
  <r>
    <n v="20240852"/>
    <x v="1"/>
    <x v="3"/>
    <s v="William Alfonso Tovar Segura"/>
    <s v="Prestar servicios profesionales para la gestión de la SGR, estructurando el seguimiento de los procesos contractuales y demás aspectos jurídicos._SGR"/>
    <s v="25 - contrato de prestacion de servicios profesionales"/>
    <n v="80111600"/>
    <n v="8"/>
    <n v="4"/>
    <n v="0"/>
    <n v="24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s v="O232020200883990 Otros servicios profesionales, técnicos y empresariales n.c.p."/>
    <s v="Si Secop "/>
  </r>
  <r>
    <n v="20240853"/>
    <x v="1"/>
    <x v="3"/>
    <s v="William Alfonso Tovar Segura"/>
    <s v="ADICIÓN Y PRORROGA CTO 222-2024, Cuyo objeto es, Prestar servicios profesionales en las actividades del MIPG de la Subdirección de Gestión del riesgo."/>
    <s v="25 - contrato de prestacion de servicios profesionales"/>
    <n v="80111600"/>
    <n v="8"/>
    <n v="3"/>
    <n v="0"/>
    <n v="24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s v="O232020200883990 Otros servicios profesionales, técnicos y empresariales n.c.p."/>
    <s v="No Secop"/>
  </r>
  <r>
    <n v="20240854"/>
    <x v="1"/>
    <x v="3"/>
    <s v="William Alfonso Tovar Segura"/>
    <s v="Prestar servicios técnicos apoyando a la subdirección de gestión del riesgo para el desarrollo de los contenidos graficos, piezas comunicativas y de imagen institucional._SGR"/>
    <s v="26 - contrato de prestacion de servicios de apoyo a la gestion"/>
    <n v="80111600"/>
    <n v="8"/>
    <n v="6"/>
    <n v="0"/>
    <n v="15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s v="O232020200883990 Otros servicios profesionales, técnicos y empresariales n.c.p."/>
    <s v="Si Secop "/>
  </r>
  <r>
    <n v="20240855"/>
    <x v="1"/>
    <x v="3"/>
    <s v="William Alfonso Tovar Segura"/>
    <s v="ADICIÓN Y PRORROGA del CTO 481-2023, Prestar servicios profesionales en las actividades de Programas y Campañas de Prevención para la Subdirección de Gestión del Riesgo._SGR"/>
    <s v="25 - contrato de prestacion de servicios profesionales"/>
    <n v="80111600"/>
    <n v="10"/>
    <n v="1"/>
    <n v="0"/>
    <n v="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No Secop"/>
  </r>
  <r>
    <n v="20240856"/>
    <x v="1"/>
    <x v="3"/>
    <s v="William Alfonso Tovar Segura"/>
    <s v="Prestar servicios de apoyo a la gestion en las actividades de monitoreo del riesgo para la Subdirección de Gestión del Riesgo._SGR"/>
    <s v="26 - contrato de prestacion de servicios de apoyo a la gestion"/>
    <n v="80111600"/>
    <n v="10"/>
    <n v="1"/>
    <n v="0"/>
    <n v="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0858"/>
    <x v="2"/>
    <x v="9"/>
    <s v="Manuel Eduardo Castillo Guzman"/>
    <s v="Prestación de servicios profesionales en el desarrollo de las actividades encaminadas al diseño de piezas comunicativas que se requiera en la implementación de las políticas del Modelo Integrado de Planeación y Gestión  MIPG que lidera la Oficina Asesora de Planeación."/>
    <s v="25 - contrato de prestacion de servicios profesionales"/>
    <n v="80111600"/>
    <n v="8"/>
    <n v="5"/>
    <n v="0"/>
    <n v="20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s v="O232020200883990 Otros servicios profesionales, técnicos y empresariales n.c.p."/>
    <s v="Si Secop "/>
  </r>
  <r>
    <n v="20240859"/>
    <x v="2"/>
    <x v="9"/>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8"/>
    <n v="5"/>
    <n v="0"/>
    <n v="189476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s v="O232020200883990 Otros servicios profesionales, técnicos y empresariales n.c.p."/>
    <s v="Si Secop "/>
  </r>
  <r>
    <n v="20240860"/>
    <x v="2"/>
    <x v="9"/>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8"/>
    <n v="5"/>
    <n v="0"/>
    <n v="425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s v="O232020200883990 Otros servicios profesionales, técnicos y empresariales n.c.p."/>
    <s v="Si Secop "/>
  </r>
  <r>
    <n v="20240861"/>
    <x v="2"/>
    <x v="9"/>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8"/>
    <n v="5"/>
    <n v="0"/>
    <n v="325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s v="O232020200883990 Otros servicios profesionales, técnicos y empresariales n.c.p."/>
    <s v="Si Secop "/>
  </r>
  <r>
    <n v="20240862"/>
    <x v="2"/>
    <x v="9"/>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8"/>
    <n v="5"/>
    <n v="0"/>
    <n v="35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s v="O232020200883990 Otros servicios profesionales, técnicos y empresariales n.c.p."/>
    <s v="Si Secop "/>
  </r>
  <r>
    <n v="20240863"/>
    <x v="2"/>
    <x v="9"/>
    <s v="Manuel Eduardo Castillo Guzman"/>
    <s v="Prestación de servicios profesionales en el desarrollo de las actividades encaminadas al sostenimiento y seguimiento del Programa de Transparencia y Ética Publica y a las que se designen en la implementación de la política fortalecimiento organizacional y simplificación de procesos del Modelo Integrado de Planeación y Gestión  MIPG que lidera la Oficina Asesora de Planeación."/>
    <s v="25 - contrato de prestacion de servicios profesionales"/>
    <n v="80111600"/>
    <n v="8"/>
    <n v="5"/>
    <n v="0"/>
    <n v="35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s v="O232020200883990 Otros servicios profesionales, técnicos y empresariales n.c.p."/>
    <s v="Si Secop "/>
  </r>
  <r>
    <n v="20240864"/>
    <x v="2"/>
    <x v="9"/>
    <s v="Manuel Eduardo Castillo Guzman"/>
    <s v="Prestación de servicios profesionales en el desarrollo de las actividades que se designen encaminadas a la implementación de las políticas de Fortalecimiento organizacional y simplificación de procesos y las que se designen en el marco del Modelo Integrado de Planeación y Gestión  MIPG que lidera la Oficina Asesora de Planeación._x000a_"/>
    <s v="25 - contrato de prestacion de servicios profesionales"/>
    <n v="80111600"/>
    <n v="8"/>
    <n v="5"/>
    <n v="0"/>
    <n v="34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s v="O232020200883990 Otros servicios profesionales, técnicos y empresariales n.c.p."/>
    <s v="Si Secop "/>
  </r>
  <r>
    <n v="20240865"/>
    <x v="2"/>
    <x v="9"/>
    <s v="Manuel Eduardo Castillo Guzman"/>
    <s v="Prestación de servicios profesionales para gestionar las actividades de cooperación técnica internacional encaminadas a fortalecer e impulsar las metas de la entidad de acuerdo al Modelo Integrado de Planeación y Gestión  MIPG."/>
    <s v="25 - contrato de prestacion de servicios profesionales"/>
    <n v="80111600"/>
    <n v="9"/>
    <n v="4"/>
    <n v="0"/>
    <n v="32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s v="O232020200883990 Otros servicios profesionales, técnicos y empresariales n.c.p."/>
    <s v="Si Secop "/>
  </r>
  <r>
    <n v="20240866"/>
    <x v="2"/>
    <x v="9"/>
    <s v="Manuel Eduardo Castillo Guzman"/>
    <s v="Adición y prórroga al contrato 381 de 2024 cuyo objeto es:_x000a_&quot;Prestar servicios de apoyo a la gestión para la ejecución de actividades asistenciales, administrativas y de gestión documental en la Oficina Asesora de Planeación.&quot;"/>
    <s v="26 - contrato de prestacion de servicios de apoyo a la gestion"/>
    <n v="80111600"/>
    <n v="12"/>
    <n v="1"/>
    <n v="15"/>
    <n v="56835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s v="O232020200883990 Otros servicios profesionales, técnicos y empresariales n.c.p."/>
    <s v="No Secop"/>
  </r>
  <r>
    <n v="20240867"/>
    <x v="2"/>
    <x v="9"/>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9"/>
    <n v="4"/>
    <n v="15"/>
    <n v="36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s v="O232020200883990 Otros servicios profesionales, técnicos y empresariales n.c.p."/>
    <s v="Si Secop "/>
  </r>
  <r>
    <n v="20240868"/>
    <x v="2"/>
    <x v="9"/>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8"/>
    <n v="5"/>
    <n v="0"/>
    <n v="35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s v="O232020200883990 Otros servicios profesionales, técnicos y empresariales n.c.p."/>
    <s v="Si Secop "/>
  </r>
  <r>
    <n v="20240870"/>
    <x v="2"/>
    <x v="9"/>
    <s v="Manuel Eduardo Castillo Guzman"/>
    <s v="Prestación de servicios profesionales para apoyar las actividades de cooperación técnica internacional y articulación interinstitucional encaminadas al desarrollo e implementación de los planes estratégicos e institucionales en el marco del Modelo Integrado de Planeación y Gestión  MIPG."/>
    <s v="25 - contrato de prestacion de servicios profesionales"/>
    <n v="80111600"/>
    <n v="8"/>
    <n v="5"/>
    <n v="0"/>
    <n v="35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s v="O232020200883990 Otros servicios profesionales, técnicos y empresariales n.c.p."/>
    <s v="Si Secop "/>
  </r>
  <r>
    <n v="20240871"/>
    <x v="2"/>
    <x v="9"/>
    <s v="Manuel Eduardo Castillo Guzman"/>
    <s v="Prestación de servicios profesionales conforme a las políticas de gestión y los lineamientos del Modelo Integrado de Planeación y Gestión - MIPG."/>
    <s v="25 - contrato de prestacion de servicios profesionales"/>
    <n v="80111600"/>
    <n v="9"/>
    <n v="5"/>
    <n v="0"/>
    <n v="2750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s v="O232020200883990 Otros servicios profesionales, técnicos y empresariales n.c.p."/>
    <s v="Si Secop "/>
  </r>
  <r>
    <n v="20240872"/>
    <x v="2"/>
    <x v="9"/>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9"/>
    <n v="5"/>
    <n v="0"/>
    <n v="3500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s v="O232020200883990 Otros servicios profesionales, técnicos y empresariales n.c.p."/>
    <s v="Si Secop "/>
  </r>
  <r>
    <n v="20240873"/>
    <x v="2"/>
    <x v="9"/>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9"/>
    <n v="4"/>
    <n v="0"/>
    <n v="34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s v="O232020200883990 Otros servicios profesionales, técnicos y empresariales n.c.p."/>
    <s v="Si Secop "/>
  </r>
  <r>
    <n v="20240874"/>
    <x v="2"/>
    <x v="9"/>
    <s v="Manuel Eduardo Castillo Guzman"/>
    <s v="Prestación de servicios profesionales en el desarrollo de las actividades que se designen encaminadas a la implementación de las políticas de Planeación Institucional y Seguimiento y evaluación del desempeño institucional de las políticas del Modelo Integrado de Planeación y Gestión."/>
    <s v="25 - contrato de prestacion de servicios profesionales"/>
    <n v="80111600"/>
    <n v="8"/>
    <n v="5"/>
    <n v="0"/>
    <n v="325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s v="O232020200883990 Otros servicios profesionales, técnicos y empresariales n.c.p."/>
    <s v="Si Secop "/>
  </r>
  <r>
    <n v="20240876"/>
    <x v="1"/>
    <x v="4"/>
    <s v="Mauricio Ayala Vasquez"/>
    <s v="Prestación de servicios profesionales para apoyar a la Subdirección Operativa en el analisis de información y elaboración de productos relacionados con la estrategia de preparativos de la UAE Cuerpo Oficial de Bomberos de Bogotá SO"/>
    <s v="25 - contrato de prestacion de servicios profesionales"/>
    <n v="80111600"/>
    <n v="8"/>
    <n v="5"/>
    <n v="0"/>
    <n v="42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877"/>
    <x v="1"/>
    <x v="1"/>
    <s v="Omer Mauricio Rivera Ruiz"/>
    <s v="Proveer el suministro de elementos de bioseguridad e insumos médicos básicos para la atención de emergencias._x0009_"/>
    <s v="08 - contrato de suministro"/>
    <s v="42141501;42141502;42141503;42142101;42142103;42142105;42142108;42172010;42172013;42172016;42172201;42281502;42291902"/>
    <n v="7"/>
    <n v="6"/>
    <n v="0"/>
    <n v="32372704"/>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1003083899997 Artículos n.c.p. para protección"/>
    <s v="Si Secop "/>
  </r>
  <r>
    <n v="20240878"/>
    <x v="1"/>
    <x v="1"/>
    <s v="Omer Mauricio Rivera Ruiz"/>
    <s v="Suministro de alimentación e hidratación para el cuerpo operativo en la atención de emergencias, entrenamientos, capacitaciones y actividades de prevención-SBLG"/>
    <s v="08 - contrato de suministro"/>
    <s v="90101800;90101600;50192700;50112000;50202311;50201709;50161509;50192110;93131602"/>
    <n v="7"/>
    <n v="7"/>
    <n v="0"/>
    <n v="200000000"/>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663393 Otros servicios de comidas contratadas"/>
    <s v="Si Secop "/>
  </r>
  <r>
    <n v="20240879"/>
    <x v="1"/>
    <x v="1"/>
    <s v="Omer Mauricio Rivera Ruiz"/>
    <s v="Adición y prorroga del CTO 449 de 2023 cuyo objeto es Suministro de alimentación e hidratación para el cuerpo operativo en la atención de emergencias, entrenamientos, capacitaciones y actividades de prevención-SBLG"/>
    <s v="08 - contrato de suministro"/>
    <s v="90101800;90101600;50192700;50112000;50202311;50201709;50161509;50192110;93131602"/>
    <n v="7"/>
    <n v="1"/>
    <n v="15"/>
    <n v="30000000"/>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663393 Otros servicios de comidas contratadas"/>
    <s v="No Secop"/>
  </r>
  <r>
    <n v="20240880"/>
    <x v="1"/>
    <x v="1"/>
    <s v="Omer Mauricio Rivera Ruiz"/>
    <s v="Contratar el suministro de raciones para la atención de emergencias"/>
    <s v="08 - contrato de suministro"/>
    <n v="50192700"/>
    <n v="7"/>
    <n v="1"/>
    <n v="0"/>
    <n v="35000000"/>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663393 Otros servicios de comidas contratadas"/>
    <s v="Si Secop "/>
  </r>
  <r>
    <n v="20240881"/>
    <x v="1"/>
    <x v="1"/>
    <s v="Omer Mauricio Rivera Ruiz"/>
    <s v="Contratar el suministro de alimentación para los caninos del cuerpo oficial y animales rescatados por la U.A.E. del Cuerpo Oficial de Bomberos de Bogotá – SBLG."/>
    <s v="08 - contrato de suministro"/>
    <s v="10121801;10121802;10121602 "/>
    <n v="7"/>
    <n v="6"/>
    <n v="0"/>
    <n v="58500000"/>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590 Otros servicios veterinarios"/>
    <s v="Si Secop "/>
  </r>
  <r>
    <n v="20240883"/>
    <x v="1"/>
    <x v="1"/>
    <s v="Omer Mauricio Rivera Ruiz"/>
    <s v="Adición y prórroga del contrato 580/23 cuyo objeto es &quot;Suministro de concentrado de espuma y extintores y el mantenimiento, recarga de extintores, cilindros y tanques de las maquinas extintoras - SBLG&quot; - LOTE I"/>
    <s v="06 - contrato de compraventa"/>
    <n v="72101509"/>
    <n v="7"/>
    <n v="5"/>
    <n v="0"/>
    <n v="65753688"/>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1010030208 Otra maquinaria para usos especiales y sus partes y piezas"/>
    <s v="No Secop"/>
  </r>
  <r>
    <n v="20240885"/>
    <x v="1"/>
    <x v="1"/>
    <s v="Omer Mauricio Rivera Ruiz"/>
    <s v="Suministrar los repuestos, accesorios e insumos de los equipos de rescate vehicular liviano y pesado marca LUKAS- SBLG"/>
    <s v="08 - contrato de suministro"/>
    <s v="23191200; 23153100; 23271800; 26121600; 27131600; 26101700; 31162800; 31163000; 31163100; 31171500; 31171700; 31191500; 31201600; 40141700; 31121700; 26111700"/>
    <n v="7"/>
    <n v="5"/>
    <n v="0"/>
    <n v="9000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s v="O23201010030208 Otra maquinaria para usos especiales y sus partes y piezas"/>
    <s v="Si Secop "/>
  </r>
  <r>
    <n v="20240886"/>
    <x v="1"/>
    <x v="1"/>
    <s v="Omer Mauricio Rivera Ruiz"/>
    <s v="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27 - contrato de prestacion de servicios de mantenimiento"/>
    <s v="72101500;72154200"/>
    <n v="7"/>
    <n v="7"/>
    <n v="0"/>
    <n v="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s v="O23201010030208 Otra maquinaria para usos especiales y sus partes y piezas"/>
    <s v="Si Secop "/>
  </r>
  <r>
    <n v="20240887"/>
    <x v="1"/>
    <x v="1"/>
    <s v="Omer Mauricio Rivera Ruiz"/>
    <s v="Suministrar repuestos, accesorios e insumos para los equipos menores  y transversales de propiedad de la UAECOB. – SBLG"/>
    <s v="08 - contrato de suministro"/>
    <s v="31261500; 31161500; 31161600; 31162300; 31162800; 31171500; 31171700; 39121600; 27121600 "/>
    <n v="7"/>
    <n v="6"/>
    <n v="0"/>
    <n v="100000000"/>
    <x v="0"/>
    <s v="03 - selec. abrev. subasta invers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s v="O23201010030208 Otra maquinaria para usos especiales y sus partes y piezas"/>
    <s v="Si Secop "/>
  </r>
  <r>
    <n v="20240888"/>
    <x v="1"/>
    <x v="1"/>
    <s v="Omer Mauricio Rivera Ruiz"/>
    <s v="Prestación de servicios médicos veterinarios, con suministro de medicamentos e insumos veterinarios, para los caninos de la U.A.E. Cuerpo Oficial de Bomberos de Bogotá - SBLG"/>
    <s v="03 - contrato de prestacion de servicios"/>
    <s v="70122002; 70122005; 70122006; 70122007; 70122008; 70122009; 70122010"/>
    <n v="7"/>
    <n v="12"/>
    <n v="0"/>
    <n v="30000000"/>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590 Otros servicios veterinarios"/>
    <s v="Si Secop "/>
  </r>
  <r>
    <n v="20240889"/>
    <x v="1"/>
    <x v="1"/>
    <s v="Omer Mauricio Rivera Ruiz"/>
    <s v="Adición al contrato 346 de 2023 cuyo objeto es Prestación de servicios médicos veterinarios, de hospitalización, con suministro de medicamentos e insumos veterinarios, para los caninos de la U.A.E. Cuerpo Oficial de Bomberos de Bogotá - SBLG_x0009_"/>
    <s v="03 - contrato de prestacion de servicios"/>
    <s v="70122002;70122005;70122006;70122007;70122008;70122009;70122010;10101500;10121800"/>
    <n v="7"/>
    <n v="1"/>
    <n v="0"/>
    <n v="2000000"/>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590 Otros servicios veterinarios"/>
    <s v="No Secop"/>
  </r>
  <r>
    <n v="20240890"/>
    <x v="1"/>
    <x v="1"/>
    <s v="Omer Mauricio Rivera Ruiz"/>
    <s v="Suministro de aceites y lubricantes para los equipos de propiedad de la UAECOB. – SBLG"/>
    <s v="08 - contrato de suministro"/>
    <n v="15121500"/>
    <n v="7"/>
    <n v="3"/>
    <n v="0"/>
    <n v="8000000"/>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1003053543003 Aditivos para gasolina, aceites minerales y combustible en general"/>
    <s v="Si Secop "/>
  </r>
  <r>
    <n v="20240891"/>
    <x v="1"/>
    <x v="4"/>
    <s v="Mauricio Ayala Vasquez"/>
    <s v="Prestación de servicios profesionales para apoyar a la Subdirección Operativa en la consolidación y reporte de la información técnica para la estructuración del documento estrategia de preparativos de la UAE Cuerpo Oficial de Bomberos de Bogotá SO"/>
    <s v="25 - contrato de prestacion de servicios profesionales"/>
    <n v="80111600"/>
    <n v="8"/>
    <n v="5"/>
    <n v="0"/>
    <n v="29775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892"/>
    <x v="1"/>
    <x v="4"/>
    <s v="Mauricio Ayala Vasquez"/>
    <s v="Prestación de servicios profesionales para apoyar a la Subdirección Operativa en la consolidación y reporte de la información técnica para la estructuración del documento estrategia de preparativos de la UAE Cuerpo Oficial de Bomberos de Bogotá SO"/>
    <s v="25 - contrato de prestacion de servicios profesionales"/>
    <n v="80111600"/>
    <n v="8"/>
    <n v="5"/>
    <n v="0"/>
    <n v="29775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893"/>
    <x v="1"/>
    <x v="1"/>
    <s v="Omer Mauricio Rivera Ruiz"/>
    <s v="Prestación de servicios profesionales en el seguimiento y gestión de los insumos y suministros a cargo de la subdirección logística garantizando la disponibilidad para la atención de emergencias SBLG "/>
    <s v="25 - contrato de prestacion de servicios profesionales"/>
    <n v="80111600"/>
    <n v="7"/>
    <n v="4"/>
    <n v="0"/>
    <n v="30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894"/>
    <x v="1"/>
    <x v="1"/>
    <s v="Omer Mauricio Rivera Ruiz"/>
    <s v=" 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10"/>
    <n v="3"/>
    <n v="0"/>
    <n v="20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895"/>
    <x v="1"/>
    <x v="1"/>
    <s v="Omer Mauricio Rivera Ruiz"/>
    <s v="Prestar servicios profesionales para acompañar a la Subdirección logística, en el diseño, implementación, reporte y monitoreo de los diferentes planes, programas, proyectos administrativos, financieros, y funciones a cargo de la subdirección - SBLG "/>
    <s v="25 - contrato de prestacion de servicios profesionales"/>
    <n v="80111600"/>
    <n v="8"/>
    <n v="4"/>
    <n v="0"/>
    <n v="3708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896"/>
    <x v="1"/>
    <x v="1"/>
    <s v="Omer Mauricio Rivera Ruiz"/>
    <s v="Prestar servicios profesionales en la gestión administrativa, contractual y financiera del mantenimiento de los vehículos pertenecientes parque automotor de la Subdirección Logística - SBLG."/>
    <s v="25 - contrato de prestacion de servicios profesionales"/>
    <n v="80111600"/>
    <n v="7"/>
    <n v="4"/>
    <n v="0"/>
    <n v="22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897"/>
    <x v="1"/>
    <x v="1"/>
    <s v="Omer Mauricio Rivera Ruiz"/>
    <s v="Prestación de servicios de apoyo a la gestión para seguimiento y control admistrativos y financieros de los insumos, suministros y consumibles a cargo de la Subdirección logística.  - SBLG"/>
    <s v="26 - contrato de prestacion de servicios de apoyo a la gestion"/>
    <n v="80111600"/>
    <n v="7"/>
    <n v="3"/>
    <n v="0"/>
    <n v="10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898"/>
    <x v="1"/>
    <x v="1"/>
    <s v="Omer Mauricio Rivera Ruiz"/>
    <s v="Prestación de servicios de apoyo a la gestión para realizar el diagnóstico, los mantenimientos preventivos y correctivos a fin de garantizar la permanente funcionalidad de los equipos menores pertenecientes a la UAECOB, en la Subdirección Logística - SBLG"/>
    <s v="26 - contrato de prestacion de servicios de apoyo a la gestion"/>
    <n v="80111600"/>
    <n v="7"/>
    <n v="3"/>
    <n v="0"/>
    <n v="93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899"/>
    <x v="1"/>
    <x v="1"/>
    <s v="Omer Mauricio Rivera Ruiz"/>
    <s v="Prestación de servicios profesionales en la proyección, impulso, sustentación y control de las etapas precontractuales, contractuales y postcontractuales  que desarrolle la Subdirección Logística en el ámbito de su competencia.- SBLG"/>
    <s v="25 - contrato de prestacion de servicios profesionales"/>
    <n v="80111600"/>
    <n v="8"/>
    <n v="5"/>
    <n v="0"/>
    <n v="31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900"/>
    <x v="1"/>
    <x v="1"/>
    <s v="Omer Mauricio Rivera Ruiz"/>
    <s v="Prestación de servicios profesionales para la gestión y seguimiento administrativo, técnico, operativo y de control del proceso de mantenimiento del parque automotor, a cargo de la Subdirección Logística (SBLG), con el objetivo de garantizar su operatividad - SBLG"/>
    <s v="25 - contrato de prestacion de servicios profesionales"/>
    <n v="80111600"/>
    <n v="7"/>
    <n v="5"/>
    <n v="0"/>
    <n v="44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901"/>
    <x v="1"/>
    <x v="1"/>
    <s v="Omer Mauricio Rivera Ruiz"/>
    <s v="Prestación de servicios profesionales en el control legal de los procesos y acciones, especialmente la gestión contractual requerida por la Subdirección Logística - SBLG"/>
    <s v="25 - contrato de prestacion de servicios profesionales"/>
    <n v="80111600"/>
    <n v="8"/>
    <n v="4"/>
    <n v="0"/>
    <n v="3708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902"/>
    <x v="1"/>
    <x v="1"/>
    <s v="Omer Mauricio Rivera Ruiz"/>
    <s v="Prestación de servicios profesionales como residente de talleres para gestionar y garantizar el funcionamiento y operación del parque automotor asignado a la  Subdirección Logística - SBLG."/>
    <s v="25 - contrato de prestacion de servicios profesionales"/>
    <n v="80111600"/>
    <n v="8"/>
    <n v="4"/>
    <n v="0"/>
    <n v="2972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903"/>
    <x v="1"/>
    <x v="1"/>
    <s v="Omer Mauricio Rivera Ruiz"/>
    <s v="Prestación de servicios profesionales en la administración, gestión integral y mantenimiento del equipo menor a cargo de la Subdirección Logística -SBLG."/>
    <s v="25 - contrato de prestacion de servicios profesionales"/>
    <n v="80111600"/>
    <n v="8"/>
    <n v="4"/>
    <n v="0"/>
    <n v="32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904"/>
    <x v="1"/>
    <x v="1"/>
    <s v="Omer Mauricio Rivera Ruiz"/>
    <s v="Prestar servicios profesionales en la seguimiento,verificación y control administrativo financiero de los procesos contractuales en la etapa de ejecución a cargo de la Subdirección Logistica – SBLG."/>
    <s v="25 - contrato de prestacion de servicios profesionales"/>
    <n v="80111600"/>
    <n v="7"/>
    <n v="4"/>
    <n v="0"/>
    <n v="2472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905"/>
    <x v="1"/>
    <x v="1"/>
    <s v="Omer Mauricio Rivera Ruiz"/>
    <s v="Prestar servicios de apoyo a la gestión en el manejo de las herramientas tecnológicas a cargo de la Subdirección Logística, y en diligenciamiento, seguimiento y control de las herramientas de gestión asociadas a la mesa logística. – SBLG"/>
    <s v="26 - contrato de prestacion de servicios de apoyo a la gestion"/>
    <n v="80111600"/>
    <n v="8"/>
    <n v="4"/>
    <n v="0"/>
    <n v="12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906"/>
    <x v="1"/>
    <x v="1"/>
    <s v="Omer Mauricio Rivera Ruiz"/>
    <s v="Prestación de servicios profesionales para la gestión administrativa de las herramientas tecnológicas de la Subdirección Logística asociados a la mesa logística - SBLG"/>
    <s v="26 - contrato de prestacion de servicios de apoyo a la gestion"/>
    <n v="80111600"/>
    <n v="8"/>
    <n v="4"/>
    <n v="0"/>
    <n v="16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907"/>
    <x v="1"/>
    <x v="1"/>
    <s v="Omer Mauricio Rivera Ruiz"/>
    <s v="Prestar servicios de apoyo a la gestión en el seguimiento y control de los suministros y consumibles garantizando la disponibilidad para la atención de emergencias  -SBLG."/>
    <s v="26 - contrato de prestacion de servicios de apoyo a la gestion"/>
    <n v="80111600"/>
    <n v="7"/>
    <n v="5"/>
    <n v="0"/>
    <n v="161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908"/>
    <x v="1"/>
    <x v="1"/>
    <s v="Omer Mauricio Rivera Ruiz"/>
    <s v="Prestación de servicios profesionales de seguimiento operativo del equipo menor a través del, monitoreo, la programación y cumplimiento de los mantenimientos preventivos y correctivos del equipo menor. SBLG"/>
    <s v="25 - contrato de prestacion de servicios profesionales"/>
    <n v="80111600"/>
    <n v="7"/>
    <n v="4"/>
    <n v="0"/>
    <n v="20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909"/>
    <x v="1"/>
    <x v="1"/>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7"/>
    <n v="4"/>
    <n v="0"/>
    <n v="1648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910"/>
    <x v="1"/>
    <x v="1"/>
    <s v="Omer Mauricio Rivera Ruiz"/>
    <s v="Prestación de servicios profesionales a la gestión administrativa, financiera y documental para la atención del cuerpo uniformado a cargo de la Subdirección - SBGL. "/>
    <s v="25 - contrato de prestacion de servicios profesionales"/>
    <n v="80111600"/>
    <n v="7"/>
    <n v="4"/>
    <n v="0"/>
    <n v="152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911"/>
    <x v="1"/>
    <x v="1"/>
    <s v="Omer Mauricio Rivera Ruiz"/>
    <s v="Prestación de servicios profesionales técnicos y administrativos en el seguimiento y control en los diferentes procesos y procedimiemtos incluyendo el sistema de Gestión ambiental de la Subdirección Logística . -SBGL"/>
    <s v="25 - contrato de prestacion de servicios profesionales"/>
    <n v="80111600"/>
    <n v="8"/>
    <n v="2"/>
    <n v="0"/>
    <n v="844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912"/>
    <x v="1"/>
    <x v="1"/>
    <s v="Omer Mauricio Rivera Ruiz"/>
    <s v="Prestar servicios profesionales en la definición y gestión de procedimientos, lineamientos ambientales y de SST de los procesos, así como del sistema de Gestión de Calidad . – SBGL"/>
    <s v="25 - contrato de prestacion de servicios profesionales"/>
    <n v="80111600"/>
    <n v="9"/>
    <n v="3"/>
    <n v="0"/>
    <n v="22235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913"/>
    <x v="1"/>
    <x v="1"/>
    <s v="Omer Mauricio Rivera Ruiz"/>
    <s v="Prestar servicio de apoyo a la gestión para acompañar a la subdirección logística en el seguimiento técnico y administrativo del mantenimiento de los vehículos pertenecientes al parque automotor de la UAECOB."/>
    <s v="26 - contrato de prestacion de servicios de apoyo a la gestion"/>
    <n v="80111600"/>
    <n v="7"/>
    <n v="5"/>
    <n v="0"/>
    <n v="16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914"/>
    <x v="1"/>
    <x v="1"/>
    <s v="Omer Mauricio Rivera Ruiz"/>
    <s v="Prestación de servicios de apoyo a la gestión como  conductor para realizar el transporte de personas, materiales y alimentos de acuerdo a las necesidades e instrucciones de la Subdirección Logística"/>
    <s v="26 - contrato de prestacion de servicios de apoyo a la gestion"/>
    <n v="80111600"/>
    <n v="7"/>
    <n v="4"/>
    <n v="0"/>
    <n v="124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915"/>
    <x v="1"/>
    <x v="1"/>
    <s v="Omer Mauricio Rivera Ruiz"/>
    <s v="Prestar servicios profesionales en las actividades administrativas y financieras que requieran los procesos de la Subdirección Logística- SBLG"/>
    <s v="25 - contrato de prestacion de servicios profesionales"/>
    <n v="80111600"/>
    <n v="7"/>
    <n v="3"/>
    <n v="0"/>
    <n v="114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916"/>
    <x v="1"/>
    <x v="1"/>
    <s v="Omer Mauricio Rivera Ruiz"/>
    <s v="Prestación de servicios de apoyo a la gestión en la recepción, trámite, gestión y resolución de todas las incidencias o solicitudes reportadas a través de la herramienta de la mesa logística de la Subdirección Logística de la UAECOB. – SBLG."/>
    <s v="26 - contrato de prestacion de servicios de apoyo a la gestion"/>
    <n v="80111600"/>
    <n v="7"/>
    <n v="3"/>
    <n v="0"/>
    <n v="96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917"/>
    <x v="1"/>
    <x v="1"/>
    <s v="Omer Mauricio Rivera Ruiz"/>
    <s v="Contratar la prestación de servicios de apoyo a la gestión técnica en la evaluación, manutención y alistamiento de los equipos industriales y/o combustión a cargo de la Subdirección Logística – SBLG."/>
    <s v="26 - contrato de prestacion de servicios de apoyo a la gestion"/>
    <n v="80111600"/>
    <n v="10"/>
    <n v="3"/>
    <n v="0"/>
    <n v="950208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918"/>
    <x v="1"/>
    <x v="1"/>
    <s v="Omer Mauricio Rivera Ruiz"/>
    <s v="Prestación de servicios de apoyo a la gestión en el proceso de mantenimiento del equipo menor a cargo de la Subdirección Logística -SBLG-."/>
    <s v="26 - contrato de prestacion de servicios de apoyo a la gestion"/>
    <n v="80111600"/>
    <n v="10"/>
    <n v="3"/>
    <n v="0"/>
    <n v="10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919"/>
    <x v="1"/>
    <x v="1"/>
    <s v="Omer Mauricio Rivera Ruiz"/>
    <s v="Prestar servicios profesionales para el seguimiento y control a los insumos y suministros de la Subdirección Logística. SBLG"/>
    <s v="25 - contrato de prestacion de servicios profesionales"/>
    <n v="80111600"/>
    <n v="7"/>
    <n v="4"/>
    <n v="0"/>
    <n v="172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920"/>
    <x v="1"/>
    <x v="1"/>
    <s v="Omer Mauricio Rivera Ruiz"/>
    <s v="Prestar servicios de apoyo a la gestión para realizar seguimiento y control en el analisis de datos de los diferentes aplicativos tecnologicos de la Subdirección Logistica. SBLG "/>
    <s v="26 - contrato de prestacion de servicios de apoyo a la gestion"/>
    <n v="80111600"/>
    <n v="7"/>
    <n v="4"/>
    <n v="0"/>
    <n v="128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0921"/>
    <x v="2"/>
    <x v="10"/>
    <s v="Monica Perez Barragan"/>
    <s v="Adición y prórroga al contrato 002 de 2024 cuto objeto es: &quot;Prestar los servicios profesionales  jurídicos para apoyar las actividades propias de la gestión contractual que adelanta la Oficina Jurídica&quot;"/>
    <s v="25 - contrato de prestacion de servicios profesionales"/>
    <n v="80111600"/>
    <n v="11"/>
    <n v="2"/>
    <n v="25"/>
    <n v="1218333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2199 Otros servicios jurídicos n.c.p."/>
    <s v="No Secop"/>
  </r>
  <r>
    <n v="20240922"/>
    <x v="2"/>
    <x v="10"/>
    <s v="Monica Perez Barragan"/>
    <s v="Prestar los servicios profesionales  jurídicos para apoyar las actividades propias de la gestión contractual que adelanta la Oficina Jurídica"/>
    <s v="25 - contrato de prestacion de servicios profesionales"/>
    <n v="80111600"/>
    <n v="8"/>
    <n v="4"/>
    <n v="0"/>
    <n v="2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923"/>
    <x v="2"/>
    <x v="10"/>
    <s v="Monica Perez Barragan"/>
    <s v="Adición y prórroga al contrato 003 de 2024 cuto objeto es: &quot;Prestar servicios profesionales  para apoyar en la estructuración de las acciones de mejora, seguimiento  a la gestión contractual de la Entidad y demás procedimientos, en el marco de las funciones  de la Oficina Jurídica &quot;"/>
    <s v="25 - contrato de prestacion de servicios profesionales"/>
    <n v="80111600"/>
    <n v="11"/>
    <n v="2"/>
    <n v="10"/>
    <n v="16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0924"/>
    <x v="2"/>
    <x v="10"/>
    <s v="Monica Perez Barragan"/>
    <s v="Prestación de servicios profesionales jurídicos para orientar y apoyar el trámite y la gestión de los procesos_x000a_disciplinarios que se adelanten en la Oficina Jurídica de la Unidad Administrativa Especial Cuerpo Oficial de_x000a_Bomberos Bogotá"/>
    <s v="25 - contrato de prestacion de servicios profesionales"/>
    <n v="80111600"/>
    <n v="8"/>
    <n v="3"/>
    <n v="16"/>
    <n v="24733336"/>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925"/>
    <x v="2"/>
    <x v="10"/>
    <s v="Monica Perez Barragan"/>
    <s v="Adición y prórroga al contrato 340 de 2024 cuto objeto es: &quot;Prestar los servicios profesionales  jurídicos para apoyar las actividades propias de la gestión contractual que adelanta la Oficina Jurídica&quot;"/>
    <s v="25 - contrato de prestacion de servicios profesionales"/>
    <n v="80111600"/>
    <n v="10"/>
    <n v="2"/>
    <n v="22"/>
    <n v="10933306"/>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2199 Otros servicios jurídicos n.c.p."/>
    <s v="No Secop"/>
  </r>
  <r>
    <n v="20240926"/>
    <x v="2"/>
    <x v="10"/>
    <s v="Monica Perez Barragan"/>
    <s v="Prestar los servicios profesionales para apoyar administrativamente la gestión, los procesos y procedimientos y demás trámites propios del cumplimiento de la misionalidad de la Oficina Jurídica"/>
    <s v="25 - contrato de prestacion de servicios profesionales"/>
    <n v="80111600"/>
    <n v="10"/>
    <n v="3"/>
    <n v="2"/>
    <n v="1203333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927"/>
    <x v="2"/>
    <x v="10"/>
    <s v="Monica Perez Barragan"/>
    <s v="Adición y prórroga al contrato 009 de 2024 cuto objeto es: &quot;Prestar los servicios de apoyo para las gestiones documentales y administrativas requerida por la Oficina Jurídica.&quot;"/>
    <s v="26 - contrato de prestacion de servicios de apoyo a la gestion"/>
    <n v="80111600"/>
    <n v="11"/>
    <n v="1"/>
    <n v="20"/>
    <n v="826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0928"/>
    <x v="2"/>
    <x v="10"/>
    <s v="Monica Perez Barragan"/>
    <s v="Prestar los servicios de apoyo para las gestiones documentales y administrativas requerida por la Oficina Jurídica."/>
    <s v="26 - contrato de prestacion de servicios de apoyo a la gestion"/>
    <n v="80111600"/>
    <n v="10"/>
    <n v="2"/>
    <n v="7"/>
    <n v="1002333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929"/>
    <x v="2"/>
    <x v="10"/>
    <s v="Monica Perez Barragan"/>
    <s v="Adición y prórroga al contrato 011 de 2024 cuto objeto es: &quot;Prestar los servicios profesionales  jurídicos para apoyar las actividades propias de la gestión contractual que adelanta la Oficina Jurídica&quot;"/>
    <s v="25 - contrato de prestacion de servicios profesionales"/>
    <n v="80111600"/>
    <n v="11"/>
    <n v="2"/>
    <n v="20"/>
    <n v="1253333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2199 Otros servicios jurídicos n.c.p."/>
    <s v="No Secop"/>
  </r>
  <r>
    <n v="20240930"/>
    <x v="2"/>
    <x v="10"/>
    <s v="Monica Perez Barragan"/>
    <s v="Prestar los servicios profesionales para los realizar gestión de tramites y actividades que se requieran en los diferentes procesos disciplinarios propios de la etapa de juzgamiento de la Oficina Jurídica en la UAECOB"/>
    <s v="25 - contrato de prestacion de servicios profesionales"/>
    <n v="80111600"/>
    <n v="8"/>
    <n v="5"/>
    <n v="19"/>
    <n v="2168833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931"/>
    <x v="2"/>
    <x v="10"/>
    <s v="Monica Perez Barragan"/>
    <s v="Adición y prórroga al contrato 339 de 2024 cuto objeto es: &quot;Prestar los servicios de apoyo para las gestiones documentales y administrativas requerida por la Oficina Jurídica.&quot;"/>
    <s v="26 - contrato de prestacion de servicios de apoyo a la gestion"/>
    <n v="80111600"/>
    <n v="11"/>
    <n v="1"/>
    <n v="6"/>
    <n v="682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0932"/>
    <x v="2"/>
    <x v="10"/>
    <s v="Monica Perez Barragan"/>
    <s v="Adición y prórroga al contrato 031 de 2024 cuto objeto es: &quot;Prestar servicios profesionales para apoyar en las acciones de control y manejo de la información y la presentación de los informes reglamentarios a los entes de control por parte de la Oficina Jurídica&quot;"/>
    <s v="26 - contrato de prestacion de servicios de apoyo a la gestion"/>
    <n v="80111600"/>
    <n v="12"/>
    <n v="0"/>
    <n v="27"/>
    <n v="10992208"/>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0933"/>
    <x v="2"/>
    <x v="10"/>
    <s v="Monica Perez Barragan"/>
    <s v="Adición y prórroga al contrato 138 de 2024 cuto objeto es: &quot;Prestar los servicios profesionales  jurídicos para apoyar las actividades propias de la gestión contractual que adelanta la Oficina Jurídica&quot;"/>
    <s v="25 - contrato de prestacion de servicios profesionales"/>
    <n v="80111600"/>
    <n v="11"/>
    <n v="2"/>
    <n v="17"/>
    <n v="1358829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2199 Otros servicios jurídicos n.c.p."/>
    <s v="No Secop"/>
  </r>
  <r>
    <n v="20240934"/>
    <x v="2"/>
    <x v="10"/>
    <s v="Monica Perez Barragan"/>
    <s v="Adición y prórroga al contrato 060 de 2024 cuto objeto es: &quot;Prestar los servicios profesionales especializados para la representación judicial  de la Entidad y la prevención del daño antijurídico&quot;"/>
    <s v="25 - contrato de prestacion de servicios profesionales"/>
    <n v="80111600"/>
    <n v="12"/>
    <n v="1"/>
    <n v="20"/>
    <n v="40015931"/>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0935"/>
    <x v="2"/>
    <x v="10"/>
    <s v="Monica Perez Barragan"/>
    <s v="Prestar servicios profesionales para apoyar las diferentes actuaciones jurídicas que adelanta la UAECOB"/>
    <s v="25 - contrato de prestacion de servicios profesionales"/>
    <n v="80111600"/>
    <n v="8"/>
    <n v="3"/>
    <n v="20"/>
    <n v="1416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936"/>
    <x v="2"/>
    <x v="10"/>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9"/>
    <n v="3"/>
    <n v="0"/>
    <n v="235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937"/>
    <x v="2"/>
    <x v="10"/>
    <s v="Monica Perez Barragan"/>
    <s v="Adición y prórroga al contrato 226 de 2024 cuyo objeto es: &quot;Prestar los servicios profesionales para apoyar la depuración de la cartera de cobro coactivo, así como actividades propias de la defensa judicial de la Entidad y demas actiuaciones relacionadas que requiera la Oficina Jurídica&quot;"/>
    <s v="25 - contrato de prestacion de servicios profesionales"/>
    <n v="80111600"/>
    <n v="12"/>
    <n v="1"/>
    <n v="27"/>
    <n v="988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2199 Otros servicios jurídicos n.c.p."/>
    <s v="No Secop"/>
  </r>
  <r>
    <n v="20240938"/>
    <x v="2"/>
    <x v="10"/>
    <s v="Monica Perez Barragan"/>
    <s v="Prestar los servicios profesionales jurídicos especializados para la verificación de la legalidad contractual en el desarrollo de las funciones de la Oficina Jurídica"/>
    <s v="25 - contrato de prestacion de servicios profesionales"/>
    <n v="80111600"/>
    <n v="10"/>
    <n v="4"/>
    <n v="0"/>
    <n v="3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939"/>
    <x v="2"/>
    <x v="10"/>
    <s v="Monica Perez Barragan"/>
    <s v="Prestar los servicios de apoyo para los tramites, gestiones y actividades propias que se requieran en los diferentes procesos disciplinarios propios de la etapa de juzgamiento de la Oficina Jurídica en la UAECOB"/>
    <s v="26 - contrato de prestacion de servicios de apoyo a la gestion"/>
    <n v="80111600"/>
    <n v="8"/>
    <n v="3"/>
    <n v="15"/>
    <n v="108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0940"/>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8"/>
    <n v="12113333"/>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41"/>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42"/>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43"/>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44"/>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45"/>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46"/>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47"/>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48"/>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49"/>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50"/>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51"/>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52"/>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2"/>
    <n v="13953333"/>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53"/>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8"/>
    <n v="14413333"/>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54"/>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11"/>
    <n v="14643333"/>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55"/>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11"/>
    <n v="14643333"/>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56"/>
    <x v="1"/>
    <x v="4"/>
    <s v="Mauricio Ayala Vasquez"/>
    <s v="Prestación de servicios de apoyo en el desarrollo de actividades administrativas, así como la gestión , control, trámite y seguimiento de solicitudes recepcionadas en el canal de comunicación de gestión operativa. - SO"/>
    <s v="26 - contrato de prestacion de servicios de apoyo a la gestion"/>
    <n v="80111600"/>
    <n v="8"/>
    <n v="6"/>
    <n v="28"/>
    <n v="1872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57"/>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9"/>
    <n v="4"/>
    <n v="16"/>
    <n v="1224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58"/>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6"/>
    <n v="10"/>
    <n v="184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59"/>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6"/>
    <n v="27"/>
    <n v="1863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60"/>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0"/>
    <n v="189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61"/>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2"/>
    <n v="1908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62"/>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5"/>
    <n v="193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63"/>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8"/>
    <n v="6"/>
    <n v="0"/>
    <n v="162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64"/>
    <x v="1"/>
    <x v="4"/>
    <s v="Mauricio Ayala Vasquez"/>
    <s v="Prestación de servicios de apoyo a la gestión en las actividades que permitan mantener las condiciones básicas y de bienestar en animales rescatados y caninos del grupo BRAE a cargo de la Subdirección Operativa - SO"/>
    <s v="26 - contrato de prestacion de servicios de apoyo a la gestion"/>
    <n v="80111600"/>
    <n v="8"/>
    <n v="5"/>
    <n v="15"/>
    <n v="1524292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65"/>
    <x v="1"/>
    <x v="4"/>
    <s v="Mauricio Ayala Vasquez"/>
    <s v="Prestación de servicios de apoyo a la gestión para la atención de requerimientos, solicitudes y realización de trámites administrativos y documentales, relacionados con los procesos y procedimientos a cargo de la Subdirección Operativa – SO"/>
    <s v="26 - contrato de prestacion de servicios de apoyo a la gestion"/>
    <n v="80111600"/>
    <n v="8"/>
    <n v="5"/>
    <n v="15"/>
    <n v="16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66"/>
    <x v="1"/>
    <x v="4"/>
    <s v="Mauricio Ayala Vasquez"/>
    <s v="Prestación de servicios profesionales para apoyar el diligenciamiento y seguimiento de las solicitudes y herramientas de gestión de los procedimientos a cargo de esta subdirección . - SO"/>
    <s v="25 - contrato de prestacion de servicios profesionales"/>
    <n v="80111600"/>
    <n v="8"/>
    <n v="5"/>
    <n v="15"/>
    <n v="22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67"/>
    <x v="1"/>
    <x v="4"/>
    <s v="Mauricio Ayala Vasquez"/>
    <s v="Prestación de servicios profesionales para la elaboración, diagramación, orto tipografía y estilos de textos e informes referentes a los procesos a cargo de la Subdirección Operativa - SO"/>
    <s v="25 - contrato de prestacion de servicios profesionales"/>
    <n v="80111600"/>
    <n v="8"/>
    <n v="5"/>
    <n v="28"/>
    <n v="25513333"/>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68"/>
    <x v="1"/>
    <x v="4"/>
    <s v="Mauricio Ayala Vasquez"/>
    <s v="Prestar sus servicios profesionales para apoyar a la subdirección operativa en la proyección de solicitudes dirigidas a autoridades administrativas, respuestas a PQR´s, derechos de petición, y a requerimientos que efectúen los entes de control y autoridades administrativas por los diferentes canales de atención de la entidad, en el marco de los procesos y procedimientos a cargo de la dependencia. so"/>
    <s v="25 - contrato de prestacion de servicios profesionales"/>
    <n v="80111600"/>
    <n v="8"/>
    <n v="5"/>
    <n v="15"/>
    <n v="23925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69"/>
    <x v="1"/>
    <x v="4"/>
    <s v="Mauricio Ayala Vasquez"/>
    <s v="Prestación de servicios profesionales para acompañar en aspectos jurídicos a la Subdirección Operativa, frente a la estructuración, sustanciación, revisión y trámite de los actos administrativos y demás documentos a emitir por la dependencia."/>
    <s v="25 - contrato de prestacion de servicios profesionales"/>
    <n v="80111600"/>
    <n v="8"/>
    <n v="6"/>
    <n v="0"/>
    <n v="2844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70"/>
    <x v="1"/>
    <x v="4"/>
    <s v="Mauricio Ayala Vasquez"/>
    <s v="Prestación de servicios profesionales de carácter administrativo y financiero para apoyar los procesos y procedimientos a cargo de la Subdirección Operativa."/>
    <s v="25 - contrato de prestacion de servicios profesionales"/>
    <n v="80111600"/>
    <n v="8"/>
    <n v="5"/>
    <n v="15"/>
    <n v="264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71"/>
    <x v="1"/>
    <x v="4"/>
    <s v="Mauricio Ayala Vasquez"/>
    <s v="Prestación de servicios profesionales para acompañar a la Subdirección Operativa en el fortalecimiento de sus procesos de comunicaciones y análisis de información en articulación con otras dependencias de la Entidad"/>
    <s v="25 - contrato de prestacion de servicios profesionales"/>
    <n v="80111600"/>
    <n v="7"/>
    <n v="6"/>
    <n v="25"/>
    <n v="34166666"/>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72"/>
    <x v="1"/>
    <x v="4"/>
    <s v="Mauricio Ayala Vasquez"/>
    <s v="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
    <s v="25 - contrato de prestacion de servicios profesionales"/>
    <n v="80111600"/>
    <n v="10"/>
    <n v="3"/>
    <n v="28"/>
    <n v="19666666"/>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73"/>
    <x v="1"/>
    <x v="4"/>
    <s v="Mauricio Ayala Vasquez"/>
    <s v="Prestación de servicios profesionales para ejecutar actividades básicas y de bienestar en animales rescatados y de los caninos del programa BRAE a cargo de la Subdirección Operativa - SO"/>
    <s v="25 - contrato de prestacion de servicios profesionales"/>
    <n v="80111600"/>
    <n v="8"/>
    <n v="5"/>
    <n v="9"/>
    <n v="2703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74"/>
    <x v="1"/>
    <x v="4"/>
    <s v="Mauricio Ayala Vasquez"/>
    <s v="Prestación de servicios profesionales para ejecutar actividades básicas y de bienestar en animales rescatados y de los caninos del programa BRAE a cargo de la Subdirección Operativa - SO"/>
    <s v="25 - contrato de prestacion de servicios profesionales"/>
    <n v="80111600"/>
    <n v="8"/>
    <n v="5"/>
    <n v="9"/>
    <n v="2703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76"/>
    <x v="1"/>
    <x v="4"/>
    <s v="Mauricio Ayala Vasquez"/>
    <s v="Prestación de servicios profesionales para ejecutar el componente de información geográfica, georreferenciación y generación de alertas mediante las herramientas, sistemas de información y recursos disponibles de la Subdirección Operativa."/>
    <s v="25 - contrato de prestacion de servicios profesionales"/>
    <n v="80111600"/>
    <n v="8"/>
    <n v="6"/>
    <n v="0"/>
    <n v="33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77"/>
    <x v="1"/>
    <x v="4"/>
    <s v="Mauricio Ayala Vasquez"/>
    <s v="Prestar servicios profesionales a la Subdirección Operativa para adelantar las actividades relacionadas con el sistema de gestión de calidad, ambiental y con el sistema de control interno. SO"/>
    <s v="25 - contrato de prestacion de servicios profesionales"/>
    <n v="80111600"/>
    <n v="8"/>
    <n v="5"/>
    <n v="8"/>
    <n v="28966666"/>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78"/>
    <x v="1"/>
    <x v="4"/>
    <s v="Mauricio Ayala Vasquez"/>
    <s v="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
    <s v="25 - contrato de prestacion de servicios profesionales"/>
    <n v="80111600"/>
    <n v="8"/>
    <n v="5"/>
    <n v="19"/>
    <n v="30983333"/>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79"/>
    <x v="1"/>
    <x v="4"/>
    <s v="Mauricio Ayala Vasquez"/>
    <s v="Prestación de servicios profesionales para apoyar a la Subdirección Operativa en las actividades misionales, así como  en la elaboración, diseño y diagramación de piezas requeridas para los planes, programas, proyectos y procedimientos SO"/>
    <s v="25 - contrato de prestacion de servicios profesionales"/>
    <n v="80111600"/>
    <n v="8"/>
    <n v="5"/>
    <n v="24"/>
    <n v="319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80"/>
    <x v="1"/>
    <x v="4"/>
    <s v="Mauricio Ayala Vasquez"/>
    <s v="Prestación de servicios profesionales para acompañar la estructuración, definición y verificación de aspectos técnicos de los diferentes procesos de contratación de bienes y servicios de la Subdirección Operativa en las etapas precontractual, contractual y postcontractual."/>
    <s v="25 - contrato de prestacion de servicios profesionales"/>
    <n v="80111600"/>
    <n v="7"/>
    <n v="6"/>
    <n v="0"/>
    <n v="33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81"/>
    <x v="1"/>
    <x v="4"/>
    <s v="Mauricio Ayala Vasquez"/>
    <s v="Prestación de servicios profesionales para acompañar jurídicamente a la Subdirección Operativa, en la sustanciación, revisión y trámite de solicitudes dirigidas a autoridades administrativas y respuestas a PQR´S, Derechos de petición, y a requerimientos que efectúen los entes de control, así como brindar apoyo en la estructuración de los procesos y procedimientos que así lo requieran a cargo de la dependencia. – SO"/>
    <s v="25 - contrato de prestacion de servicios profesionales"/>
    <n v="80111600"/>
    <n v="8"/>
    <n v="5"/>
    <n v="15"/>
    <n v="39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82"/>
    <x v="1"/>
    <x v="4"/>
    <s v="Mauricio Ayala Vasquez"/>
    <s v="Prestación de servicios profesionales para apoyar a la Subdirección Operativa, en la consolidación, seguimiento y reporte de las actividades del plan de mejoramiento, normograma y mapa de riesgos relacionados con los procesos y procedimientos misionales de la dependencia. SO."/>
    <s v="25 - contrato de prestacion de servicios profesionales"/>
    <n v="80111600"/>
    <n v="7"/>
    <n v="6"/>
    <n v="9"/>
    <n v="4221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83"/>
    <x v="1"/>
    <x v="4"/>
    <s v="Mauricio Ayala Vasquez"/>
    <s v="Prestación de servicios profesionales para acompañar a la Subdirección Operativa en la elaboración de informes, documentos técnicos, infografías, reportes y consolidación de indicadores relacionados con los procesos y contratos a cargo de la dependencia – SO"/>
    <s v="25 - contrato de prestacion de servicios profesionales"/>
    <n v="80111600"/>
    <n v="10"/>
    <n v="3"/>
    <n v="25"/>
    <n v="26833333"/>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84"/>
    <x v="1"/>
    <x v="4"/>
    <s v="Mauricio Ayala Vasquez"/>
    <s v="Prestar servicios profesionales para acompañar a la subdirección Operativa en la planeación, trámite y seguimiento de los aspectos presupuestales, financieros y contractuales a cargo de la dependencia - SO"/>
    <s v="25 - contrato de prestacion de servicios profesionales"/>
    <n v="80111600"/>
    <n v="8"/>
    <n v="5"/>
    <n v="14"/>
    <n v="41766666"/>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85"/>
    <x v="1"/>
    <x v="4"/>
    <s v="Mauricio Ayala Vasquez"/>
    <s v="Prestación de servicios profesionales para acompañar a la Subdirección Operativa en la estructuación de fichas técnicas e identificación de necesidades técnicas que requiera la Entidad con base en la atención de emergencias y requerimientos internos y externos - SO"/>
    <s v="25 - contrato de prestacion de servicios profesionales"/>
    <n v="80111600"/>
    <n v="10"/>
    <n v="4"/>
    <n v="8"/>
    <n v="29866666"/>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86"/>
    <x v="1"/>
    <x v="4"/>
    <s v="Mauricio Ayala Vasquez"/>
    <s v="Prestar por sus propios medios con plena autonomía técnica y administrativa los servicios profesionales para el desarrollo y soporte de aplicativos para el funcionamiento de la Subdirección Operativa."/>
    <s v="25 - contrato de prestacion de servicios profesionales"/>
    <n v="80111600"/>
    <n v="12"/>
    <n v="1"/>
    <n v="2"/>
    <n v="7466666"/>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87"/>
    <x v="1"/>
    <x v="4"/>
    <s v="Mauricio Ayala Vasquez"/>
    <s v="Prestación de servicios profesionales con plena autonomía técnica y administrativa para acompañar a la Subdirección Operativa, en el diseño, implementación, reporte y monitoreo de los diferentes procesos, procedimientos y funciones a cargo de la dependencia. - SO"/>
    <s v="25 - contrato de prestacion de servicios profesionales"/>
    <n v="80111600"/>
    <n v="7"/>
    <n v="6"/>
    <n v="25"/>
    <n v="58083333"/>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88"/>
    <x v="1"/>
    <x v="4"/>
    <s v="Mauricio Ayala Vasquez"/>
    <s v="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
    <s v="25 - contrato de prestacion de servicios profesionales"/>
    <n v="80111600"/>
    <n v="8"/>
    <n v="5"/>
    <n v="26"/>
    <n v="528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89"/>
    <x v="1"/>
    <x v="4"/>
    <s v="Mauricio Ayala Vasquez"/>
    <s v="Adición y prórroga al contrato de prestación de servicios No.065-2024 cuyo objeto es: Prestación de servicios profesionales para la consolidación, seguimiento y control de los reporte de los planes, proyectos y programas de inversión e indicadores a cargo de la Subdirección Operativa"/>
    <s v="25 - contrato de prestacion de servicios profesionales"/>
    <n v="80111600"/>
    <n v="12"/>
    <n v="0"/>
    <n v="20"/>
    <n v="5333333"/>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No Secop"/>
  </r>
  <r>
    <n v="20240990"/>
    <x v="1"/>
    <x v="4"/>
    <s v="Mauricio Ayala Vasquez"/>
    <s v="Adición y prórroga al contrato de prestación de servicios No.368-2024 cuyo objeto es: 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
    <s v="25 - contrato de prestacion de servicios profesionales"/>
    <n v="80111600"/>
    <n v="12"/>
    <n v="0"/>
    <n v="17"/>
    <n v="5253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No Secop"/>
  </r>
  <r>
    <n v="20240992"/>
    <x v="1"/>
    <x v="4"/>
    <s v="Mauricio Ayala Vasquez"/>
    <s v="Adquisición de equipos, herramientas y accesorios (E.H.A.´s) para la atención de emergencias. - Subdirección Operativa"/>
    <s v="06 - contrato de compraventa"/>
    <s v="46181500;46181600;46181800;46181900;46182000;46182100;46182200;46182300;46182400;46182500;46191500;46191604"/>
    <n v="11"/>
    <n v="6"/>
    <n v="0"/>
    <n v="24289088"/>
    <x v="0"/>
    <s v="03 - selec. abrev. subasta invers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1010030208 Otra maquinaria para usos especiales y sus partes y piezas"/>
    <s v="Si Secop "/>
  </r>
  <r>
    <n v="20240993"/>
    <x v="1"/>
    <x v="4"/>
    <s v="Mauricio Ayala Vasquez"/>
    <s v="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 v="25 - contrato de prestacion de servicios profesionales"/>
    <n v="80111600"/>
    <n v="8"/>
    <n v="5"/>
    <n v="0"/>
    <n v="32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0994"/>
    <x v="1"/>
    <x v="1"/>
    <s v="Omer Mauricio Rivera Ruiz"/>
    <s v="Adición al contrato 573 del 2023 cuyo objeto es &quot;Prestar el servicio de mantenimiento preventivo y correctivo, de latonería y pintura, incluyendo el suministro de repuestos, insumos y mano de obra especializada para los vehículos pertenecientes al parque automotor de la UAE Cuerpo Oficial de Bomberos de Bogotá DC.&quot; "/>
    <s v="27 - contrato de prestacion de servicios de mantenimiento"/>
    <n v="78181500"/>
    <n v="7"/>
    <n v="12"/>
    <n v="0"/>
    <n v="135000000"/>
    <x v="0"/>
    <s v="02 - selec. abrev. menor cuantí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s v="O23202020088714199 Servicio de mantenimiento y reparación de vehículos automotores n.c.p."/>
    <s v="No Secop"/>
  </r>
  <r>
    <n v="20240995"/>
    <x v="1"/>
    <x v="4"/>
    <s v="Mauricio Ayala Vasquez"/>
    <s v="Adquisición de elementos y accesorios para el grupo especializado UARBO de la UAECOB."/>
    <s v="06 - contrato de compraventa"/>
    <s v="49141503;_x000a_46182004;_x000a_49141500"/>
    <n v="8"/>
    <n v="3"/>
    <n v="0"/>
    <n v="58500000"/>
    <x v="0"/>
    <s v="04 - contratación mínima cuantí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s v="O23201010030208 Otra maquinaria para usos especiales y sus partes y piezas"/>
    <s v="Si Secop "/>
  </r>
  <r>
    <n v="20240996"/>
    <x v="1"/>
    <x v="4"/>
    <s v="Mauricio Ayala Vasquez"/>
    <s v="Adquisición de elementos y accesorios para los UAS (Sistema Aéreo No Tripulado) para el grupo especializado SART de la UAECOB."/>
    <s v="06 - contrato de compraventa"/>
    <s v="26111711;_x000a_26111711;_x000a_25131600;"/>
    <n v="8"/>
    <n v="3"/>
    <n v="0"/>
    <n v="40000000"/>
    <x v="0"/>
    <s v="04 - contratación mínima cuantí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s v="O23201010030208 Otra maquinaria para usos especiales y sus partes y piezas"/>
    <s v="Si Secop "/>
  </r>
  <r>
    <n v="20240997"/>
    <x v="1"/>
    <x v="4"/>
    <s v="Mauricio Ayala Vasquez"/>
    <s v="Adquisición de elementos y accesorios para el grupo especializado BRAE de la UAECOB."/>
    <s v="06 - contrato de compraventa"/>
    <s v="41102600;_x000a_11162108;_x000a_45121522"/>
    <n v="8"/>
    <n v="3"/>
    <n v="0"/>
    <n v="58000000"/>
    <x v="0"/>
    <s v="04 - contratación mínima cuantí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s v="O23201010030208 Otra maquinaria para usos especiales y sus partes y piezas"/>
    <s v="Si Secop "/>
  </r>
  <r>
    <n v="20240998"/>
    <x v="1"/>
    <x v="4"/>
    <s v="Mauricio Ayala Vasquez"/>
    <s v="Adquisición de elementos para atención de IEGA para la UAECOB."/>
    <s v="06 - contrato de compraventa"/>
    <n v="27112100"/>
    <n v="8"/>
    <n v="3"/>
    <n v="0"/>
    <n v="48042115"/>
    <x v="0"/>
    <s v="04 - contratación mínima cuantí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s v="O23201010030208 Otra maquinaria para usos especiales y sus partes y piezas"/>
    <s v="Si Secop "/>
  </r>
  <r>
    <n v="20241000"/>
    <x v="1"/>
    <x v="11"/>
    <s v="José Andres Ponce Caicedo"/>
    <s v="Suministro de elementos para la adecuacion de escenarios practicos y simulados para cursos especializados, entrenamiento misional y capacitación en el puesto de trabajo en el marco de los programas de capacitación formación y entrenamiento"/>
    <s v="08 - contrato de suministro"/>
    <s v="86101600;86101700;86101800;86111600;86141500;86121800"/>
    <n v="8"/>
    <n v="6"/>
    <n v="0"/>
    <n v="89445522"/>
    <x v="0"/>
    <s v="02 - selec. abrev. menor cuantí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03"/>
    <x v="1"/>
    <x v="11"/>
    <s v="José Andres Ponce Caicedo"/>
    <s v="SGH - Prestar los servicios de capacitación, formación y entrenamiento en Buceo, para el personal operativo de la Unidad Administrativa Especial Cuerpo Oficial de Bomberos"/>
    <s v="08 - contrato de suministro"/>
    <s v="86101600, 86101700, 86101800, 86111600, 86141500,  86121800, 80111500"/>
    <n v="8"/>
    <n v="6"/>
    <n v="0"/>
    <n v="370000000"/>
    <x v="0"/>
    <s v="02 - selec. abrev. menor cuantí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06"/>
    <x v="1"/>
    <x v="11"/>
    <s v="José Andres Ponce Caicedo"/>
    <s v="SGH - Garantizar los recursos para viáticos y tiquetes del personal"/>
    <s v="03 - contrato de prestacion de servicios"/>
    <n v="90121800"/>
    <n v="7"/>
    <n v="6"/>
    <n v="0"/>
    <n v="110326269"/>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07"/>
    <x v="1"/>
    <x v="11"/>
    <s v="José Andres Ponce Caicedo"/>
    <s v="SGH - Garantizar los Recursos para movilización del Personal para emergencias"/>
    <s v="03 - contrato de prestacion de servicios"/>
    <n v="90121800"/>
    <n v="7"/>
    <n v="6"/>
    <n v="0"/>
    <n v="130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08"/>
    <x v="1"/>
    <x v="11"/>
    <s v="José Andres Ponce Caicedo"/>
    <s v="SGH - Prestar servicios profesionales especializados en el desarrollo de las actividades y de los diferentes procesos que tiene a cargo la Subdirección de Gestión Humana de la UAE Cuerpo Oficial de Bomberos de Bogotá"/>
    <s v="25 - contrato de prestacion de servicios profesionales"/>
    <n v="80111600"/>
    <n v="8"/>
    <n v="4"/>
    <n v="15"/>
    <n v="22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09"/>
    <x v="1"/>
    <x v="11"/>
    <s v="José Andres Ponce Caicedo"/>
    <s v="SGH - Prestar de servicios profesionales especializados para desarrollar actividades jurídicas en atención a los distintos requerimientos de la Subdirección de Gestión Humana."/>
    <s v="25 - contrato de prestacion de servicios profesionales"/>
    <n v="80111600"/>
    <n v="9"/>
    <n v="3"/>
    <n v="15"/>
    <n v="262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12"/>
    <x v="1"/>
    <x v="11"/>
    <s v="José Andres Ponce Caicedo"/>
    <s v="SGH - Prestar de servicios profesionales para desarrollar actividades jurídicas en atención a los distintos requerimientos de la Subdirección de Gestión Humana."/>
    <s v="25 - contrato de prestacion de servicios profesionales"/>
    <n v="80111600"/>
    <n v="8"/>
    <n v="5"/>
    <n v="0"/>
    <n v="30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13"/>
    <x v="1"/>
    <x v="11"/>
    <s v="José Andres Ponce Caicedo"/>
    <s v="SGH - Prestar de servicios profesionales para desarrollar actividades jurídicas relacionadas con la academia bomberil, recobro de incapacidades y procesos administrativos de la Subdirección de Gestión Humana."/>
    <s v="25 - contrato de prestacion de servicios profesionales"/>
    <n v="80111600"/>
    <n v="8"/>
    <n v="5"/>
    <n v="0"/>
    <n v="24619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16"/>
    <x v="1"/>
    <x v="11"/>
    <s v="José Andres Ponce Caicedo"/>
    <s v="SGH - Prestar servicios profesionales en la Subdirección de Gestión Humana, para el fortalecimiento trasversal del proceso de Academia."/>
    <s v="25 - contrato de prestacion de servicios profesionales"/>
    <n v="80111600"/>
    <n v="7"/>
    <n v="4"/>
    <n v="15"/>
    <n v="20682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17"/>
    <x v="1"/>
    <x v="11"/>
    <s v="José Andres Ponce Caicedo"/>
    <s v="SGH - Prestar sus servicios profesionales en los procesos de la Subdirección de Gestión Humana de la UAE Cuerpo Oficial de Bomberos."/>
    <s v="25 - contrato de prestacion de servicios profesionales"/>
    <n v="80111600"/>
    <n v="8"/>
    <n v="5"/>
    <n v="0"/>
    <n v="2735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19"/>
    <x v="1"/>
    <x v="11"/>
    <s v="José Andres Ponce Caicedo"/>
    <s v="SGH - Prestar servicios profesionales para apoyar el programa de desórdenes musculo esqueléticos de la UAE Cuerpo Oficial de Bomberos de Bogotá."/>
    <s v="25 - contrato de prestacion de servicios profesionales"/>
    <n v="80111600"/>
    <n v="7"/>
    <n v="5"/>
    <n v="0"/>
    <n v="16297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20"/>
    <x v="1"/>
    <x v="11"/>
    <s v="José Andres Ponce Caicedo"/>
    <s v="SGH - Prestar servicios de apoyo en el sistema de gestión de seguridad y salud en el trabajo en la Subdirección de Gestión Humana de la UAE Cuerpo Oficial de Bomberos."/>
    <s v="26 - contrato de prestacion de servicios de apoyo a la gestion"/>
    <n v="80111600"/>
    <n v="8"/>
    <n v="5"/>
    <n v="0"/>
    <n v="1750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22"/>
    <x v="1"/>
    <x v="11"/>
    <s v="José Andres Ponce Caicedo"/>
    <s v="SGH - Prestar sus servicios profesionales en la Subdirección de Gestión Humana en temas de desarrollo organizacional."/>
    <s v="25 - contrato de prestacion de servicios profesionales"/>
    <n v="80111600"/>
    <n v="9"/>
    <n v="2"/>
    <n v="2"/>
    <n v="13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23"/>
    <x v="1"/>
    <x v="11"/>
    <s v="José Andres Ponce Caicedo"/>
    <s v="SGH - Prestar sus servicios profesionales en la gestión contractual y presupuestal de la Subdirección de Gestión Humana de la UAE Cuerpo Oficial de Bomberos."/>
    <s v="25 - contrato de prestacion de servicios profesionales"/>
    <n v="80111600"/>
    <n v="7"/>
    <n v="5"/>
    <n v="5"/>
    <n v="10887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24"/>
    <x v="1"/>
    <x v="11"/>
    <s v="José Andres Ponce Caicedo"/>
    <s v="SGH - Prestar servicios profesionales a la Subdirección de Gestión Humana para el fortalecimiento y seguimiento del proceso de la escuela de formación bomberil."/>
    <s v="25 - contrato de prestacion de servicios profesionales"/>
    <n v="80111600"/>
    <n v="9"/>
    <n v="3"/>
    <n v="15"/>
    <n v="21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25"/>
    <x v="1"/>
    <x v="11"/>
    <s v="José Andres Ponce Caicedo"/>
    <s v="SGH - Prestar servicios profesionales en la Subdirección de Gestión Humana de la UAE Cuerpo Oficial de Bomberos en temas de liquidación de demandas y conciliaciones."/>
    <s v="25 - contrato de prestacion de servicios profesionales"/>
    <n v="80111600"/>
    <n v="9"/>
    <n v="3"/>
    <n v="0"/>
    <n v="12639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26"/>
    <x v="1"/>
    <x v="11"/>
    <s v="José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10"/>
    <n v="2"/>
    <n v="15"/>
    <n v="13677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27"/>
    <x v="1"/>
    <x v="11"/>
    <s v="José Andres Ponce Caicedo"/>
    <s v="SGH - Prestar servicios profesionales para apoyar el seguimiento del sistema de gestión de seguridad y salud en el trabajo en la Subdirección de Gestión Humana."/>
    <s v="25 - contrato de prestacion de servicios profesionales"/>
    <n v="80111600"/>
    <n v="8"/>
    <n v="4"/>
    <n v="15"/>
    <n v="202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28"/>
    <x v="1"/>
    <x v="11"/>
    <s v="José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8"/>
    <n v="4"/>
    <n v="15"/>
    <n v="14769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29"/>
    <x v="1"/>
    <x v="11"/>
    <s v="José Andres Ponce Caicedo"/>
    <s v="SGH - Prestar Servicios de apoyo  a los procesos de archivo en  Subdirección de Gestión Humana de la UAE Cuerpo Oficial de Bomberos de Bogotá D.C. "/>
    <s v="26 - contrato de prestacion de servicios de apoyo a la gestion"/>
    <n v="80111600"/>
    <n v="10"/>
    <n v="2"/>
    <n v="15"/>
    <n v="7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30"/>
    <x v="1"/>
    <x v="11"/>
    <s v="José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7"/>
    <n v="5"/>
    <n v="0"/>
    <n v="2696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31"/>
    <x v="1"/>
    <x v="11"/>
    <s v="José Andres Ponce Caicedo"/>
    <s v="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s v="25 - contrato de prestacion de servicios profesionales"/>
    <n v="80111600"/>
    <n v="8"/>
    <n v="3"/>
    <n v="15"/>
    <n v="16086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32"/>
    <x v="1"/>
    <x v="11"/>
    <s v="José Andres Ponce Caicedo"/>
    <s v="SGH - Prestar servicios profesionales en la Subdirección de Gestión Humana de la UAE Cuerpo Oficial de Bomberos en temas de liquidación de demandas y conciliaciones."/>
    <s v="25 - contrato de prestacion de servicios profesionales"/>
    <n v="80111600"/>
    <n v="8"/>
    <n v="4"/>
    <n v="0"/>
    <n v="16068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34"/>
    <x v="1"/>
    <x v="11"/>
    <s v="José Andres Ponce Caicedo"/>
    <s v="SGH - Prestar sus servicios profesionales en comunicación interna y externa para la Subdirección de Gestión Humana de la UAE Cuerpo Oficial de Bomberos de Bogotá"/>
    <s v="25 - contrato de prestacion de servicios profesionales"/>
    <n v="80111600"/>
    <n v="11"/>
    <n v="4"/>
    <n v="0"/>
    <n v="26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35"/>
    <x v="1"/>
    <x v="11"/>
    <s v="José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8"/>
    <n v="5"/>
    <n v="0"/>
    <n v="129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36"/>
    <x v="1"/>
    <x v="11"/>
    <s v="José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7"/>
    <n v="5"/>
    <n v="0"/>
    <n v="2008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37"/>
    <x v="1"/>
    <x v="11"/>
    <s v="José Andres Ponce Caicedo"/>
    <s v="SGH - Prestar servicios profesionales en la Subdirección de Gestión Humana de la UAE Cuerpo Oficial de Bomberos en temas de Administración de Personal."/>
    <s v="25 - contrato de prestacion de servicios profesionales"/>
    <n v="80111600"/>
    <n v="9"/>
    <n v="5"/>
    <n v="0"/>
    <n v="254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38"/>
    <x v="1"/>
    <x v="11"/>
    <s v="José Andres Ponce Caicedo"/>
    <s v="SGH - Prestar servicios de apoyo en la Subdirección de Gestión Humana de la UAE Cuerpo Oficial de Bomberos en el proceso de ausentismos del personal."/>
    <s v="26 - contrato de prestacion de servicios de apoyo a la gestion"/>
    <n v="80111600"/>
    <n v="9"/>
    <n v="3"/>
    <n v="15"/>
    <n v="1312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39"/>
    <x v="1"/>
    <x v="11"/>
    <s v="José Andres Ponce Caicedo"/>
    <s v="SGH - Prestar servicios para soportar las actividades de la dependencia"/>
    <s v="26 - contrato de prestacion de servicios de apoyo a la gestion"/>
    <n v="80111600"/>
    <n v="9"/>
    <n v="5"/>
    <n v="0"/>
    <n v="1383712"/>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041"/>
    <x v="1"/>
    <x v="0"/>
    <s v="Fatima Veronica Quintero Nuñez"/>
    <s v="Pago de pasivos exigibles - Caobos salazar"/>
    <s v="12 - resolucion"/>
    <s v="N/A"/>
    <n v="0"/>
    <n v="0"/>
    <n v="0"/>
    <n v="111883594"/>
    <x v="2"/>
    <s v="91 - n/a acto administrativo (resolución, decreto, acuerdo, etc.)"/>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s v="O2320202005040554590 Otros servicios especializados de la construcción"/>
    <s v="No Secop"/>
  </r>
  <r>
    <n v="20241042"/>
    <x v="2"/>
    <x v="0"/>
    <s v="Fatima Veronica Quintero Nuñez"/>
    <s v="Adición y prórroga No. 1 al contrato 017 de 2024 que tiene como objeto “Contratar la prestación del servicio de aseo y cafetería incluido insumos para la UAE Cuerpo Oficial de Bomberos -SGC"/>
    <s v="01 - orden de compra"/>
    <s v="44121700;44121800;44121900;44122000"/>
    <n v="8"/>
    <n v="4"/>
    <n v="0"/>
    <n v="220000000"/>
    <x v="0"/>
    <s v="17 - acuerdo marco de precios"/>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5330 Servicios de limpieza general"/>
    <s v="No Secop"/>
  </r>
  <r>
    <n v="20241045"/>
    <x v="1"/>
    <x v="0"/>
    <s v="Fatima Veronica Quintero Nuñez"/>
    <s v="Pago de pasivos exigibles - INTERVENTORIA  caobos salazar"/>
    <s v="12 - resolucion"/>
    <s v="N/A"/>
    <n v="0"/>
    <n v="0"/>
    <n v="0"/>
    <n v="14385153"/>
    <x v="2"/>
    <s v="91 - n/a acto administrativo (resolución, decreto, acuerdo, etc.)"/>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s v="O2320202005040554590 Otros servicios especializados de la construcción"/>
    <s v="No Secop"/>
  </r>
  <r>
    <n v="20241046"/>
    <x v="2"/>
    <x v="0"/>
    <s v="Fatima Veronica Quintero Nuñez"/>
    <s v="Adición y prórroga No. 1 al contrato 043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047"/>
    <x v="2"/>
    <x v="0"/>
    <s v="Fatima Veronica Quintero Nuñez"/>
    <s v="Adición y prórroga No. 1 al contrato 067 de 2024 que tiene como objeto “Prestación de servicios profesionales para articular la gestión en la ejecución de los planes y programas de servicio al ciudadano a cargo de la Subdirección de Gestión Corporativa.-SGC"/>
    <s v="25 - contrato de prestacion de servicios profesionales"/>
    <s v="80111600;"/>
    <n v="8"/>
    <n v="2"/>
    <n v="15"/>
    <n v="206444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048"/>
    <x v="2"/>
    <x v="0"/>
    <s v="Fatima Veronica Quintero Nuñez"/>
    <s v="Adición y prórroga No. 1 al contrato 071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049"/>
    <x v="2"/>
    <x v="0"/>
    <s v="Fatima Veronica Quintero Nuñez"/>
    <s v="Adición y prórroga No. 1 al contrato 081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050"/>
    <x v="2"/>
    <x v="0"/>
    <s v="Fatima Veronica Quintero Nuñez"/>
    <s v="Adición y prórroga No. 1 al contrato 083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051"/>
    <x v="2"/>
    <x v="0"/>
    <s v="Fatima Veronica Quintero Nuñez"/>
    <s v="Adición y prórroga No. 1 al contrato 086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052"/>
    <x v="2"/>
    <x v="0"/>
    <s v="Fatima Veronica Quintero Nuñez"/>
    <s v="Adición y prórroga No. 1 al contrato 098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053"/>
    <x v="2"/>
    <x v="0"/>
    <s v="Fatima Veronica Quintero Nuñez"/>
    <s v="Adición y prórroga No. 1 al contrato 107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054"/>
    <x v="2"/>
    <x v="0"/>
    <s v="Fatima Veronica Quintero Nuñez"/>
    <s v="Adición y prórroga No. 1 al contrato 12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055"/>
    <x v="2"/>
    <x v="0"/>
    <s v="Fatima Veronica Quintero Nuñez"/>
    <s v="Adición y prórroga No. 1 al contrato 14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056"/>
    <x v="2"/>
    <x v="0"/>
    <s v="Fatima Veronica Quintero Nuñez"/>
    <s v="Adición y prórroga No. 1 al contrato 327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057"/>
    <x v="2"/>
    <x v="0"/>
    <s v="Fatima Veronica Quintero Nuñez"/>
    <s v="Adición y prórroga No. 1 al contrato 33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058"/>
    <x v="2"/>
    <x v="0"/>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8"/>
    <n v="4"/>
    <n v="15"/>
    <n v="312975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059"/>
    <x v="2"/>
    <x v="0"/>
    <s v="Fatima Veronica Quintero Nuñez"/>
    <s v="Prestación de servicios de apoyo en la gestión de seguros de la Subdirección de Gestión Corporativa. –SGC"/>
    <s v="26 - contrato de prestacion de servicios de apoyo a la gestion"/>
    <s v="80111600;"/>
    <n v="8"/>
    <n v="4"/>
    <n v="0"/>
    <n v="110857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060"/>
    <x v="2"/>
    <x v="0"/>
    <s v="Fatima Veronica Quintero Nuñez"/>
    <s v="Prestación de servicios profesionales para apoyar a la Subdirección de Gestión Corporativa aplicando los procesos y procedimientos de seguros e inventarios -SGC"/>
    <s v="25 - contrato de prestacion de servicios profesionales"/>
    <s v="80111600;"/>
    <n v="8"/>
    <n v="4"/>
    <n v="0"/>
    <n v="1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061"/>
    <x v="2"/>
    <x v="0"/>
    <s v="Fatima Veronica Quintero Nuñez"/>
    <s v="Prestación de servicios de apoyo a la gestión de seguros de la Subdirección de Gestión Corporativa. –SGC"/>
    <s v="26 - contrato de prestacion de servicios de apoyo a la gestion"/>
    <s v="80111600;"/>
    <n v="8"/>
    <n v="3"/>
    <n v="10"/>
    <n v="97000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062"/>
    <x v="2"/>
    <x v="0"/>
    <s v="Fatima Veronica Quintero Nuñez"/>
    <s v="Prestación de servicios profesionales en la Subdirección de Gestión Corporativa en las actividades relacionadas con MIPG-SGC"/>
    <s v="25 - contrato de prestacion de servicios profesionales"/>
    <s v="80111600;"/>
    <n v="8"/>
    <n v="5"/>
    <n v="0"/>
    <n v="384608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063"/>
    <x v="2"/>
    <x v="0"/>
    <s v="Fatima Veronica Quintero Nuñez"/>
    <s v="Prestar servicios profesionales para realizar acompañamiento en la elaboración, revisión de actas de liquidación y cierre procesos contractuales adelantados por la Subdirección Gestión Corporativa -SGC"/>
    <s v="25 - contrato de prestacion de servicios profesionales"/>
    <s v="80111600;"/>
    <n v="8"/>
    <n v="4"/>
    <n v="0"/>
    <n v="22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2199 Otros servicios jurídicos n.c.p."/>
    <s v="Si Secop "/>
  </r>
  <r>
    <n v="20241064"/>
    <x v="2"/>
    <x v="0"/>
    <s v="Fatima Veronica Quintero Nuñez"/>
    <s v="Prestación de servicios de apoyo a la gestión del proceso de inventarios de la Subdirección de Gestión Corporativa.-SGC"/>
    <s v="26 - contrato de prestacion de servicios de apoyo a la gestion"/>
    <s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065"/>
    <x v="2"/>
    <x v="0"/>
    <s v="Fatima Veronica Quintero Nuñez"/>
    <s v="Prestar los servicios como conductor de la Subdirección de Gestión Corporativa -SGC"/>
    <s v="26 - contrato de prestacion de servicios de apoyo a la gestion"/>
    <s v="80111600;"/>
    <n v="8"/>
    <n v="5"/>
    <n v="0"/>
    <n v="158368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066"/>
    <x v="2"/>
    <x v="0"/>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8"/>
    <n v="4"/>
    <n v="0"/>
    <n v="14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067"/>
    <x v="2"/>
    <x v="0"/>
    <s v="Fatima Veronica Quintero Nuñez"/>
    <s v="Adición y prórroga No. 1 al contrato 269 de 2024 que tiene como objeto “Prestar servicios profesionales en la Subdirección de Gestión Corporativa en el marco de las actividades administrativas de la Dependencia.-SGC"/>
    <s v="25 - contrato de prestacion de servicios profesionales"/>
    <s v="80111600;"/>
    <n v="10"/>
    <n v="3"/>
    <n v="0"/>
    <n v="186648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068"/>
    <x v="2"/>
    <x v="0"/>
    <s v="Fatima Veronica Quintero Nuñez"/>
    <s v="Prestación de servicios profesionales, en temas jurídicos de la gestión administrativa a cargo de la Subdirección de Gestión Corporativa.- SGC"/>
    <s v="25 - contrato de prestacion de servicios profesionales"/>
    <s v="80111600;"/>
    <n v="10"/>
    <n v="3"/>
    <n v="0"/>
    <n v="1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2199 Otros servicios jurídicos n.c.p."/>
    <s v="Si Secop "/>
  </r>
  <r>
    <n v="20241069"/>
    <x v="2"/>
    <x v="0"/>
    <s v="Fatima Veronica Quintero Nuñez"/>
    <s v="Pago pasivo exigible"/>
    <s v="12 - resolucion"/>
    <s v="N/A"/>
    <n v="0"/>
    <n v="0"/>
    <n v="0"/>
    <n v="453496"/>
    <x v="2"/>
    <s v="91 - n/a acto administrativo (resolución, decreto, acuerdo, etc.)"/>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070"/>
    <x v="1"/>
    <x v="0"/>
    <s v="Fatima Veronica Quintero Nuñez"/>
    <s v="Elaboración de estudios y diseños técnicos para la construcción de la estación de bomberos de Ferias B-7 de la UAE Cuerpo Oficial de Bomberos de Bogotá – SGC"/>
    <s v="04 - contrato de consultoria"/>
    <s v="81101500;80101600"/>
    <n v="8"/>
    <n v="10"/>
    <n v="0"/>
    <n v="450000000"/>
    <x v="0"/>
    <s v="06 - concurso de méritos abierto"/>
    <x v="16"/>
    <x v="1"/>
    <x v="1"/>
    <x v="1"/>
    <x v="5"/>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s v="O2320202005040554590 Otros servicios especializados de la construcción"/>
    <s v="Si Secop "/>
  </r>
  <r>
    <n v="20241071"/>
    <x v="1"/>
    <x v="0"/>
    <s v="Fatima Veronica Quintero Nuñez"/>
    <s v="Interventoría técnica, administrativa, financiera, contable, jurídica y ambiental para la elaboración de estudios y diseños técnicos para la construcción de la estación de Bomberos de Ferias B-7 de la UAE Cuerpo Oficial de Bomberos de Bogotá – SGC"/>
    <s v="04 - contrato de consultoria"/>
    <s v="80101600;81101500;72101500;72121400"/>
    <n v="8"/>
    <n v="10"/>
    <n v="0"/>
    <n v="135350633"/>
    <x v="0"/>
    <s v="06 - concurso de méritos abierto"/>
    <x v="16"/>
    <x v="1"/>
    <x v="1"/>
    <x v="1"/>
    <x v="5"/>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s v="O2320202005040554590 Otros servicios especializados de la construcción"/>
    <s v="Si Secop "/>
  </r>
  <r>
    <n v="20241072"/>
    <x v="2"/>
    <x v="0"/>
    <s v="Fatima Veronica Quintero Nuñez"/>
    <s v="Recursos destinados a cubrir el pago a cargo de Pago de pasivos exigibles correspondientes a la Subdirección de Gestión Corporativa "/>
    <s v="12 - resolucion"/>
    <s v="N/A"/>
    <n v="0"/>
    <n v="0"/>
    <n v="0"/>
    <n v="34816349"/>
    <x v="2"/>
    <s v="91 - n/a acto administrativo (resolución, decreto, acuerdo, etc.)"/>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1010030208 Otra maquinaria para usos especiales y sus partes y piezas"/>
    <s v="No Secop"/>
  </r>
  <r>
    <n v="20241073"/>
    <x v="1"/>
    <x v="1"/>
    <s v="Omer Mauricio Rivera Ruiz"/>
    <s v="Prestar el servicio de mantenimiento preventivo y correctivo, de latonería y pintura, incluyendo el suministro de repuestos, insumos y mano de obra especializada para los vehículos livianos pertenecientes al parque automotor de la UAE Cuerpo Oficial de Bomberos de Bogotá DC"/>
    <s v="27 - contrato de prestacion de servicios de mantenimiento"/>
    <n v="78181500"/>
    <n v="7"/>
    <n v="12"/>
    <n v="0"/>
    <n v="515000000"/>
    <x v="0"/>
    <s v="02 - selec. abrev. menor cuantí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s v="O23202020088714199 Servicio de mantenimiento y reparación de vehículos automotores n.c.p."/>
    <s v="Si Secop "/>
  </r>
  <r>
    <n v="20241074"/>
    <x v="2"/>
    <x v="0"/>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5;_x000a_73152108;"/>
    <n v="8"/>
    <n v="8"/>
    <n v="0"/>
    <n v="40000000"/>
    <x v="0"/>
    <s v="04 - contratación mínima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715999 Servicio de mantenimiento y reparación de otros equipos n.c.p."/>
    <s v="Si Secop "/>
  </r>
  <r>
    <n v="20241075"/>
    <x v="2"/>
    <x v="0"/>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0;_x000a_73152100;_x000a_"/>
    <n v="8"/>
    <n v="8"/>
    <n v="0"/>
    <n v="52000000"/>
    <x v="0"/>
    <s v="04 - contratación mínima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715999 Servicio de mantenimiento y reparación de otros equipos n.c.p."/>
    <s v="Si Secop "/>
  </r>
  <r>
    <n v="20241076"/>
    <x v="2"/>
    <x v="0"/>
    <s v="Fatima Veronica Quintero Nuñez"/>
    <s v="Mantenimiento preventivo y correctivo de los equipos gasodomésticos y solares, adecuación de las redes de gas natural y repuestos para las Estaciones de Bomberos de UAE Cuerpo Oficial de Bomberos SGC"/>
    <s v="17 - contrato de mantenimiento"/>
    <s v="72121400;_x000a_72151700;_x000a_95121700;"/>
    <n v="8"/>
    <n v="8"/>
    <n v="0"/>
    <n v="45000000"/>
    <x v="0"/>
    <s v="04 - contratación mínima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715999 Servicio de mantenimiento y reparación de otros equipos n.c.p."/>
    <s v="Si Secop "/>
  </r>
  <r>
    <n v="20241078"/>
    <x v="2"/>
    <x v="0"/>
    <s v="Fatima Veronica Quintero Nuñez"/>
    <s v="Adición y prórroga No. 1 al contrato 635 de 2023 que tiene como objeto “ Realizar el mantenimiento preventivo, correctivo de puertas automatizadas para las salas de máquinas de las estaciones de la UAE Cuerpo Oficial de Bomberos-SGC"/>
    <s v="17 - contrato de mantenimiento"/>
    <s v="72121400;_x000a_72151700;_x000a_72154109;_x000a_95121700;"/>
    <n v="8"/>
    <n v="8"/>
    <n v="0"/>
    <n v="50000000"/>
    <x v="0"/>
    <s v="02 - selec. abrev. menor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715999 Servicio de mantenimiento y reparación de otros equipos n.c.p."/>
    <s v="No Secop"/>
  </r>
  <r>
    <n v="20241080"/>
    <x v="2"/>
    <x v="0"/>
    <s v="Fatima Veronica Quintero Nuñez"/>
    <s v="Adquisición de mobiliario para la dotación de las instalaciones de la UAE Cuerpo Oficial de Bomberos Bogotá- SGC "/>
    <s v="06 - contrato de compraventa"/>
    <s v="56101500;_x000a_56101700;_x000a_56101900;_x000a_56111500;"/>
    <n v="11"/>
    <n v="2"/>
    <n v="0"/>
    <n v="763980049"/>
    <x v="0"/>
    <s v="03 - selec. abrev. subasta invers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081"/>
    <x v="2"/>
    <x v="0"/>
    <s v="Fatima Veronica Quintero Nuñez"/>
    <s v="Adición y prórroga No. 1 al contrato 041 de 2024 que tiene como objeto “Prestación de servicios profesionales para apoyar las actividades técnicas del Área de Infraestructura de la Subdirección de Gestión Corporativa-SGC"/>
    <s v="25 - contrato de prestacion de servicios profesionales"/>
    <n v="80111600"/>
    <n v="10"/>
    <n v="1"/>
    <n v="0"/>
    <n v="92758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082"/>
    <x v="1"/>
    <x v="0"/>
    <s v="Fatima Veronica Quintero Nuñez"/>
    <s v="Prestación de servicios profesionales especializados para apoyar las actividades técnicas del Área de Infraestructura de la Subdirección de Gestión Corporativa-SGC "/>
    <s v="25 - contrato de prestacion de servicios profesionales"/>
    <n v="80111600"/>
    <n v="8"/>
    <n v="5"/>
    <n v="0"/>
    <n v="384608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s v="O232020200883990 Otros servicios profesionales, técnicos y empresariales n.c.p."/>
    <s v="Si Secop "/>
  </r>
  <r>
    <n v="20241083"/>
    <x v="1"/>
    <x v="0"/>
    <s v="Fatima Veronica Quintero Nuñez"/>
    <s v="Prestación de servicios profesionales especializados para apoyar las actividades técnicas del Área de Infraestructura de la Subdirección de Gestión Corporativa-SGC "/>
    <s v="25 - contrato de prestacion de servicios profesionales"/>
    <n v="80111600"/>
    <n v="8"/>
    <n v="5"/>
    <n v="0"/>
    <n v="412888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s v="O232020200883990 Otros servicios profesionales, técnicos y empresariales n.c.p."/>
    <s v="Si Secop "/>
  </r>
  <r>
    <n v="20241084"/>
    <x v="1"/>
    <x v="0"/>
    <s v="Fatima Veronica Quintero Nuñez"/>
    <s v="Prestación de servicios profesionales especializados para apoyar las actividades técnicas del Área de Infraestructura de la Subdirección de Gestión Corporativa-SGC"/>
    <s v="25 - contrato de prestacion de servicios profesionales"/>
    <n v="80111600"/>
    <n v="8"/>
    <n v="5"/>
    <n v="0"/>
    <n v="384608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s v="O232020200883990 Otros servicios profesionales, técnicos y empresariales n.c.p."/>
    <s v="Si Secop "/>
  </r>
  <r>
    <n v="20241085"/>
    <x v="1"/>
    <x v="0"/>
    <s v="Fatima Veronica Quintero Nuñez"/>
    <s v="Prestación de servicios profesionales especializados para apoyar las actividades técnicas del Área de Infraestructura de la Subdirección de Gestión Corporativa-SGC"/>
    <s v="25 - contrato de prestacion de servicios profesionales"/>
    <n v="80111600"/>
    <n v="7"/>
    <n v="5"/>
    <n v="0"/>
    <n v="384608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s v="O232020200883990 Otros servicios profesionales, técnicos y empresariales n.c.p."/>
    <s v="Si Secop "/>
  </r>
  <r>
    <n v="20241086"/>
    <x v="2"/>
    <x v="0"/>
    <s v="Fatima Veronica Quintero Nuñez"/>
    <s v="Prestación de servicios profesionales para adelantar actividades técnicas y trámites administrativos del Área de Infraestructura de la Subdirección de Gestión Corporativa-SGC"/>
    <s v="25 - contrato de prestacion de servicios profesionales"/>
    <n v="80111600"/>
    <n v="8"/>
    <n v="5"/>
    <n v="0"/>
    <n v="300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087"/>
    <x v="2"/>
    <x v="0"/>
    <s v="Fatima Veronica Quintero Nuñez"/>
    <s v="Adición y prórroga No. 1 al contrato 159 de 2024 que tiene como objeto “ 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10"/>
    <n v="1"/>
    <n v="0"/>
    <n v="92758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088"/>
    <x v="1"/>
    <x v="0"/>
    <s v="Fatima Veronica Quintero Nuñez"/>
    <s v="Adición y prórroga No. 1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
    <s v="25 - contrato de prestacion de servicios profesionales"/>
    <s v="80111600;"/>
    <n v="8"/>
    <n v="2"/>
    <n v="20"/>
    <n v="20933333"/>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s v="O232020200883990 Otros servicios profesionales, técnicos y empresariales n.c.p."/>
    <s v="No Secop"/>
  </r>
  <r>
    <n v="20241089"/>
    <x v="2"/>
    <x v="0"/>
    <s v="Fatima Veronica Quintero Nuñez"/>
    <s v="Adición y prórroga No. 1 al contrato 181 de 2024 que tiene como objeto “ Prestación de Servicios Profesionales para la formulación, seguimiento y ejecución de procesos presupuestales y financieros a cargo de la Subdirección de Gestión Corporativa -SGC"/>
    <s v="25 - contrato de prestacion de servicios profesionales"/>
    <s v="80111600;"/>
    <n v="10"/>
    <n v="1"/>
    <n v="0"/>
    <n v="8257760"/>
    <x v="2"/>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090"/>
    <x v="1"/>
    <x v="0"/>
    <s v="Fatima Veronica Quintero Nuñez"/>
    <s v="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
    <s v="25 - contrato de prestacion de servicios profesionales"/>
    <n v="80111600"/>
    <n v="8"/>
    <n v="5"/>
    <n v="0"/>
    <n v="3000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s v="O232020200883990 Otros servicios profesionales, técnicos y empresariales n.c.p."/>
    <s v="Si Secop "/>
  </r>
  <r>
    <n v="20241091"/>
    <x v="2"/>
    <x v="0"/>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n v="80111600"/>
    <n v="8"/>
    <n v="4"/>
    <n v="0"/>
    <n v="214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092"/>
    <x v="2"/>
    <x v="0"/>
    <s v="Fatima Veronica Quintero Nuñez"/>
    <s v="Prestación de servicios profesionales especializados para atender las necesidades de mantenimiento de las instalaciones y las actividades técnicas de competencia del Área de Infraestructura de la Subdirección de Gestión Corporativa-SGC"/>
    <s v="25 - contrato de prestacion de servicios profesionales"/>
    <n v="80111600"/>
    <n v="8"/>
    <n v="4"/>
    <n v="0"/>
    <n v="272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093"/>
    <x v="2"/>
    <x v="0"/>
    <s v="Fatima Veronica Quintero Nuñez"/>
    <s v="Prestación de Servicios Profesionales en temas financieros, administrativas y misionales para apoyar los proyectos de infraestructura de la Subdirección de Gestión Corporativa.- SGC"/>
    <s v="25 - contrato de prestacion de servicios profesionales"/>
    <n v="80111600"/>
    <n v="8"/>
    <n v="4"/>
    <n v="0"/>
    <n v="248864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094"/>
    <x v="2"/>
    <x v="0"/>
    <s v="Fatima Veronica Quintero Nuñez"/>
    <s v="Prestar servicios profesionales para acompañar jurídicamente los procesos y procedimientos del área de infraestructura de la Subdirección de Gestión Corporativa. SGC"/>
    <s v="25 - contrato de prestacion de servicios profesionales"/>
    <n v="80111600"/>
    <n v="8"/>
    <n v="1"/>
    <n v="0"/>
    <n v="92758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2199 Otros servicios jurídicos n.c.p."/>
    <s v="Si Secop "/>
  </r>
  <r>
    <n v="20241095"/>
    <x v="2"/>
    <x v="0"/>
    <s v="Fatima Veronica Quintero Nuñez"/>
    <s v="Prestación de servicios profesionales especializados para apoyar las actividades técnicas del Área de Infraestructura de la Subdirección de Gestión Corporativa-SGC"/>
    <s v="25 - contrato de prestacion de servicios profesionales"/>
    <n v="80111600"/>
    <n v="10"/>
    <n v="3"/>
    <n v="15"/>
    <n v="324654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096"/>
    <x v="2"/>
    <x v="0"/>
    <s v="Fatima Veronica Quintero Nuñez"/>
    <s v="Prestar servicios profesionales con el fin de atender los trámites ambientales y los demás que requiera el área de Infraestructura de la Subdirección de Gestión Corporativa. SGC"/>
    <s v="25 - contrato de prestacion de servicios profesionales"/>
    <n v="80111600"/>
    <n v="8"/>
    <n v="5"/>
    <n v="0"/>
    <n v="24075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097"/>
    <x v="2"/>
    <x v="0"/>
    <s v="Fatima Veronica Quintero Nuñez"/>
    <s v="Adición y prórroga No. 1 al contrato 266 de 2024 que tiene como objeto “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098"/>
    <x v="2"/>
    <x v="0"/>
    <s v="Fatima Veronica Quintero Nuñez"/>
    <s v="Adición y prórroga No. 1 al contrato 302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099"/>
    <x v="2"/>
    <x v="0"/>
    <s v="Fatima Veronica Quintero Nuñez"/>
    <s v="Adición y prórroga No. 1 al contrato 268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100"/>
    <x v="2"/>
    <x v="0"/>
    <s v="Fatima Veronica Quintero Nuñez"/>
    <s v="Adición y prórroga No. 1 al contrato 322 de 2024 que tiene como objeto “Prestar los servicios profesionales en los trámites técnicos y administrativos para la adquisición de los bienes y servicios del Área de Infraestructura de la Subdirección de Gestión Corporativa-SGC"/>
    <s v="25 - contrato de prestacion de servicios profesionales"/>
    <s v="80111600;"/>
    <n v="10"/>
    <n v="1"/>
    <n v="0"/>
    <n v="50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101"/>
    <x v="2"/>
    <x v="0"/>
    <s v="Fatima Veronica Quintero Nuñez"/>
    <s v="Adición y prórroga No. 1 al contrato 360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102"/>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5"/>
    <n v="0"/>
    <n v="138572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103"/>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5"/>
    <n v="0"/>
    <n v="138572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104"/>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5"/>
    <n v="0"/>
    <n v="138572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105"/>
    <x v="0"/>
    <x v="0"/>
    <s v="Fatima Veronica Quintero Nuñez"/>
    <s v="Adición y prórroga No. 1 al contrato 017 de 2024 que tiene como objeto “Contratar la prestación del servicio de aseo y cafetería incluido insumos para la UAE Cuerpo Oficial de Bomberos -SGC"/>
    <s v="03 - contrato de prestacion de servicios"/>
    <s v="44121700;44121800;44121900;44122000"/>
    <n v="8"/>
    <n v="4"/>
    <n v="0"/>
    <n v="36000000"/>
    <x v="0"/>
    <s v="17 - acuerdo marco de precios"/>
    <x v="0"/>
    <x v="0"/>
    <x v="0"/>
    <x v="0"/>
    <x v="0"/>
    <s v="N/A"/>
    <s v="N/A-N/A"/>
    <x v="0"/>
    <s v="N/A"/>
    <s v="N/A_N/A"/>
    <s v="N/A-N/A N/A_N/A"/>
    <x v="0"/>
    <x v="0"/>
    <s v="No Aplica"/>
    <s v="No Secop"/>
  </r>
  <r>
    <n v="20241106"/>
    <x v="0"/>
    <x v="0"/>
    <s v="Fatima Veronica Quintero Nuñez"/>
    <s v="Adición y prórroga No. 1 al contrato 017 de 2024 que tiene como objeto “Contratar la prestación del servicio de aseo y cafetería incluido insumos para la UAE Cuerpo Oficial de Bomberos -SGC"/>
    <s v="03 - contrato de prestacion de servicios"/>
    <s v="44121700;44121800;44121900;44122000"/>
    <n v="8"/>
    <n v="4"/>
    <n v="0"/>
    <n v="83951483"/>
    <x v="0"/>
    <s v="17 - acuerdo marco de precios"/>
    <x v="0"/>
    <x v="0"/>
    <x v="0"/>
    <x v="0"/>
    <x v="0"/>
    <s v="N/A"/>
    <s v="N/A-N/A"/>
    <x v="0"/>
    <s v="N/A"/>
    <s v="N/A_N/A"/>
    <s v="N/A-N/A N/A_N/A"/>
    <x v="0"/>
    <x v="0"/>
    <s v="No Aplica"/>
    <s v="No Secop"/>
  </r>
  <r>
    <n v="20241107"/>
    <x v="0"/>
    <x v="0"/>
    <s v="Fatima Veronica Quintero Nuñez"/>
    <s v="Adición y prórroga No. 1 al contrato 026 de 2024 que tiene como objeto “Arrendamiento de instalaciones estación Ferias--SGC"/>
    <s v="07 - contrato de arrendamiento"/>
    <s v="80131502;"/>
    <n v="10"/>
    <n v="1"/>
    <n v="0"/>
    <n v="11470000"/>
    <x v="0"/>
    <s v="09 - contratación directa"/>
    <x v="0"/>
    <x v="0"/>
    <x v="0"/>
    <x v="0"/>
    <x v="0"/>
    <s v="N/A"/>
    <s v="N/A-N/A"/>
    <x v="0"/>
    <s v="N/A"/>
    <s v="N/A_N/A"/>
    <s v="N/A-N/A N/A_N/A"/>
    <x v="0"/>
    <x v="0"/>
    <s v="No Aplica"/>
    <s v="No Secop"/>
  </r>
  <r>
    <n v="20241108"/>
    <x v="0"/>
    <x v="0"/>
    <s v="Fatima Veronica Quintero Nuñez"/>
    <s v="Adición y prórroga No. 1 al contrato 151 de 2024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10"/>
    <n v="3"/>
    <n v="0"/>
    <n v="29886690"/>
    <x v="0"/>
    <s v="09 - contratación directa"/>
    <x v="0"/>
    <x v="0"/>
    <x v="0"/>
    <x v="0"/>
    <x v="0"/>
    <s v="N/A"/>
    <s v="N/A-N/A"/>
    <x v="0"/>
    <s v="N/A"/>
    <s v="N/A_N/A"/>
    <s v="N/A-N/A N/A_N/A"/>
    <x v="0"/>
    <x v="0"/>
    <s v="No Aplica"/>
    <s v="No Secop"/>
  </r>
  <r>
    <n v="20241109"/>
    <x v="0"/>
    <x v="0"/>
    <s v="Fatima Veronica Quintero Nuñez"/>
    <s v="Prestación de servicios profesionales al área Financiera de la Subdirección de Gestión Corporativa--SGC"/>
    <s v="25 - contrato de prestacion de servicios profesionales"/>
    <s v="80111600;"/>
    <n v="8"/>
    <n v="5"/>
    <n v="0"/>
    <n v="20361600"/>
    <x v="0"/>
    <s v="09 - contratación directa"/>
    <x v="0"/>
    <x v="0"/>
    <x v="0"/>
    <x v="0"/>
    <x v="0"/>
    <s v="N/A"/>
    <s v="N/A-N/A"/>
    <x v="0"/>
    <s v="N/A"/>
    <s v="N/A_N/A"/>
    <s v="N/A-N/A N/A_N/A"/>
    <x v="0"/>
    <x v="0"/>
    <s v="No Aplica"/>
    <s v="Si Secop "/>
  </r>
  <r>
    <n v="20241110"/>
    <x v="0"/>
    <x v="0"/>
    <s v="Fatima Veronica Quintero Nuñez"/>
    <s v="Prestación de servicios profesionales al área Financiera de la Subdirección de Gestión Corporativa--SGC"/>
    <s v="25 - contrato de prestacion de servicios profesionales"/>
    <s v="80111600;"/>
    <n v="8"/>
    <n v="5"/>
    <n v="0"/>
    <n v="20361600"/>
    <x v="0"/>
    <s v="09 - contratación directa"/>
    <x v="0"/>
    <x v="0"/>
    <x v="0"/>
    <x v="0"/>
    <x v="0"/>
    <s v="N/A"/>
    <s v="N/A-N/A"/>
    <x v="0"/>
    <s v="N/A"/>
    <s v="N/A_N/A"/>
    <s v="N/A-N/A N/A_N/A"/>
    <x v="0"/>
    <x v="0"/>
    <s v="No Aplica"/>
    <s v="Si Secop "/>
  </r>
  <r>
    <n v="20241111"/>
    <x v="0"/>
    <x v="0"/>
    <s v="Fatima Veronica Quintero Nuñez"/>
    <s v="Prestación de servicios de apoyo a la gestión del área Financiera de la Subdirección de Gestión Corporativa.-SGC"/>
    <s v="26 - contrato de prestacion de servicios de apoyo a la gestion"/>
    <s v="80111600;"/>
    <n v="8"/>
    <n v="5"/>
    <n v="0"/>
    <n v="18947600"/>
    <x v="0"/>
    <s v="09 - contratación directa"/>
    <x v="0"/>
    <x v="0"/>
    <x v="0"/>
    <x v="0"/>
    <x v="0"/>
    <s v="N/A"/>
    <s v="N/A-N/A"/>
    <x v="0"/>
    <s v="N/A"/>
    <s v="N/A_N/A"/>
    <s v="N/A-N/A N/A_N/A"/>
    <x v="0"/>
    <x v="0"/>
    <s v="No Aplica"/>
    <s v="Si Secop "/>
  </r>
  <r>
    <n v="20241112"/>
    <x v="0"/>
    <x v="0"/>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8"/>
    <n v="5"/>
    <n v="0"/>
    <n v="25200005"/>
    <x v="0"/>
    <s v="09 - contratación directa"/>
    <x v="0"/>
    <x v="0"/>
    <x v="0"/>
    <x v="0"/>
    <x v="0"/>
    <s v="N/A"/>
    <s v="N/A-N/A"/>
    <x v="0"/>
    <s v="N/A"/>
    <s v="N/A_N/A"/>
    <s v="N/A-N/A N/A_N/A"/>
    <x v="0"/>
    <x v="0"/>
    <s v="No Aplica"/>
    <s v="Si Secop "/>
  </r>
  <r>
    <n v="20241114"/>
    <x v="0"/>
    <x v="0"/>
    <s v="Fatima Veronica Quintero Nuñez"/>
    <s v="Adición y prórroga No. 1 al contrato 345 de 2024 que tiene como objeto “ Contratar el servicio de saneamiento ambiental, corte de césped, jardinería, poda y tala de árboles para las sedes (predios y/o estaciones) de la UAECOB-SGC"/>
    <s v="03 - contrato de prestacion de servicios"/>
    <s v="70111500;"/>
    <n v="10"/>
    <n v="2"/>
    <n v="0"/>
    <n v="43760623"/>
    <x v="0"/>
    <s v="02 - selec. abrev. menor cuantía"/>
    <x v="0"/>
    <x v="0"/>
    <x v="0"/>
    <x v="0"/>
    <x v="0"/>
    <s v="N/A"/>
    <s v="N/A-N/A"/>
    <x v="0"/>
    <s v="N/A"/>
    <s v="N/A_N/A"/>
    <s v="N/A-N/A N/A_N/A"/>
    <x v="0"/>
    <x v="0"/>
    <s v="No Aplica"/>
    <s v="No Secop"/>
  </r>
  <r>
    <n v="20241115"/>
    <x v="1"/>
    <x v="1"/>
    <s v="Omer Mauricio Rivera Ruiz"/>
    <s v="Prestación de servicios profesionales técnicos, administrativos y operativos en la gestión de mantenimientos a cargo de la subdirección logística. SBGL"/>
    <s v="25 - contrato de prestacion de servicios profesionales"/>
    <n v="80111600"/>
    <n v="8"/>
    <n v="3"/>
    <n v="0"/>
    <n v="1266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s v="O232020200883990 Otros servicios profesionales, técnicos y empresariales n.c.p."/>
    <s v="Si Secop "/>
  </r>
  <r>
    <n v="20241116"/>
    <x v="2"/>
    <x v="2"/>
    <s v="Paula Ximena Henao Escobar"/>
    <s v="Contratar el servicio de soporte del sistema misional FUOCO para la U.A.E. Cuerpo Oficial de Bomberos de Bogotá de acuerdo a lo contemplado en el anexo técnico.-TIC-"/>
    <s v="24 - contrato de servicio"/>
    <s v="81112200;81112201"/>
    <n v="11"/>
    <n v="6"/>
    <n v="0"/>
    <n v="6095399"/>
    <x v="0"/>
    <s v="04 - contratación mínima cuantía"/>
    <x v="17"/>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132 Servicios de soporte en tecnologías de la información (TI)"/>
    <s v="Si Secop "/>
  </r>
  <r>
    <n v="20241119"/>
    <x v="2"/>
    <x v="1"/>
    <s v="Omer Mauricio Rivera Ruiz"/>
    <s v="Prestación de servicios profesionales, para apoyar la política de Compras y Contratación Pública del Modelo Integrado de Planeación y Gestión, en la elaboración, tramite e impulso de los procesos de contratación en sus diferentes etapas a cargo de la Subdirección Logística - SBLG."/>
    <s v="25 - contrato de prestacion de servicios profesionales"/>
    <n v="80111600"/>
    <n v="8"/>
    <n v="4"/>
    <n v="0"/>
    <n v="24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s v="O232020200883990 Otros servicios profesionales, técnicos y empresariales n.c.p."/>
    <s v="Si Secop "/>
  </r>
  <r>
    <n v="20241121"/>
    <x v="2"/>
    <x v="2"/>
    <s v="Paula Ximena Henao Escobar"/>
    <s v="Adición y prórroga al contrato 350 del 2024 cuyo objeto es la &quot;Contratar el servicio de soporte y mantenimiento del sistema de gestión documental  para la U.A.E. Cuerpo Oficial de Bomberos de Bogotá- TIC&quot;"/>
    <s v="13 - orden de servicio"/>
    <s v="43233000;81112200"/>
    <n v="11"/>
    <n v="3"/>
    <n v="15"/>
    <n v="50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132 Servicios de soporte en tecnologías de la información (TI)"/>
    <s v="No Secop"/>
  </r>
  <r>
    <n v="20241124"/>
    <x v="2"/>
    <x v="1"/>
    <s v="Omer Mauricio Rivera Ruiz"/>
    <s v="Prestar los servicios profesionales para apoyar la política de Planeación institucional del Modelo Integrado de Planeación y Gestión, para la implementación, sostenibilidad y seguimiento al programa de seguridad vial PESV, así como a los demás programas que se requieran y estén a cargo de la Subdirección Logística - SBLG."/>
    <s v="25 - contrato de prestacion de servicios profesionales"/>
    <n v="80111600"/>
    <n v="8"/>
    <n v="3"/>
    <n v="0"/>
    <n v="165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s v="O232020200883990 Otros servicios profesionales, técnicos y empresariales n.c.p."/>
    <s v="Si Secop "/>
  </r>
  <r>
    <n v="20241125"/>
    <x v="2"/>
    <x v="2"/>
    <s v="Paula Ximena Henao Escobar"/>
    <s v="Contratar el servicio de mantenimiento para el sistema de atención de turnos de la U.A.E. Cuerpo Oficial de Bomberos de Bogotá - TIC"/>
    <s v="27 - contrato de prestacion de servicios de mantenimiento"/>
    <s v="32131023;39121011;43232300"/>
    <n v="7"/>
    <n v="12"/>
    <n v="0"/>
    <n v="5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132 Servicios de soporte en tecnologías de la información (TI)"/>
    <s v="Si Secop "/>
  </r>
  <r>
    <n v="20241126"/>
    <x v="2"/>
    <x v="2"/>
    <s v="Paula Ximena Henao Escobar"/>
    <s v="Adición y prórroga al contrato 505 del 2023 cuyo objeto es la &quot;Contratar el servicio de mantenimiento preventivo y correctivo de los radios portátiles y móviles marca motorola propiedad de la U.A.E. Cuerpo Oficial de Bomberos de Bogotá - TIC&quot;"/>
    <s v="10 - licitacion publica"/>
    <s v="72151607;72103302"/>
    <n v="9"/>
    <n v="5"/>
    <n v="0"/>
    <n v="71001317"/>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132 Servicios de soporte en tecnologías de la información (TI)"/>
    <s v="No Secop"/>
  </r>
  <r>
    <n v="20241129"/>
    <x v="2"/>
    <x v="2"/>
    <s v="Paula Ximena Henao Escobar"/>
    <s v="Contratar el servicio de actualización y soporte de licenciamiento ArcGis para la U.A.E. Cuerpo Oficial de Bomberos de Bogotá.- TIC"/>
    <s v="19 - contrato de renovacion de licencias"/>
    <n v="81112217"/>
    <n v="10"/>
    <n v="12"/>
    <n v="0"/>
    <n v="318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132 Servicios de soporte en tecnologías de la información (TI)"/>
    <s v="Si Secop "/>
  </r>
  <r>
    <n v="20241130"/>
    <x v="2"/>
    <x v="2"/>
    <s v="Paula Ximena Henao Escobar"/>
    <s v="Contratar la adquisición de equipo satelital y la prestación del servicio de Intenet satelital para la U.A.E. Cuerpo Oficial de Bomberos de Bogotá - TIC"/>
    <s v="03 - contrato de prestacion de servicios"/>
    <s v="83121700;83111600;43221700"/>
    <n v="8"/>
    <n v="7"/>
    <n v="0"/>
    <n v="1544444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132 Servicios de soporte en tecnologías de la información (TI)"/>
    <s v="Si Secop "/>
  </r>
  <r>
    <n v="20241132"/>
    <x v="2"/>
    <x v="2"/>
    <s v="Paula Ximena Henao Escobar"/>
    <s v="Prestar servicios profesionales para coordinar, controlar y ejercer seguimiento a las actividades de tecnología de Información y Comunicaciones de la UAE Cuerpo Oficial de bomberos de Bogotá.-TIC"/>
    <s v="25 - contrato de prestacion de servicios profesionales"/>
    <n v="80111600"/>
    <n v="9"/>
    <n v="4"/>
    <n v="20"/>
    <n v="42000000"/>
    <x v="0"/>
    <s v="09 - contratación directa"/>
    <x v="17"/>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133"/>
    <x v="2"/>
    <x v="2"/>
    <s v="Paula Ximena Henao Escobar"/>
    <s v="Prestar servicios profesionales en la planificación, administración y gestión de los proyectos TIC  de la UAE Cuerpo Oficial de Bomberos Bogotá, que fortalezcan la  ejecución y cumplimiento a los procesos de tecnología"/>
    <s v="25 - contrato de prestacion de servicios profesionales"/>
    <n v="80111600"/>
    <n v="8"/>
    <n v="5"/>
    <n v="0"/>
    <n v="37500000"/>
    <x v="0"/>
    <s v="09 - contratación directa"/>
    <x v="17"/>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134"/>
    <x v="2"/>
    <x v="2"/>
    <s v="Paula Ximena Henao Escobar"/>
    <s v="Prestar los servicios profesionales para apoyar  a la Dirección en la gestión juridica y contractual  relacionada con los proyectos y funciones TIC"/>
    <s v="25 - contrato de prestacion de servicios profesionales"/>
    <n v="80111600"/>
    <n v="8"/>
    <n v="5"/>
    <n v="0"/>
    <n v="35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135"/>
    <x v="2"/>
    <x v="2"/>
    <s v="Paula Ximena Henao Escobar"/>
    <s v="Prestar servicios profesionales para administrar, gestionar y mantener las bases de datos de la UAE Cuerpo Oficial de Bomberos Bogotá. -TIC"/>
    <s v="25 - contrato de prestacion de servicios profesionales"/>
    <n v="80111600"/>
    <n v="8"/>
    <n v="5"/>
    <n v="0"/>
    <n v="36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136"/>
    <x v="2"/>
    <x v="2"/>
    <s v="Paula Ximena Henao Escobar"/>
    <s v="Prestar servicios profesionales  como administrador y gestor de la infraestructura de las comunicaciones y red regulada  de la UAE Cuerpo Oficial de Bomberos Bogotá-TIC"/>
    <s v="25 - contrato de prestacion de servicios profesionales"/>
    <n v="80111600"/>
    <n v="8"/>
    <n v="5"/>
    <n v="0"/>
    <n v="40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137"/>
    <x v="2"/>
    <x v="2"/>
    <s v="Paula Ximena Henao Escobar"/>
    <s v="Prestar  servicios  profesionales  para administrar y gestionar la  seguridad  y privacidad de la información dentro de la infraestructura tecnológica y de comunicaciones  utilizada por UAE Cuerpo Oficial de Bomberos de Bogotá - TIC"/>
    <s v="25 - contrato de prestacion de servicios profesionales"/>
    <n v="80111600"/>
    <n v="8"/>
    <n v="4"/>
    <n v="20"/>
    <n v="20066667"/>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138"/>
    <x v="2"/>
    <x v="2"/>
    <s v="Paula Ximena Henao Escobar"/>
    <s v="Prestar servicios profesionales para la administración y gestión de la infraestructura tecnológica de servidores, servicios de nube y componentes relacionados con los que cuenta la UAE Cuerpo Oficial de Bomberos de Bogotá - TIC"/>
    <s v="25 - contrato de prestacion de servicios profesionales"/>
    <n v="80111600"/>
    <n v="8"/>
    <n v="4"/>
    <n v="20"/>
    <n v="336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139"/>
    <x v="2"/>
    <x v="2"/>
    <s v="Paula Ximena Henao Escobar"/>
    <s v="Prestar Servicios Profesionales para administrar y gestionar los sistemas de información y aplicativos con los que cuenta la UAE Cuerpo Oficial de Bomberos Bogotá. -TIC"/>
    <s v="25 - contrato de prestacion de servicios profesionales"/>
    <n v="80111600"/>
    <n v="8"/>
    <n v="5"/>
    <n v="0"/>
    <n v="36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140"/>
    <x v="2"/>
    <x v="2"/>
    <s v="Paula Ximena Henao Escobar"/>
    <s v="Prestar servicios profesionales para apoyar la implementación y control del sistema de Gestión de Seguridad de la Información - SGSI y Gobierno Digital, así como el seguimiento a los planes institucionales asociados a TIC y construcción de procedimientos."/>
    <s v="25 - contrato de prestacion de servicios profesionales"/>
    <n v="80111600"/>
    <n v="8"/>
    <n v="5"/>
    <n v="0"/>
    <n v="38400000"/>
    <x v="0"/>
    <s v="09 - contratación directa"/>
    <x v="18"/>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141"/>
    <x v="2"/>
    <x v="2"/>
    <s v="Paula Ximena Henao Escobar"/>
    <s v="Prestar los servicios profesionales jurídicos para apoyar las actividades propias de la gestión contractual que adelanta la UAE Cuerpo Oficial de Bomberos"/>
    <s v="25 - contrato de prestacion de servicios profesionales"/>
    <n v="80111600"/>
    <n v="9"/>
    <n v="4"/>
    <n v="20"/>
    <n v="315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142"/>
    <x v="2"/>
    <x v="2"/>
    <s v="Paula Ximena Henao Escobar"/>
    <s v="Prestar los servicios profesionales administrativos y financieros en la gestión contractual relacionados con los proyectos y funciones TIC"/>
    <s v="25 - contrato de prestacion de servicios profesionales"/>
    <n v="80111600"/>
    <n v="8"/>
    <n v="5"/>
    <n v="0"/>
    <n v="36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143"/>
    <x v="2"/>
    <x v="2"/>
    <s v="Paula Ximena Henao Escobar"/>
    <s v="Prestar servicios profesionales en la administración, actualización, desarrollo y mantenimiento del Sistema Integrado de Administración de Personal - SIAP. -TIC"/>
    <s v="25 - contrato de prestacion de servicios profesionales"/>
    <n v="80111600"/>
    <n v="8"/>
    <n v="5"/>
    <n v="0"/>
    <n v="34233333"/>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144"/>
    <x v="2"/>
    <x v="2"/>
    <s v="Paula Ximena Henao Escobar"/>
    <s v="Prestar servicios profesionales para administrar y gestionar los sitios web institucionales (internet e intranet) de la UAE Cuerpo Oficial de Bomberos de Bogotá -TIC"/>
    <s v="25 - contrato de prestacion de servicios profesionales"/>
    <n v="80111600"/>
    <n v="8"/>
    <n v="5"/>
    <n v="0"/>
    <n v="30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145"/>
    <x v="2"/>
    <x v="2"/>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9"/>
    <n v="4"/>
    <n v="0"/>
    <n v="24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146"/>
    <x v="2"/>
    <x v="2"/>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8"/>
    <n v="5"/>
    <n v="0"/>
    <n v="30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147"/>
    <x v="2"/>
    <x v="2"/>
    <s v="Paula Ximena Henao Escobar"/>
    <s v="Prestar servicios de apoyo a la gestión en la Dirección, para la creación de productos audiovisuales y generación de contenidos digitales en la entidad - TIC"/>
    <s v="26 - contrato de prestacion de servicios de apoyo a la gestion"/>
    <n v="80111600"/>
    <n v="10"/>
    <n v="3"/>
    <n v="15"/>
    <n v="111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148"/>
    <x v="2"/>
    <x v="2"/>
    <s v="Paula Ximena Henao Escobar"/>
    <s v="Prestar servicios asistenciales y de apoyo a la gestión para el desarrollo de actividades administrativas y procesos de gestión documental TIC"/>
    <s v="26 - contrato de prestacion de servicios de apoyo a la gestion"/>
    <n v="80111600"/>
    <n v="11"/>
    <n v="3"/>
    <n v="0"/>
    <n v="12800000"/>
    <x v="0"/>
    <s v="09 - contratación directa"/>
    <x v="18"/>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149"/>
    <x v="2"/>
    <x v="2"/>
    <s v="Paula Ximena Henao Escobar"/>
    <s v="Contratar la prestación de servicios de apoyo a la gestión para adelantar actividades administrativas y técnicas en el soporte técnico nivel (1) para los serivicios tecnológicos  del Edificio Comando de la U.A.E. Cuerpo Oficial de bomberos de Bogotá - TIC"/>
    <s v="26 - contrato de prestacion de servicios de apoyo a la gestion"/>
    <n v="80111600"/>
    <n v="9"/>
    <n v="4"/>
    <n v="0"/>
    <n v="15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150"/>
    <x v="2"/>
    <x v="2"/>
    <s v="Paula Ximena Henao Escobar"/>
    <s v="Contratar la prestación de servicios profesionales de apoyo a la gestión para adelantar actividades administrativas y técnicas en el soporte de la mesa de ayuda y serivicios tecnológicos  del Edificio Comando, Estaciones y  Supercades de la U.A.E. Cuerpo Oficial de bomberos de Bogotá - TIC"/>
    <s v="26 - contrato de prestacion de servicios de apoyo a la gestion"/>
    <n v="80111600"/>
    <n v="8"/>
    <n v="4"/>
    <n v="0"/>
    <n v="168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151"/>
    <x v="2"/>
    <x v="2"/>
    <s v="Paula Ximena Henao Escobar"/>
    <s v="Prestar servicios profesionales en la gestión y soporte de las herramientas tecnológicas desarrolladas para el funcionamiento de las áreas de la entidad - TIC."/>
    <s v="25 - contrato de prestacion de servicios profesionales"/>
    <n v="80111600"/>
    <n v="8"/>
    <n v="5"/>
    <n v="0"/>
    <n v="412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152"/>
    <x v="2"/>
    <x v="2"/>
    <s v="Paula Ximena Henao Escobar"/>
    <s v="Prestar servicios de apoyo a la gestión para el levantamiento de requerimientos, diseño, documentación,  soporte de análisis de datos y publicación de información"/>
    <s v="26 - contrato de prestacion de servicios de apoyo a la gestion"/>
    <n v="80111600"/>
    <n v="8"/>
    <n v="5"/>
    <n v="0"/>
    <n v="144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153"/>
    <x v="2"/>
    <x v="2"/>
    <s v="Paula Ximena Henao Escobar"/>
    <s v="Prestar los servicios profesionales para de oficial de seguridad de la infraestructura tecnologica  de la UAE Cuerpo Oficial de Bomberos - TIC"/>
    <s v="25 - contrato de prestacion de servicios profesionales"/>
    <n v="80111600"/>
    <n v="9"/>
    <n v="4"/>
    <n v="20"/>
    <n v="24800000"/>
    <x v="0"/>
    <s v="09 - contratación directa"/>
    <x v="17"/>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159"/>
    <x v="0"/>
    <x v="2"/>
    <s v="Paula Ximena Henao Escobar"/>
    <s v="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
    <s v="27 - contrato de prestacion de servicios de mantenimiento"/>
    <s v="81111811;72151600; 43223300;_x000a_39131700"/>
    <n v="8"/>
    <n v="7"/>
    <n v="0"/>
    <n v="258166508"/>
    <x v="0"/>
    <s v="03 - selec. abrev. subasta inversa"/>
    <x v="0"/>
    <x v="0"/>
    <x v="0"/>
    <x v="0"/>
    <x v="0"/>
    <s v="N/A"/>
    <s v="N/A-N/A"/>
    <x v="0"/>
    <s v="N/A"/>
    <s v="N/A_N/A"/>
    <s v="N/A-N/A N/A_N/A"/>
    <x v="0"/>
    <x v="0"/>
    <s v="O21202020080787130 Servicios de mantenimiento y reparación de computa"/>
    <s v="Si Secop "/>
  </r>
  <r>
    <n v="20241160"/>
    <x v="0"/>
    <x v="2"/>
    <s v="Paula Ximena Henao Escobar"/>
    <s v="Contratar los servicios de canales de datos dedicados para la UAE Cuerpo Oficial de Bomberos de Bogotá-TIC"/>
    <s v="24 - contrato de servicio"/>
    <n v="81112100"/>
    <n v="10"/>
    <n v="5"/>
    <n v="0"/>
    <n v="127493250"/>
    <x v="0"/>
    <s v="09 - contratación directa"/>
    <x v="0"/>
    <x v="0"/>
    <x v="0"/>
    <x v="0"/>
    <x v="0"/>
    <s v="N/A"/>
    <s v="N/A-N/A"/>
    <x v="0"/>
    <s v="N/A"/>
    <s v="N/A_N/A"/>
    <s v="N/A-N/A N/A_N/A"/>
    <x v="0"/>
    <x v="0"/>
    <s v="O21202020080484290 Otros servicios de telecomunicaciones vía Internet"/>
    <s v="Si Secop "/>
  </r>
  <r>
    <n v="20241161"/>
    <x v="0"/>
    <x v="2"/>
    <s v="Paula Ximena Henao Escobar"/>
    <s v="Adición y prórroga al contrato 646 del 2023 cuyo objeto es la &quot;Contratar el soporte y mantenimiento preventivo y correctivo con repuestos para los sistemas de video vigilancia de las estaciones y Edificio Comando de la U.A.E. Cuerpo Oficial de Bomberos de Bogotá - TIC&quot;"/>
    <s v="24 - contrato de servicio"/>
    <n v="43233200"/>
    <n v="12"/>
    <n v="3"/>
    <n v="0"/>
    <n v="60006750"/>
    <x v="0"/>
    <s v="04 - contratación mínima cuantía"/>
    <x v="0"/>
    <x v="0"/>
    <x v="0"/>
    <x v="0"/>
    <x v="0"/>
    <s v="N/A"/>
    <s v="N/A-N/A"/>
    <x v="0"/>
    <s v="N/A"/>
    <s v="N/A_N/A"/>
    <s v="N/A-N/A N/A_N/A"/>
    <x v="0"/>
    <x v="0"/>
    <s v="O21202020080787130 Servicios de mantenimiento y reparación de computa"/>
    <s v="No Secop"/>
  </r>
  <r>
    <n v="20241162"/>
    <x v="0"/>
    <x v="2"/>
    <s v="Paula Ximena Henao Escobar"/>
    <s v="Contratar  la suscripción de licencias Suite Adobe para la UAE Cuerpo Oficial de Bomberos de Bogotá-TIC"/>
    <s v="19 - contrato de renovacion de licencias"/>
    <s v="81112501;43232102;43232103;43231512"/>
    <n v="9"/>
    <n v="1"/>
    <n v="0"/>
    <n v="33500000"/>
    <x v="0"/>
    <s v="17 - acuerdo marco de precios"/>
    <x v="0"/>
    <x v="0"/>
    <x v="0"/>
    <x v="0"/>
    <x v="0"/>
    <s v="N/A"/>
    <s v="N/A-N/A"/>
    <x v="0"/>
    <s v="N/A"/>
    <s v="N/A_N/A"/>
    <s v="N/A-N/A N/A_N/A"/>
    <x v="0"/>
    <x v="0"/>
    <s v="O21202020080383141 Servicios de diseño y desarrollo de aplicaciones en tecnologías de la información (TI)"/>
    <s v="Si Secop "/>
  </r>
  <r>
    <n v="20241163"/>
    <x v="0"/>
    <x v="2"/>
    <s v="Paula Ximena Henao Escobar"/>
    <s v="Contratar la renovación de la membresía LACNIC para mantener la disponibilidad del bloque de direcciones IPV6 adquirido por la U.A.E. Cuerpo Oficial de Bomberos de Bogotá"/>
    <s v="28 - contrato de ciencia y tecnologia"/>
    <s v="81112100;81111500"/>
    <n v="12"/>
    <n v="12"/>
    <n v="0"/>
    <n v="6400000"/>
    <x v="0"/>
    <s v="04 - contratación mínima cuantía"/>
    <x v="0"/>
    <x v="0"/>
    <x v="0"/>
    <x v="0"/>
    <x v="0"/>
    <s v="N/A"/>
    <s v="N/A-N/A"/>
    <x v="0"/>
    <s v="N/A"/>
    <s v="N/A_N/A"/>
    <s v="N/A-N/A N/A_N/A"/>
    <x v="0"/>
    <x v="0"/>
    <s v="O21202020080484290 Otros servicios de telecomunicaciones vía Internet"/>
    <s v="Si Secop "/>
  </r>
  <r>
    <n v="20241164"/>
    <x v="0"/>
    <x v="4"/>
    <s v="Mauricio Ayala Vasquez"/>
    <s v="Uniformes de trabajo"/>
    <s v="06 - contrato de compraventa"/>
    <n v="53102710"/>
    <n v="8"/>
    <n v="3"/>
    <n v="0"/>
    <n v="250000000"/>
    <x v="0"/>
    <s v="03 - selec. abrev. subasta inversa"/>
    <x v="0"/>
    <x v="0"/>
    <x v="0"/>
    <x v="0"/>
    <x v="0"/>
    <s v="N/A"/>
    <s v="N/A-N/A"/>
    <x v="0"/>
    <s v="N/A"/>
    <s v="N/A_N/A"/>
    <s v="N/A-N/A N/A_N/A"/>
    <x v="0"/>
    <x v="0"/>
    <s v="No Aplica"/>
    <s v="Si Secop "/>
  </r>
  <r>
    <n v="20241165"/>
    <x v="0"/>
    <x v="11"/>
    <s v="José Andres Ponce Caicedo"/>
    <s v="Realizar los exámenes Médicos Ocupacionales para el personal de la UAECOB"/>
    <s v="03 - contrato de prestacion de servicios"/>
    <s v="85121503;85121603;85121604;85121608;85121610;85121611;85121612;85121702;85122201"/>
    <n v="7"/>
    <n v="7"/>
    <n v="0"/>
    <n v="100000000"/>
    <x v="0"/>
    <s v="02 - selec. abrev. menor cuantía"/>
    <x v="0"/>
    <x v="0"/>
    <x v="0"/>
    <x v="0"/>
    <x v="0"/>
    <s v="N/A"/>
    <s v="N/A-N/A"/>
    <x v="0"/>
    <s v="N/A"/>
    <s v="N/A_N/A"/>
    <s v="N/A-N/A N/A_N/A"/>
    <x v="0"/>
    <x v="0"/>
    <s v="O232020200883990 Otros servicios profesionales, técnicos y empresariales n.c.p."/>
    <s v="Si Secop "/>
  </r>
  <r>
    <n v="20241166"/>
    <x v="0"/>
    <x v="11"/>
    <s v="José Andres Ponce Caicedo"/>
    <s v="Adquirir elementos de protección personal para prevenir la aparición de enfermedades ocupacionales en el oido en el personal de la UAE cuerpo oficial de bomberos."/>
    <s v="03 - contrato de prestacion de servicios"/>
    <s v="46181900;46181901"/>
    <n v="11"/>
    <n v="4"/>
    <n v="0"/>
    <n v="70000000"/>
    <x v="0"/>
    <s v="02 - selec. abrev. menor cuantía"/>
    <x v="0"/>
    <x v="0"/>
    <x v="0"/>
    <x v="0"/>
    <x v="0"/>
    <s v="N/A"/>
    <s v="N/A-N/A"/>
    <x v="0"/>
    <s v="N/A"/>
    <s v="N/A_N/A"/>
    <s v="N/A-N/A N/A_N/A"/>
    <x v="0"/>
    <x v="0"/>
    <s v="O232020200883990 Otros servicios profesionales, técnicos y empresariales n.c.p."/>
    <s v="Si Secop "/>
  </r>
  <r>
    <n v="20241167"/>
    <x v="0"/>
    <x v="11"/>
    <s v="José Andres Ponce Caicedo"/>
    <s v="Incentivos "/>
    <s v="03 - contrato de prestacion de servicios"/>
    <s v="N/A"/>
    <n v="9"/>
    <n v="0"/>
    <n v="0"/>
    <n v="170000000"/>
    <x v="0"/>
    <s v="91 - n/a acto administrativo (resolución, decreto, acuerdo, etc.)"/>
    <x v="0"/>
    <x v="0"/>
    <x v="0"/>
    <x v="0"/>
    <x v="0"/>
    <s v="N/A"/>
    <s v="N/A-N/A"/>
    <x v="0"/>
    <s v="N/A"/>
    <s v="N/A_N/A"/>
    <s v="N/A-N/A N/A_N/A"/>
    <x v="0"/>
    <x v="0"/>
    <s v="No Aplica"/>
    <s v="Si Secop "/>
  </r>
  <r>
    <n v="20241168"/>
    <x v="0"/>
    <x v="11"/>
    <s v="José Andres Ponce Caicedo"/>
    <s v="SGH - Realizar la capacitación y certificación de los funcionarios de la Unidad Administrativa Especial Cuerpo Oficial de Bomberos de Bogotá en el manejo de analizadores de alcohol en aire espirado (alcohosensores)."/>
    <s v="03 - contrato de prestacion de servicios"/>
    <n v="80101700"/>
    <n v="11"/>
    <n v="2"/>
    <n v="0"/>
    <n v="50000000"/>
    <x v="0"/>
    <s v="04 - contratación mínima cuantía"/>
    <x v="0"/>
    <x v="0"/>
    <x v="0"/>
    <x v="0"/>
    <x v="0"/>
    <s v="N/A"/>
    <s v="N/A-N/A"/>
    <x v="0"/>
    <s v="N/A"/>
    <s v="N/A_N/A"/>
    <s v="N/A-N/A N/A_N/A"/>
    <x v="0"/>
    <x v="0"/>
    <s v="O232020200883990 Otros servicios profesionales, técnicos y empresariales n.c.p."/>
    <s v="Si Secop "/>
  </r>
  <r>
    <n v="20241169"/>
    <x v="2"/>
    <x v="1"/>
    <s v="Omer Mauricio Rivera Ruiz"/>
    <s v="Prestar servicios de apoyo en la gestión documental, física y digital, administrando y diligenciando las bases de datos, y demás documentos a cargo de la Subdirección logística. -SBLG, en el marco del modelo integrado de planeación y gestión."/>
    <s v="26 - contrato de prestacion de servicios de apoyo a la gestion"/>
    <n v="80111600"/>
    <n v="8"/>
    <n v="4"/>
    <n v="0"/>
    <n v="12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s v="O232020200883990 Otros servicios profesionales, técnicos y empresariales n.c.p."/>
    <s v="Si Secop "/>
  </r>
  <r>
    <n v="20241170"/>
    <x v="2"/>
    <x v="1"/>
    <s v="Omer Mauricio Rivera Ruiz"/>
    <s v="Prestar los servicios profesionales para la gestión, financiera de los   proyectos y procesos de la Subdirección - SBLG, en el marco del modelo integrado de planeación y gestión."/>
    <s v="25 - contrato de prestacion de servicios profesionales"/>
    <n v="80111600"/>
    <n v="8"/>
    <n v="4"/>
    <n v="0"/>
    <n v="24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s v="O232020200883990 Otros servicios profesionales, técnicos y empresariales n.c.p."/>
    <s v="Si Secop "/>
  </r>
  <r>
    <n v="20241171"/>
    <x v="2"/>
    <x v="1"/>
    <s v="Omer Mauricio Rivera Ruiz"/>
    <s v="Prestar servicios de apoyo a la gestión para la organización, clasificación, foliación, digitalización e indexación de documentos de la Subdirección Logística - SBLG, en el marco del modelo integrado de planeación y gestión."/>
    <s v="26 - contrato de prestacion de servicios de apoyo a la gestion"/>
    <n v="80111600"/>
    <n v="8"/>
    <n v="3"/>
    <n v="0"/>
    <n v="934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s v="O232020200883990 Otros servicios profesionales, técnicos y empresariales n.c.p."/>
    <s v="Si Secop "/>
  </r>
  <r>
    <n v="20241172"/>
    <x v="2"/>
    <x v="1"/>
    <s v="Omer Mauricio Rivera Ruiz"/>
    <s v="Prestar servicios profesionales para realizar seguimiento y control de los diferentes procesos administrativos a cargo de la Subdirección Logística - SBLG, en el marco del modelo integrado de planeación y gestión."/>
    <s v="25 - contrato de prestacion de servicios profesionales"/>
    <n v="80111600"/>
    <n v="8"/>
    <n v="5"/>
    <n v="0"/>
    <n v="309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s v="O232020200883990 Otros servicios profesionales, técnicos y empresariales n.c.p."/>
    <s v="Si Secop "/>
  </r>
  <r>
    <n v="20241173"/>
    <x v="2"/>
    <x v="1"/>
    <s v="Omer Mauricio Rivera Ruiz"/>
    <s v="Prestar servicios profesionales, en apoyo a la política de Compras y Contratación Pública del Modelo Integrado de Planeación y Gestión, para la gestión de los aspectos jurídicos de la Subdirección Logística -SBLG."/>
    <s v="25 - contrato de prestacion de servicios profesionales"/>
    <n v="80111600"/>
    <n v="8"/>
    <n v="2"/>
    <n v="0"/>
    <n v="8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s v="O232020200883990 Otros servicios profesionales, técnicos y empresariales n.c.p."/>
    <s v="Si Secop "/>
  </r>
  <r>
    <n v="20241174"/>
    <x v="2"/>
    <x v="1"/>
    <s v="Omer Mauricio Rivera Ruiz"/>
    <s v="Prestar servicios profesionales para el seguimiento y gestión de las actividades establecidas en los planes de acción y estratégicos; así como, de los procedimientos administrativos y financieros propios de Subdirección Logística - SBLG, en el marco del modelo integrado de planeación y gestión."/>
    <s v="25 - contrato de prestacion de servicios profesionales"/>
    <n v="80111600"/>
    <n v="8"/>
    <n v="4"/>
    <n v="0"/>
    <n v="30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s v="O232020200883990 Otros servicios profesionales, técnicos y empresariales n.c.p."/>
    <s v="Si Secop "/>
  </r>
  <r>
    <n v="20241175"/>
    <x v="2"/>
    <x v="1"/>
    <s v="Omer Mauricio Rivera Ruiz"/>
    <s v="Prestación de servicios de apoyo a la gestión administrativa, en el marco del MIPG, en especial a lo concerniente al parque automotor a cargo de la Subdirección Logística - SBLG."/>
    <s v="26 - contrato de prestacion de servicios de apoyo a la gestion"/>
    <n v="80111600"/>
    <n v="8"/>
    <n v="2"/>
    <n v="0"/>
    <n v="726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s v="O232020200883990 Otros servicios profesionales, técnicos y empresariales n.c.p."/>
    <s v="Si Secop "/>
  </r>
  <r>
    <n v="20241176"/>
    <x v="1"/>
    <x v="1"/>
    <s v="Omer Mauricio Rivera Ruiz"/>
    <s v="Adición y prórroga del Contrato 581/23 cuyo objeto es &quot;Suministro de concentrado de espuma y extintores y el mantenimiento, recarga de extintores, cilindros y tanques de las maquinas extintoras&quot;"/>
    <s v="08 - contrato de suministro"/>
    <n v="72101509"/>
    <n v="7"/>
    <n v="4"/>
    <n v="15"/>
    <n v="22500000"/>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1010030208 Otra maquinaria para usos especiales y sus partes y piezas"/>
    <s v="Si Secop "/>
  </r>
  <r>
    <n v="20241177"/>
    <x v="2"/>
    <x v="11"/>
    <s v="José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8"/>
    <n v="4"/>
    <n v="15"/>
    <n v="3150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s v="O232020200883990 Otros servicios profesionales, técnicos y empresariales n.c.p."/>
    <s v="Si Secop "/>
  </r>
  <r>
    <n v="20241178"/>
    <x v="2"/>
    <x v="11"/>
    <s v="José Andres Ponce Caicedo"/>
    <s v="SGH - Prestar servicios profesionales en la Subdirección de Gestión Humana en los diferentes procesos y procedimientos propios del área de nómina de la Unidad Administrativa del Cuerpo oficial de Bomberos."/>
    <s v="25 - contrato de prestacion de servicios profesionales"/>
    <n v="80111600"/>
    <n v="8"/>
    <n v="4"/>
    <n v="15"/>
    <n v="3375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s v="O232020200883990 Otros servicios profesionales, técnicos y empresariales n.c.p."/>
    <s v="Si Secop "/>
  </r>
  <r>
    <n v="20241179"/>
    <x v="2"/>
    <x v="11"/>
    <s v="José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8"/>
    <n v="4"/>
    <n v="3"/>
    <n v="3475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s v="O232020200883990 Otros servicios profesionales, técnicos y empresariales n.c.p."/>
    <s v="Si Secop "/>
  </r>
  <r>
    <n v="20241180"/>
    <x v="2"/>
    <x v="0"/>
    <s v="Fatima Veronica Quintero Nuñez"/>
    <s v="Prestación de servicios de apoyo a la gestión del proceso de inventarios de la Subdirección de Gestión Corporativa.-SGC"/>
    <s v="26 - contrato de prestacion de servicios de apoyo a la gestion"/>
    <n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181"/>
    <x v="2"/>
    <x v="0"/>
    <s v="Fatima Veronica Quintero Nuñez"/>
    <s v="Prestación de servicios de apoyo a la gestión del proceso de inventarios de la Subdirección de Gestión Corporativa.-SGC"/>
    <s v="26 - contrato de prestacion de servicios de apoyo a la gestion"/>
    <n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182"/>
    <x v="2"/>
    <x v="0"/>
    <s v="Fatima Veronica Quintero Nuñez"/>
    <s v="Prestación de servicios de apoyo a la gestión del proceso de inventarios de la Subdirección de Gestión Corporativa.-SGC"/>
    <s v="26 - contrato de prestacion de servicios de apoyo a la gestion"/>
    <n v="80111600"/>
    <n v="8"/>
    <n v="3"/>
    <n v="0"/>
    <n v="831432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183"/>
    <x v="2"/>
    <x v="0"/>
    <s v="Fatima Veronica Quintero Nuñez"/>
    <s v="Prestar servicios profesionales en la Subdirección de Gestión Corporativa en lo relacionado con los procesos de inventarios, almacén y bajas-SGC"/>
    <s v="25 - contrato de prestacion de servicios profesionales"/>
    <n v="80111600"/>
    <n v="8"/>
    <n v="5"/>
    <n v="0"/>
    <n v="3638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184"/>
    <x v="2"/>
    <x v="0"/>
    <s v="Fatima Veronica Quintero Nuñez"/>
    <s v="Prestar servicios profesionales en la Subdirección de Gestión Corporativa para aplicar los procesos y procedimientos a los inventarios a cargo de la UAECOB-SGC"/>
    <s v="25 - contrato de prestacion de servicios profesionales"/>
    <n v="80111600"/>
    <n v="8"/>
    <n v="4"/>
    <n v="0"/>
    <n v="1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187"/>
    <x v="2"/>
    <x v="0"/>
    <s v="Fatima Veronica Quintero Nuñez"/>
    <s v="Prestar servicios profesionales para desarrollar e implementar sistemas de información, brindar soporte, mantenimiento y generar interoperabilidad con BOGDATA, en la Subdirección de Gestión Corporativa -SGC"/>
    <s v="25 - contrato de prestacion de servicios profesionales"/>
    <n v="80111600"/>
    <n v="8"/>
    <n v="5"/>
    <n v="0"/>
    <n v="374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188"/>
    <x v="2"/>
    <x v="0"/>
    <s v="Fatima Veronica Quintero Nuñez"/>
    <s v="Prestación de servicios profesionales para la ejecución de los procesos contables que se desarrollan en el Área Financiera de la UAE Cuerpo Oficial de Bomberos asignados. -SGC"/>
    <s v="25 - contrato de prestacion de servicios profesionales"/>
    <n v="80111600"/>
    <n v="8"/>
    <n v="5"/>
    <n v="0"/>
    <n v="34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189"/>
    <x v="2"/>
    <x v="0"/>
    <s v="Fatima Veronica Quintero Nuñez"/>
    <s v="Prestación de servicios de apoyo a la gestión documental de la Subdirección de Gestión Corporativa de la Unidad.-SGC."/>
    <s v="26 - contrato de prestacion de servicios de apoyo a la gestion"/>
    <n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190"/>
    <x v="2"/>
    <x v="0"/>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n v="80111600"/>
    <n v="8"/>
    <n v="5"/>
    <n v="0"/>
    <n v="25452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191"/>
    <x v="2"/>
    <x v="0"/>
    <s v="Fatima Veronica Quintero Nuñez"/>
    <s v="Prestación de servicios de apoyo a la gestión documental de la Subdirección de Gestión Corporativa de la Unidad.-SGC"/>
    <s v="26 - contrato de prestacion de servicios de apoyo a la gestion"/>
    <n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192"/>
    <x v="2"/>
    <x v="0"/>
    <s v="Fatima Veronica Quintero Nuñez"/>
    <s v="Prestación de servicios de apoyo a la gestión documental de la Subdirección de Gestión Corporativa de la Unidad-SGC"/>
    <s v="26 - contrato de prestacion de servicios de apoyo a la gestion"/>
    <n v="80111600"/>
    <n v="8"/>
    <n v="4"/>
    <n v="0"/>
    <n v="110857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193"/>
    <x v="2"/>
    <x v="0"/>
    <s v="Fatima Veronica Quintero Nuñez"/>
    <s v="Prestación de servicios de apoyo a la gestión documental de la Subdirección de Gestión Corporativa de la Unidad.-SGC"/>
    <s v="26 - contrato de prestacion de servicios de apoyo a la gestion"/>
    <n v="80111600"/>
    <n v="8"/>
    <n v="4"/>
    <n v="0"/>
    <n v="110857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194"/>
    <x v="2"/>
    <x v="0"/>
    <s v="Fatima Veronica Quintero Nuñez"/>
    <s v="Prestación de servicios de apoyo a la gestión documental de la Subdirección de Gestión Corporativa de la Unidad.-SGC"/>
    <s v="26 - contrato de prestacion de servicios de apoyo a la gestion"/>
    <n v="80111600"/>
    <n v="8"/>
    <n v="4"/>
    <n v="0"/>
    <n v="110857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195"/>
    <x v="2"/>
    <x v="0"/>
    <s v="Fatima Veronica Quintero Nuñez"/>
    <s v="Prestación de servicios profesionales en la implementación, consolidación, seguimiento y reporte de los lineamientos ambientales en cada una de las sedes de la UAE CUERPO OFICIAL DE BOMBEROS BOGOTÁ-SGC"/>
    <s v="25 - contrato de prestacion de servicios profesionales"/>
    <n v="80111600"/>
    <n v="8"/>
    <n v="5"/>
    <n v="0"/>
    <n v="216756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196"/>
    <x v="2"/>
    <x v="0"/>
    <s v="Fatima Veronica Quintero Nuñez"/>
    <s v="Prestación de servicios profesionales en la implementación, consolidación, seguimiento y reporte de los lineamientos ambientales en cada una de las sedes de la entidad, enfatizado en los equipos de trabajo de la Subdirección de Gestión Corporativa-SGC"/>
    <s v="25 - contrato de prestacion de servicios profesionales"/>
    <n v="80111600"/>
    <n v="8"/>
    <n v="3"/>
    <n v="0"/>
    <n v="130053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197"/>
    <x v="2"/>
    <x v="0"/>
    <s v="Fatima Veronica Quintero Nuñez"/>
    <s v="Prestación de servicios profesionales en la implementación, consolidación, seguimiento y reporte de los lineamientos ambientales en cada una de las sedes de la entidad, enfatizado en los equipos de trabajo de la Subdirección de Gestión Corporativa-SGC"/>
    <s v="25 - contrato de prestacion de servicios profesionales"/>
    <n v="80111600"/>
    <n v="10"/>
    <n v="3"/>
    <n v="0"/>
    <n v="130053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198"/>
    <x v="2"/>
    <x v="0"/>
    <s v="Fatima Veronica Quintero Nuñez"/>
    <s v="Prestar los servicios profesionales para la gestión administrativa y operativa de la Subdirección de Gestión Corporativa en el proceso de adquisición de bienes y servicios - SGC"/>
    <s v="25 - contrato de prestacion de servicios profesionales"/>
    <n v="80111600"/>
    <n v="8"/>
    <n v="5"/>
    <n v="0"/>
    <n v="31108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200"/>
    <x v="2"/>
    <x v="7"/>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8"/>
    <n v="4"/>
    <n v="0"/>
    <n v="36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201"/>
    <x v="2"/>
    <x v="8"/>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8"/>
    <n v="5"/>
    <n v="0"/>
    <n v="463792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Si Secop "/>
  </r>
  <r>
    <n v="20241202"/>
    <x v="2"/>
    <x v="8"/>
    <s v="Paula Ximena Henao Escobar"/>
    <s v="Prestación de servicios profesionales en la Dirección General, en Comunicaciones y Prensa, para la divulgación, difusión y socialización de los procesos misionales de la UAECOB de manera interna y externa."/>
    <s v="25 - contrato de prestacion de servicios profesionales"/>
    <n v="80111600"/>
    <n v="8"/>
    <n v="5"/>
    <n v="0"/>
    <n v="3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Si Secop "/>
  </r>
  <r>
    <n v="20241203"/>
    <x v="1"/>
    <x v="1"/>
    <s v="Omer Mauricio Rivera Ruiz"/>
    <s v="Prestación de servicios profesionales en la planificación, control y seguimiento de los insumos y suministros para la atención de emergencias "/>
    <s v="25 - contrato de prestacion de servicios profesionales"/>
    <n v="80111600"/>
    <n v="8"/>
    <n v="5"/>
    <n v="0"/>
    <n v="26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1204"/>
    <x v="1"/>
    <x v="11"/>
    <s v="José Andres Ponce Caicedo"/>
    <s v="SGH - Prestar servicios profesionales juridicos para desarrollar actividades en la Subdireccion de Gestion Humana y el area de academia. "/>
    <s v="25 - contrato de prestacion de servicios profesionales"/>
    <n v="80111600"/>
    <n v="8"/>
    <n v="5"/>
    <n v="0"/>
    <n v="32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205"/>
    <x v="1"/>
    <x v="0"/>
    <s v="Fatima Veronica Quintero Nuñez"/>
    <s v="Prestación de servicios profesionales para apoyar las actividades jurídicas y gestión predial del Área de Infraestructura de la Subdirección de Gestión Corporativa-SGC"/>
    <s v="25 - contrato de prestacion de servicios profesionales"/>
    <n v="80111600"/>
    <n v="8"/>
    <n v="5"/>
    <n v="0"/>
    <n v="32500000"/>
    <x v="0"/>
    <s v="09 - contratación directa"/>
    <x v="16"/>
    <x v="1"/>
    <x v="1"/>
    <x v="1"/>
    <x v="5"/>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s v="O232020200883990 Otros servicios profesionales, técnicos y empresariales n.c.p."/>
    <s v="Si Secop "/>
  </r>
  <r>
    <n v="20241206"/>
    <x v="1"/>
    <x v="0"/>
    <s v="Fatima Veronica Quintero Nuñez"/>
    <s v="Prestación de servicios profesionales en la proyección y el seguimiento financiero a los proyectos de la Subdirección de Gestión Corporativa-SGC"/>
    <s v="25 - contrato de prestacion de servicios profesionales"/>
    <n v="80111600"/>
    <n v="8"/>
    <n v="5"/>
    <n v="0"/>
    <n v="3250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s v="O232020200883990 Otros servicios profesionales, técnicos y empresariales n.c.p."/>
    <s v="Si Secop "/>
  </r>
  <r>
    <n v="20241207"/>
    <x v="1"/>
    <x v="0"/>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n v="80111600"/>
    <n v="8"/>
    <n v="3"/>
    <n v="0"/>
    <n v="1650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s v="O232020200883990 Otros servicios profesionales, técnicos y empresariales n.c.p."/>
    <s v="Si Secop "/>
  </r>
  <r>
    <n v="20241208"/>
    <x v="2"/>
    <x v="2"/>
    <s v="Paula Ximena Henao Escobar"/>
    <s v="Prestar servicios profesionales en la Oficina Asesora de Planeación, _x000a_para liderar las actividades necesarias que permiten la _x000a_consolidación de la infraestructura tecnológica de la UAECOB en _x000a_una herramienta para el cumplimiento del plan estratégico _x000a_institucional."/>
    <s v="25 - contrato de prestacion de servicios profesionales"/>
    <n v="80111600"/>
    <n v="8"/>
    <n v="1"/>
    <n v="0"/>
    <n v="12466667"/>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No Secop"/>
  </r>
  <r>
    <n v="20241209"/>
    <x v="2"/>
    <x v="2"/>
    <s v="Paula Ximena Henao Escobar"/>
    <s v="Prestar servicios profesionales a la Oficina Asesora de Planeación, en el marco de los procesos y procedimientos que adelanta la dependencia."/>
    <s v="25 - contrato de prestacion de servicios profesionales"/>
    <n v="80111600"/>
    <n v="8"/>
    <n v="1"/>
    <n v="0"/>
    <n v="3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No Secop"/>
  </r>
  <r>
    <n v="20241210"/>
    <x v="2"/>
    <x v="2"/>
    <s v="Paula Ximena Henao Escobar"/>
    <s v="Contratar la adquisición de un (1) equipo de aire acondicionado para la U.A.E. Cuerpo Oficial de Bomberos de Bogotá"/>
    <s v="01 - orden de compra"/>
    <n v="40101701"/>
    <n v="8"/>
    <n v="1"/>
    <n v="0"/>
    <n v="600000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211"/>
    <x v="2"/>
    <x v="2"/>
    <s v="Paula Ximena Henao Escobar"/>
    <s v="Prestar servicios profesionales en los procesos de análisis y diseño de las herramientas tecnológicas desarrolladas para el funcionamiento de las áreas de la entidad - TIC."/>
    <s v="25 - contrato de prestacion de servicios profesionales"/>
    <n v="80111600"/>
    <n v="9"/>
    <n v="5"/>
    <n v="0"/>
    <n v="28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212"/>
    <x v="2"/>
    <x v="2"/>
    <s v="Paula Ximena Henao Escobar"/>
    <s v="Contratar servicio de integración, compatibilidad y puesta en funcionamiento de los dispositivos pistolas de toma físico de inventarios al sistema de control y registros inventarios de la U.A.E. Cuerpo Oficial de Bomberos de Bogotá - TIC&quot;"/>
    <s v="24 - contrato de servicio"/>
    <n v="40101701"/>
    <n v="8"/>
    <n v="1"/>
    <n v="0"/>
    <n v="5250000"/>
    <x v="0"/>
    <s v="04 - contratación mínima cuantí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213"/>
    <x v="1"/>
    <x v="3"/>
    <s v="William Alfonso Tovar Segura"/>
    <s v="Adquirir elementos para el funcionamiento del grupo de apoyo operacional_SGR”"/>
    <s v="06 - contrato de compraventa"/>
    <s v="232314_x000a_231416_x000a_231818_x000a_391214"/>
    <n v="10"/>
    <n v="6"/>
    <n v="0"/>
    <n v="24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s v="O232020200883990 Otros servicios profesionales, técnicos y empresariales n.c.p."/>
    <s v="Si Secop "/>
  </r>
  <r>
    <n v="20241214"/>
    <x v="1"/>
    <x v="3"/>
    <s v="William Alfonso Tovar Segura"/>
    <s v="“Adquisición de carpas de uso institucional para puesto de mando unificado, actividades de bienestar, logistica, campañas y apoyo a operaciones_SGR"/>
    <s v="06 - contrato de compraventa"/>
    <s v="49121500_x000a_49121600"/>
    <n v="10"/>
    <n v="1"/>
    <n v="0"/>
    <n v="18000000"/>
    <x v="0"/>
    <s v="04 - contratación mínima cuantí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s v="O232020200883990 Otros servicios profesionales, técnicos y empresariales n.c.p."/>
    <s v="Si Secop "/>
  </r>
  <r>
    <n v="20241215"/>
    <x v="1"/>
    <x v="3"/>
    <s v="William Alfonso Tovar Segura"/>
    <s v="Prestar  servicios profesionales en las actividades de proyeccion e innovacion para la Subdirección de Gestión del Riesgo._SGR "/>
    <s v="25 - contrato de prestacion de servicios profesionales"/>
    <n v="80111600"/>
    <n v="8"/>
    <n v="6"/>
    <n v="0"/>
    <n v="1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1217"/>
    <x v="1"/>
    <x v="3"/>
    <s v="William Alfonso Tovar Segura"/>
    <s v="Prestar servicios profesionales para el seguimiento de los proyectos de inversión de la UAECOB. _SGR "/>
    <s v="25 - contrato de prestacion de servicios profesionales"/>
    <n v="80111600"/>
    <n v="9"/>
    <n v="4"/>
    <n v="0"/>
    <n v="2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1218"/>
    <x v="1"/>
    <x v="3"/>
    <s v="William Alfonso Tovar Segura"/>
    <s v="Prestar  servicios profesionales en las actividades de proyeccion e innovacion para la Subdirección de Gestión del Riesgo._SGR "/>
    <s v="25 - contrato de prestacion de servicios profesionales"/>
    <n v="80111600"/>
    <n v="9"/>
    <n v="4"/>
    <n v="0"/>
    <n v="1305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1219"/>
    <x v="1"/>
    <x v="11"/>
    <s v="José Andres Ponce Caicedo"/>
    <s v="SGH - Prestar servicios profesionales en la Subdirección de Gestión Humana de la UAE Cuerpo Oficial de Bomberos de Bogotá D.C. en lo relacionado con los diferentes procesos de archivo y trámites administrativos."/>
    <s v="25 - contrato de prestacion de servicios profesionales"/>
    <n v="80111600"/>
    <n v="9"/>
    <n v="5"/>
    <n v="0"/>
    <n v="204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220"/>
    <x v="1"/>
    <x v="11"/>
    <s v="José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9"/>
    <n v="5"/>
    <n v="0"/>
    <n v="32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221"/>
    <x v="1"/>
    <x v="11"/>
    <s v="José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9"/>
    <n v="5"/>
    <n v="0"/>
    <n v="2735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222"/>
    <x v="1"/>
    <x v="11"/>
    <s v="José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9"/>
    <n v="5"/>
    <n v="0"/>
    <n v="18428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223"/>
    <x v="1"/>
    <x v="11"/>
    <s v="José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9"/>
    <n v="5"/>
    <n v="0"/>
    <n v="40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224"/>
    <x v="1"/>
    <x v="11"/>
    <s v="José Andres Ponce Caicedo"/>
    <s v="SGH - Prestar servicios de apoyo a la gestión en la Subdirección de Gestión Humana en las diferentes actividades logísticas relacionadas con  el proceso de Academia."/>
    <s v="26 - contrato de prestacion de servicios de apoyo a la gestion"/>
    <n v="80111600"/>
    <n v="9"/>
    <n v="5"/>
    <n v="0"/>
    <n v="129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225"/>
    <x v="1"/>
    <x v="1"/>
    <s v="Omer Mauricio Rivera Ruiz"/>
    <s v="Prestación de servicio como conductor para apoyar en la gestión administrativa y logística de la Subdirección Logistica- SBLG."/>
    <s v="26 - contrato de prestacion de servicios de apoyo a la gestion"/>
    <n v="80111600"/>
    <n v="10"/>
    <n v="3"/>
    <n v="0"/>
    <n v="950208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s v="O232020200883990 Otros servicios profesionales, técnicos y empresariales n.c.p."/>
    <s v="Si Secop "/>
  </r>
  <r>
    <n v="20241226"/>
    <x v="1"/>
    <x v="1"/>
    <s v="Omer Mauricio Rivera Ruiz"/>
    <s v="Adición y prórroga al contrato 450-24cuyo objeto es prestar servicios profesionales en la seguimiento,verificación y control administrativo financiero de los procesos contractuales en la etapa de ejecución a cargo de la Subdirección Logistica – SBLG."/>
    <s v="25 - contrato de prestacion de servicios profesionales"/>
    <n v="80111600"/>
    <n v="12"/>
    <n v="1"/>
    <n v="0"/>
    <n v="618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s v="O232020200883990 Otros servicios profesionales, técnicos y empresariales n.c.p."/>
    <s v="No Secop"/>
  </r>
  <r>
    <n v="20241227"/>
    <x v="1"/>
    <x v="1"/>
    <s v="Omer Mauricio Rivera Ruiz"/>
    <s v="Adición y prórroga al contrato 474-24, cuyo objeto es prestación de servicios profesionales en la administración, gestión integral y mantenimiento del equipo menor a cargo de la Subdirección Logística -SBLG."/>
    <s v="25 - contrato de prestacion de servicios profesionales"/>
    <n v="80111600"/>
    <n v="12"/>
    <n v="1"/>
    <n v="0"/>
    <n v="800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s v="O232020200883990 Otros servicios profesionales, técnicos y empresariales n.c.p."/>
    <s v="No Secop"/>
  </r>
  <r>
    <n v="20241228"/>
    <x v="1"/>
    <x v="1"/>
    <s v="Omer Mauricio Rivera Ruiz"/>
    <s v="Adición y prórroga del contrato 495-24 cuyo objeto es prestación de servicios profesionales como residente de talleres para gestionar y garantizar el funcionamiento y operación del parque automotor asignado a la  Subdirección Logística - SBLG."/>
    <s v="25 - contrato de prestacion de servicios profesionales"/>
    <n v="80111600"/>
    <n v="12"/>
    <n v="1"/>
    <n v="0"/>
    <n v="743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s v="O232020200883990 Otros servicios profesionales, técnicos y empresariales n.c.p."/>
    <s v="No Secop"/>
  </r>
  <r>
    <n v="20241229"/>
    <x v="1"/>
    <x v="1"/>
    <s v="Omer Mauricio Rivera Ruiz"/>
    <s v="Adición y prorroga del contrato 457-24 cuyo objeto es prestación de servicios de apoyo a la gestión para realizar el diagnóstico, los mantenimientos preventivos y correctivos a fin de garantizar la permanente funcionalidad de los equipos menores pertenecientes a la UAECOB, en la Subdirección Logística - SBLG"/>
    <s v="26 - contrato de prestacion de servicios de apoyo a la gestion"/>
    <n v="80111600"/>
    <n v="11"/>
    <n v="1"/>
    <n v="15"/>
    <n v="465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No Secop"/>
  </r>
  <r>
    <n v="20241230"/>
    <x v="1"/>
    <x v="1"/>
    <s v="Omer Mauricio Rivera Ruiz"/>
    <s v="Prestar servicios profesionales para apoyar en los diferentes trámites administrativos, documental e inventario de la Subdirección Logística – SBLG. "/>
    <s v="25 - contrato de prestacion de servicios profesionales"/>
    <n v="80111600"/>
    <n v="9"/>
    <n v="5"/>
    <n v="0"/>
    <n v="27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1231"/>
    <x v="1"/>
    <x v="1"/>
    <s v="Omer Mauricio Rivera Ruiz"/>
    <s v="Prestar servicios profesionales en temas transversales de los procesos de planeación, logísticos, administrativos y financieros que se deriven de las competencias a cargo de la Subdirección Logística - SBLG. "/>
    <s v="25 - contrato de prestacion de servicios profesionales"/>
    <n v="80111600"/>
    <n v="10"/>
    <n v="4"/>
    <n v="0"/>
    <n v="353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1232"/>
    <x v="1"/>
    <x v="1"/>
    <s v="Omer Mauricio Rivera Ruiz"/>
    <s v="Pago de pasivo exigible contrato 517-22 Ingenieria contra Incendio y Seguridad Industrial Incoldext SAS"/>
    <s v="12 - resolucion"/>
    <s v="N/A"/>
    <n v="0"/>
    <n v="0"/>
    <n v="0"/>
    <n v="11556312"/>
    <x v="2"/>
    <s v="91 - n/a acto administrativo (resolución, decreto, acuerdo, etc.)"/>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715999 Servicio de mantenimiento y reparación de otros equipos n.c.p."/>
    <s v="No Secop"/>
  </r>
  <r>
    <n v="20241233"/>
    <x v="1"/>
    <x v="1"/>
    <s v="Omer Mauricio Rivera Ruiz"/>
    <s v="Adición y prorroga del contrato 527-24 cuyo objeto es prestación de servicios profesionales en la planificación, control y seguimiento de los insumos y suministros para la atención de emergencias. "/>
    <s v="25 - contrato de prestacion de servicios profesionales"/>
    <n v="80111600"/>
    <n v="8"/>
    <n v="5"/>
    <n v="0"/>
    <n v="6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No Secop"/>
  </r>
  <r>
    <n v="20241234"/>
    <x v="1"/>
    <x v="1"/>
    <s v="Omer Mauricio Rivera Ruiz"/>
    <s v="Adición y prorroga del Contrato 412-24 cuyo objeto es prestar servicios de apoyo a la gestión en el seguimiento y control de los suministros y consumibles garantizando la disponibilidad para la atención de emergencias  -SBLG."/>
    <s v="25 - contrato de prestacion de servicios profesionales"/>
    <n v="80111600"/>
    <n v="12"/>
    <n v="0"/>
    <n v="14"/>
    <n v="158792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No Secop"/>
  </r>
  <r>
    <n v="20241235"/>
    <x v="1"/>
    <x v="1"/>
    <s v="Omer Mauricio Rivera Ruiz"/>
    <s v="Adición y prórroga del Contrato 541 de 2023 cuyo objeto es 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27 - contrato de prestacion de servicios de mantenimiento"/>
    <s v="72101500;72154200"/>
    <n v="9"/>
    <n v="4"/>
    <n v="0"/>
    <n v="5500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s v="O23201010030208 Otra maquinaria para usos especiales y sus partes y piezas"/>
    <s v="No Secop"/>
  </r>
  <r>
    <n v="20241236"/>
    <x v="2"/>
    <x v="8"/>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9"/>
    <n v="5"/>
    <n v="0"/>
    <n v="2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Si Secop "/>
  </r>
  <r>
    <n v="20241237"/>
    <x v="2"/>
    <x v="8"/>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9"/>
    <n v="5"/>
    <n v="0"/>
    <n v="2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Si Secop "/>
  </r>
  <r>
    <n v="20241238"/>
    <x v="2"/>
    <x v="8"/>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9"/>
    <n v="5"/>
    <n v="0"/>
    <n v="2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Si Secop "/>
  </r>
  <r>
    <n v="20241239"/>
    <x v="2"/>
    <x v="8"/>
    <s v="Paula Ximena Henao Escobar"/>
    <s v="Prestación de servicios como conductor en los diferentes recorridos de carácter operativo que se requieran en la Dirección General."/>
    <s v="16 - contrato de suministro de servicios"/>
    <n v="80111600"/>
    <n v="9"/>
    <n v="5"/>
    <n v="0"/>
    <n v="15835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Si Secop "/>
  </r>
  <r>
    <n v="20241240"/>
    <x v="0"/>
    <x v="0"/>
    <s v="Fatima Veronica Quintero Nuñez"/>
    <s v="Adición No.5 y prórroga No.6 al contrato 409 de 2021 que tiene como objeto &quot;Prestar los servicios de Custodia, Consulta y Traslado Documental de Acuerdo a las especificaciones Técnicas  y requisitos contemplados en la normatividad Archivística Vigente-SGC"/>
    <s v="03 - contrato de prestacion de servicios"/>
    <s v="78131800;80101500;80101600;80161500;81111900;81112000"/>
    <n v="9"/>
    <n v="5"/>
    <n v="0"/>
    <n v="27890100"/>
    <x v="0"/>
    <s v="04 - contratación mínima cuantía"/>
    <x v="0"/>
    <x v="0"/>
    <x v="0"/>
    <x v="0"/>
    <x v="0"/>
    <s v="N/A"/>
    <s v="N/A-N/A"/>
    <x v="0"/>
    <s v="N/A"/>
    <s v="N/A_N/A"/>
    <s v="N/A-N/A N/A_N/A"/>
    <x v="0"/>
    <x v="0"/>
    <s v="No Aplica"/>
    <s v="No Secop"/>
  </r>
  <r>
    <n v="20241241"/>
    <x v="2"/>
    <x v="0"/>
    <s v="Fatima Veronica Quintero Nuñez"/>
    <s v="Prestar los servicios profesionales en la Subdirección de Gestión Corporativa en las actividades asociadas a procesos jurídicos relacionados con la gestión administrativa.- SGC"/>
    <s v="25 - contrato de prestacion de servicios profesionales"/>
    <n v="80111600"/>
    <n v="9"/>
    <n v="3"/>
    <n v="0"/>
    <n v="219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2199 Otros servicios jurídicos n.c.p."/>
    <s v="Si Secop "/>
  </r>
  <r>
    <n v="20241242"/>
    <x v="2"/>
    <x v="0"/>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a_40151517;_x000a_76121701;_x000a_83101506;"/>
    <n v="9"/>
    <n v="4"/>
    <n v="0"/>
    <n v="9988046"/>
    <x v="0"/>
    <s v="04 - contratación mínima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243"/>
    <x v="2"/>
    <x v="0"/>
    <s v="Fatima Veronica Quintero Nuñez"/>
    <s v="Prestar los servicios como conductor de la Subdirección de Gestión Corporativa -SGC"/>
    <s v="26 - contrato de prestacion de servicios de apoyo a la gestion"/>
    <s v="80111600;"/>
    <n v="9"/>
    <n v="4"/>
    <n v="0"/>
    <n v="12669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244"/>
    <x v="2"/>
    <x v="0"/>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9"/>
    <n v="4"/>
    <n v="0"/>
    <n v="110857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245"/>
    <x v="2"/>
    <x v="2"/>
    <s v="Paula Ximena Henao Escobar"/>
    <s v="Prestar los servicios profesionales para apoyar  a la Dirección en la gestión de procesor juridicos y contractuales relacionados con los proyectos de inversion y funcionamiento de la U.A.E. Cuerpo Oficial de Bomberos de Bogotá - TIC"/>
    <s v="25 - contrato de prestacion de servicios profesionales"/>
    <n v="80111600"/>
    <n v="9"/>
    <n v="4"/>
    <n v="20"/>
    <n v="32666667"/>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246"/>
    <x v="2"/>
    <x v="2"/>
    <s v="Paula Ximena Henao Escobar"/>
    <s v="Prestar servicios tecnicos de apoyo a la gestión para el desarrollo de actividades administrativas y procesos de gestión documental TIC"/>
    <s v="26 - contrato de prestacion de servicios de apoyo a la gestion"/>
    <n v="80111600"/>
    <n v="10"/>
    <n v="4"/>
    <n v="0"/>
    <n v="148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247"/>
    <x v="2"/>
    <x v="2"/>
    <s v="Paula Ximena Henao Escobar"/>
    <s v="Contratar la prestación de servicios de apoyo a la gestión para adelantar actividades administrativas y técnicas en el soporte técnico niveles (1 y 2) para los serivicios tecnológicos  del Edificio Comando de la U.A.E. Cuerpo Oficial de bomberos de Bogotá - TIC"/>
    <s v="26 - contrato de prestacion de servicios de apoyo a la gestion"/>
    <n v="80111600"/>
    <n v="9"/>
    <n v="4"/>
    <n v="0"/>
    <n v="14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248"/>
    <x v="2"/>
    <x v="2"/>
    <s v="Paula Ximena Henao Escobar"/>
    <s v="Contratar la prestación de servicios de apoyo a la gestión para adelantar actividades administrativas y técnicas en el soporte técnico niveles (1 y 2)  para los serivicios tecnológicos  del Edificio Comando de la U.A.E. Cuerpo Oficial de bomberos de Bogotá - TIC"/>
    <s v="26 - contrato de prestacion de servicios de apoyo a la gestion"/>
    <n v="80111600"/>
    <n v="11"/>
    <n v="3"/>
    <n v="10"/>
    <n v="14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249"/>
    <x v="2"/>
    <x v="2"/>
    <s v="Paula Ximena Henao Escobar"/>
    <s v="Adquirir de hardware y software de gestión de para el sistema de atención de turnos de la U.A.E. Cuerpo Oficial de Bomberos de Bogotá - TIC"/>
    <s v="24 - contrato de servicio"/>
    <s v="83121700;83111600;43221700"/>
    <n v="10"/>
    <n v="1"/>
    <n v="0"/>
    <n v="212772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250"/>
    <x v="2"/>
    <x v="2"/>
    <s v="Paula Ximena Henao Escobar"/>
    <s v="pago pasivo exigible del contrato No. 149 de 2021, cuyo objeto es: &quot;Prestar Servicios profesionales como gestor de servicios Tecnológicos para apoyar los procesos relacionados con la gestión de la capacidad continuidad, disponibilidad, y seguridad de la infraestructura tecnológica de la UAECOB&quot;."/>
    <s v="25 - contrato de prestacion de servicios profesionales"/>
    <n v="80111600"/>
    <n v="10"/>
    <n v="1"/>
    <n v="0"/>
    <n v="1546666"/>
    <x v="2"/>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No Secop"/>
  </r>
  <r>
    <n v="20241251"/>
    <x v="2"/>
    <x v="2"/>
    <s v="Paula Ximena Henao Escobar"/>
    <s v="pago de pasivo exigible del contrato No. 624-2020, cuyo objeto es; &quot;Prestar servicios profesionales en la Oficina Asesora de Planeación para elaborar, ejecutar y poner en marcha sistemas de información de la entidad&quot;."/>
    <s v="25 - contrato de prestacion de servicios profesionales"/>
    <n v="80111600"/>
    <n v="10"/>
    <n v="1"/>
    <n v="0"/>
    <n v="200000"/>
    <x v="2"/>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No Secop"/>
  </r>
  <r>
    <n v="20241252"/>
    <x v="2"/>
    <x v="2"/>
    <s v="Paula Ximena Henao Escobar"/>
    <s v="Prestar servicios profesionales en los procesos de análisis, levantamiento de información, parametrización y diseño de las herramientas tecnológicas desarrolladas para el funcionamiento de la U.A.E. Cuerpo Oficial de Bomberos de Bogotá - TIC"/>
    <s v="25 - contrato de prestacion de servicios profesionales"/>
    <n v="80111600"/>
    <n v="11"/>
    <n v="3"/>
    <n v="0"/>
    <n v="24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253"/>
    <x v="2"/>
    <x v="10"/>
    <s v="Monica Perez Barragan"/>
    <s v="Adición y prórroga al contrato 390 de 2024 cuto objeto es: &quot;Prestar los servicios profesionales  jurídicos para apoyar las actividades propias de la gestión contractual que adelanta la Oficina Jurídica&quot;"/>
    <s v="25 - contrato de prestacion de servicios profesionales"/>
    <n v="80111600"/>
    <n v="9"/>
    <n v="5"/>
    <n v="0"/>
    <n v="11475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254"/>
    <x v="2"/>
    <x v="10"/>
    <s v="Monica Perez Barragan"/>
    <s v="Prestar los servicios profesionales juridicos especializados en el desarrollo de las funciones de la Oficina Juridica"/>
    <s v="25 - contrato de prestacion de servicios profesionales"/>
    <n v="80111600"/>
    <n v="9"/>
    <n v="2"/>
    <n v="0"/>
    <n v="2142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255"/>
    <x v="2"/>
    <x v="9"/>
    <s v="Manuel Eduardo Castillo Guzman"/>
    <s v="Prestación de servicios profesionales en el desarrollo de las actividades que se designen para el seguimiento y la implementación de las políticas del Modelo Integrado de Planeación y Gestión MIPG que lidera la Oficina Asesora de Planeación."/>
    <s v="25 - contrato de prestacion de servicios profesionales"/>
    <n v="80111600"/>
    <n v="9"/>
    <n v="4"/>
    <n v="0"/>
    <n v="26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s v="O232020200883990 Otros servicios profesionales, técnicos y empresariales n.c.p."/>
    <s v="Si Secop "/>
  </r>
  <r>
    <n v="20241256"/>
    <x v="2"/>
    <x v="9"/>
    <s v="Manuel Eduardo Castillo Guzman"/>
    <s v="Adición y prorroga Implementación del modelo integrado de planeación y gestión"/>
    <s v="25 - contrato de prestacion de servicios profesionales"/>
    <n v="80111600"/>
    <n v="9"/>
    <n v="4"/>
    <n v="0"/>
    <n v="328734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s v="O232020200883990 Otros servicios profesionales, técnicos y empresariales n.c.p."/>
    <s v="No Secop"/>
  </r>
  <r>
    <n v="20241257"/>
    <x v="1"/>
    <x v="4"/>
    <s v="Mauricio Ayala Vasquez"/>
    <s v="Adquisición de Dron- UAS para el grupo especializado SART de la UAECOB, para apoyar las operaciones de búsqueda, rescate, control de incendios y otras emergencias misionales a cargo de la Entidad"/>
    <s v="06 - contrato de compraventa"/>
    <s v="26111711;_x000a_26111711;_x000a_25131600;"/>
    <n v="9"/>
    <n v="3"/>
    <n v="0"/>
    <n v="629230099"/>
    <x v="0"/>
    <s v="04 - contratación mínima cuantí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s v="O23201010030208 Otra maquinaria para usos especiales y sus partes y piezas"/>
    <s v="Si Secop "/>
  </r>
  <r>
    <n v="20241258"/>
    <x v="1"/>
    <x v="4"/>
    <s v="Mauricio Ayala Vasquez"/>
    <s v="Prestación de servicios profesionales para apoyar a la Subdirección Operativa en el análisis de información y elaboración de informes de gestión, documentos técnicos, reportes y demás productos relacionados con la atención de emergencias, gestión del conocimiento y procesos a cargo de la dependencia."/>
    <s v="25 - contrato de prestacion de servicios profesionales"/>
    <n v="80111600"/>
    <n v="9"/>
    <n v="5"/>
    <n v="0"/>
    <n v="35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1259"/>
    <x v="1"/>
    <x v="0"/>
    <s v="Fatima Veronica Quintero Nuñez"/>
    <s v="Prestar los servicios profesionales para el acompañamiento y seguimiento de los planes y proyectos de la Subdireccion de Gestión Corporativa-SGC"/>
    <s v="25 - contrato de prestacion de servicios profesionales"/>
    <s v="80111600;"/>
    <n v="8"/>
    <n v="4"/>
    <n v="0"/>
    <n v="3000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s v="O232020200883990 Otros servicios profesionales, técnicos y empresariales n.c.p."/>
    <s v="Si Secop "/>
  </r>
  <r>
    <n v="20241260"/>
    <x v="2"/>
    <x v="8"/>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9"/>
    <n v="5"/>
    <n v="0"/>
    <n v="375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Si Secop "/>
  </r>
  <r>
    <n v="20241261"/>
    <x v="2"/>
    <x v="8"/>
    <s v="Paula Ximena Henao Escobar"/>
    <s v="Prestación de servicios de apoyo a la gestión en asuntos de comunicaciones y prensa para detectar las necesidades de la Entidad y facilitar la inserción de nuevas estrategias de comunicación"/>
    <s v="26 - contrato de prestacion de servicios de apoyo a la gestion"/>
    <n v="80111600"/>
    <n v="9"/>
    <n v="5"/>
    <n v="0"/>
    <n v="189476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Si Secop "/>
  </r>
  <r>
    <n v="20241262"/>
    <x v="2"/>
    <x v="8"/>
    <s v="Paula Ximena Henao Escobar"/>
    <s v="Prestación de servicios profesionales en asuntos de comunicaciones y prensa para apoyar las labores de divulgación de la información en las redes sociales, pagina web e intranet, de acuerdo con la misionalidad de la UAECOB."/>
    <s v="25 - contrato de prestacion de servicios profesionales"/>
    <n v="80111600"/>
    <n v="9"/>
    <n v="5"/>
    <n v="0"/>
    <n v="2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Si Secop "/>
  </r>
  <r>
    <n v="20241263"/>
    <x v="2"/>
    <x v="9"/>
    <s v="Manuel Eduardo Castillo Guzman"/>
    <s v="Adición y prórroga al contrato 325 de 2024 cuyo objeto es: Prestar servicios profesionales para coordinar, implementar y ejercer seguimiento a las políticas que componen el modelo de gestión -MIPG, asì como los sistemas de gestión que se definan por la Oficina Asesora de Planeación"/>
    <s v="25 - contrato de prestacion de servicios profesionales"/>
    <n v="80111600"/>
    <n v="10"/>
    <n v="3"/>
    <n v="0"/>
    <n v="21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s v="O232020200883990 Otros servicios profesionales, técnicos y empresariales n.c.p."/>
    <s v="Si Secop "/>
  </r>
  <r>
    <n v="20241264"/>
    <x v="2"/>
    <x v="7"/>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8"/>
    <n v="4"/>
    <n v="0"/>
    <n v="36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265"/>
    <x v="1"/>
    <x v="1"/>
    <s v="Omer Mauricio Rivera Ruiz"/>
    <s v="Prestar servicios de apoyo a la gestión para la recepción,gestión y trámite de todas las incidencias o solicitudes informadas a través de la herramienta tecnologica de la Subdirección Logística de la UAECOB. – SBLG."/>
    <s v="26 - contrato de prestacion de servicios de apoyo a la gestion"/>
    <n v="80111600"/>
    <n v="11"/>
    <n v="2"/>
    <n v="15"/>
    <n v="8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1266"/>
    <x v="1"/>
    <x v="4"/>
    <s v="Mauricio Ayala Vasquez"/>
    <s v="Prestación de servicios de apoyo  a la Subdirección Operativa como conductor, brindando atención en los diferentes requerimientos y gestiones de la dependencia."/>
    <s v="26 - contrato de prestacion de servicios de apoyo a la gestion"/>
    <n v="80111600"/>
    <n v="10"/>
    <n v="4"/>
    <n v="0"/>
    <n v="1266944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s v="O232020200883990 Otros servicios profesionales, técnicos y empresariales n.c.p."/>
    <s v="Si Secop "/>
  </r>
  <r>
    <n v="20241267"/>
    <x v="0"/>
    <x v="11"/>
    <s v="José Andres Ponce Caicedo"/>
    <s v="Adicion y prorroga contrato 326-2024 cuyo objeto es &quot; Contratar la Prestación de Servicios para desarrollar el Plan de Bienestar de la UAE Cuerpo Oficial de Bomberos para la Vigencia 2024&quot;"/>
    <s v="24 - contrato de servicio"/>
    <s v="90101600;90111600;90141700;90151700"/>
    <n v="10"/>
    <n v="3"/>
    <n v="0"/>
    <n v="124500000"/>
    <x v="0"/>
    <s v="09 - contratación directa"/>
    <x v="0"/>
    <x v="0"/>
    <x v="0"/>
    <x v="0"/>
    <x v="0"/>
    <s v="N/A"/>
    <s v="N/A-N/A"/>
    <x v="0"/>
    <s v="N/A"/>
    <s v="N/A_N/A"/>
    <s v="N/A-N/A N/A_N/A"/>
    <x v="0"/>
    <x v="0"/>
    <s v="O232020200883990 Otros servicios profesionales, técnicos y empresariales n.c.p."/>
    <s v="No Secop"/>
  </r>
  <r>
    <n v="20241268"/>
    <x v="1"/>
    <x v="11"/>
    <s v="José Andres Ponce Caicedo"/>
    <s v="SGH - Prestar servicios de apoyo a la Gestion con actividades encaminadas al entrenamiento deportivo y fortalecimiento al respecto y la sana convivencia del personal uniformado, promoviendo el bienestar y sus competencias internas. "/>
    <s v="26 - contrato de prestacion de servicios de apoyo a la gestion"/>
    <n v="80111600"/>
    <n v="10"/>
    <n v="4"/>
    <n v="0"/>
    <n v="15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269"/>
    <x v="1"/>
    <x v="11"/>
    <s v="José Andres Ponce Caicedo"/>
    <s v="SGH prestar servicios profesionales en los diferentes procesos de seguimiento presupuestal y contractual en el area de academia de la subdireccion"/>
    <s v="25 - contrato de prestacion de servicios profesionales"/>
    <n v="80111600"/>
    <n v="10"/>
    <n v="3"/>
    <n v="15"/>
    <n v="227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270"/>
    <x v="1"/>
    <x v="11"/>
    <s v="José Andres Ponce Caicedo"/>
    <s v="Adicion y prorroga contrato 192-2024 cuyo objeto es &quot;SGH - Prestar servicios profesionales para apoyar el programa de desórdenes musculoesqueléticos de la UAE Cuerpo Oficial de Bomberos de Bogotá&quot;."/>
    <s v="25 - contrato de prestacion de servicios profesionales"/>
    <n v="80111600"/>
    <n v="10"/>
    <n v="3"/>
    <n v="0"/>
    <n v="147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No Secop"/>
  </r>
  <r>
    <n v="20241271"/>
    <x v="1"/>
    <x v="11"/>
    <s v="José Andres Ponce Caicedo"/>
    <s v="Adicion y Prorroga contrato 204-2024 cuyo objeto es &quot;SGH - Prestar sus servicios profesionales en la Subdirección de Gestión Humana, en los procesos contractuales y demás actividades relacionadas con la Subdirección de Gestión Humana&quot;"/>
    <s v="25 - contrato de prestacion de servicios profesionales"/>
    <n v="80111600"/>
    <n v="10"/>
    <n v="3"/>
    <n v="10"/>
    <n v="1621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No Secop"/>
  </r>
  <r>
    <n v="20241272"/>
    <x v="1"/>
    <x v="11"/>
    <s v="José Andres Ponce Caicedo"/>
    <s v="Adicion y prorroga al contrato 208-2024 cuyo objeto es &quot;SGH - Prestar sus servicios profesionales en la Subdirección de Gestión Humana, en la administración de sistema de seguridad y salud en el trabajo&quot;"/>
    <s v="25 - contrato de prestacion de servicios profesionales"/>
    <n v="80111600"/>
    <n v="10"/>
    <n v="3"/>
    <n v="0"/>
    <n v="18042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No Secop"/>
  </r>
  <r>
    <n v="20241273"/>
    <x v="1"/>
    <x v="11"/>
    <s v="José Andres Ponce Caicedo"/>
    <s v="Adicion y prorroga al contrato 193-2024 cuyo objeto es &quot;GH - Prestar servicios profesionales para apoyar el programa de vigilancia epidemiológico al riesgo psicosocial y actividades de seguridad y salud en el trabajo en la Subdirección de Gestión Humana.&quot;"/>
    <s v="25 - contrato de prestacion de servicios profesionales"/>
    <n v="80111600"/>
    <n v="10"/>
    <n v="3"/>
    <n v="0"/>
    <n v="16413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No Secop"/>
  </r>
  <r>
    <n v="20241274"/>
    <x v="1"/>
    <x v="11"/>
    <s v="José Andres Ponce Caicedo"/>
    <s v="SGH - Adquirir el manual Fundamentos de lucha contra incendios IFSTA 7"/>
    <s v="08 - contrato de suministro"/>
    <s v="55101509, 55101516"/>
    <n v="11"/>
    <n v="3"/>
    <n v="0"/>
    <n v="15038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275"/>
    <x v="1"/>
    <x v="11"/>
    <s v="José Andres Ponce Caicedo"/>
    <s v="SGH - Contratar formacion para instructor del fuego I - proboard para el personal operativo de la Unidad Administrativa Especial Cuerpo Oficial de Bomberos"/>
    <s v="08 - contrato de suministro"/>
    <s v="86101600, 86101700, 86101800, 86111600, 86141500,  86121800, 80111500, 46161600"/>
    <n v="11"/>
    <n v="3"/>
    <n v="0"/>
    <n v="124206392"/>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276"/>
    <x v="2"/>
    <x v="10"/>
    <s v="Monica Perez Barragan"/>
    <s v="Prestar los servicios profesionales  jurídicos para apoyar las actividades propias de la gestión contractual que adelanta la Oficina Jurídica"/>
    <s v="25 - contrato de prestacion de servicios profesionales"/>
    <n v="80111600"/>
    <n v="11"/>
    <n v="3"/>
    <n v="0"/>
    <n v="229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277"/>
    <x v="2"/>
    <x v="10"/>
    <s v="Monica Perez Barragan"/>
    <s v="Adición y prórroga al contrato 385 de 2024 cuto objeto es: &quot;Prestar los servicios profesionales jurídicos para apoyar las actuaciones procesales y procedimentales de la Oficina Jurídica&quot;"/>
    <s v="25 - contrato de prestacion de servicios profesionales"/>
    <n v="80111600"/>
    <n v="10"/>
    <n v="1"/>
    <n v="0"/>
    <n v="65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278"/>
    <x v="2"/>
    <x v="10"/>
    <s v="Monica Perez Barragan"/>
    <s v="Adición y prórroga al contrato 449 de 2024 cuto objeto es: &quot;Prestar los servicios de apoyo para los tramites, gestiones y actividades propias que se requieran en los diferentes procesos disciplinarios propios de la etapa de juzgamiento de la Oficina Jurídica en la UAECOB&quot;"/>
    <s v="26 - contrato de prestacion de servicios de apoyo a la gestion"/>
    <n v="80111600"/>
    <n v="10"/>
    <n v="1"/>
    <n v="0"/>
    <n v="5375382"/>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279"/>
    <x v="1"/>
    <x v="0"/>
    <s v="Fatima Veronica Quintero Nuñez"/>
    <s v=" Adición No. 2 al contrato 510 de 2022 que tiene como objeto &quot;Elaboración de estudios y diseños técnicos para la construcción de la estación de bomberos de Caobos Salazar B-13 de la UAE Cuerpo Oficial de Bomberos de Bogotá – SGC"/>
    <s v="04 - contrato de consultoria"/>
    <s v="80101600, 81101500"/>
    <n v="0"/>
    <n v="0"/>
    <n v="0"/>
    <n v="10131621"/>
    <x v="0"/>
    <s v="06 - concurso de méritos abierto"/>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s v="O2320202005040554590 Otros servicios especializados de la construcción"/>
    <s v="No Secop"/>
  </r>
  <r>
    <n v="20241280"/>
    <x v="1"/>
    <x v="0"/>
    <s v="Fatima Veronica Quintero Nuñez"/>
    <s v="Adición N° 1 al contrato de obra 383 de 2024, que tiene como objeto “Realizar la adecuación del espacio de entrenamiento de la estación de bomberos B-05 Kennedy – SGC"/>
    <s v="05 - contrato de obra"/>
    <s v="72121400, 72151500, 72151700, 72152400, 95121700"/>
    <n v="0"/>
    <n v="0"/>
    <n v="0"/>
    <n v="27281493"/>
    <x v="0"/>
    <s v="02 - selec. abrev. menor cuantí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s v="O2320202005040554590 Otros servicios especializados de la construcción"/>
    <s v="No Secop"/>
  </r>
  <r>
    <n v="20241281"/>
    <x v="2"/>
    <x v="0"/>
    <s v="Fatima Veronica Quintero Nuñez"/>
    <s v="Adición y prórroga No. 1 al contrato 539 de 2024 que tiene como objeto “Prestación de servicios profesionales para adelantar actividades técnicas y trámites administrativos del Área de Infraestructura de la Subdirección de Gestión Corporativa-SGC"/>
    <s v="25 - contrato de prestacion de servicios profesionales"/>
    <n v="80111600"/>
    <n v="8"/>
    <n v="1"/>
    <n v="0"/>
    <n v="70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282"/>
    <x v="0"/>
    <x v="0"/>
    <s v="Fatima Veronica Quintero Nuñez"/>
    <s v="Adición y prórroga No. 1 al contrato 472 de 2024 que tiene como objeto “Prestación de servicios profesionales al área Financiera de la Subdirección de Gestión Corporativa-SGC"/>
    <s v="25 - contrato de prestacion de servicios profesionales"/>
    <s v="80111600;"/>
    <n v="10"/>
    <n v="1"/>
    <n v="0"/>
    <n v="5090400"/>
    <x v="0"/>
    <s v="09 - contratación directa"/>
    <x v="0"/>
    <x v="0"/>
    <x v="0"/>
    <x v="0"/>
    <x v="0"/>
    <s v="N/A"/>
    <s v="N/A-N/A"/>
    <x v="0"/>
    <s v="N/A"/>
    <s v="N/A_N/A"/>
    <s v="N/A-N/A N/A_N/A"/>
    <x v="0"/>
    <x v="0"/>
    <s v="No Aplica"/>
    <s v="No Secop"/>
  </r>
  <r>
    <n v="20241283"/>
    <x v="0"/>
    <x v="0"/>
    <s v="Fatima Veronica Quintero Nuñez"/>
    <s v="Adición y prórroga No. 1 al contrato 493 de 2024 que tiene como objeto “Prestación de servicios profesionales al área Financiera de la Subdirección de Gestión Corporativa-SGC"/>
    <s v="25 - contrato de prestacion de servicios profesionales"/>
    <s v="80111600;"/>
    <n v="10"/>
    <n v="1"/>
    <n v="0"/>
    <n v="5090400"/>
    <x v="0"/>
    <s v="09 - contratación directa"/>
    <x v="0"/>
    <x v="0"/>
    <x v="0"/>
    <x v="0"/>
    <x v="0"/>
    <s v="N/A"/>
    <s v="N/A-N/A"/>
    <x v="0"/>
    <s v="N/A"/>
    <s v="N/A_N/A"/>
    <s v="N/A-N/A N/A_N/A"/>
    <x v="0"/>
    <x v="0"/>
    <s v="No Aplica"/>
    <s v="No Secop"/>
  </r>
  <r>
    <n v="20241284"/>
    <x v="2"/>
    <x v="2"/>
    <s v="Paula Ximena Henao Escobar"/>
    <s v="Contratar el suministro de solucion para  protección y prevención de amenazas a puntos finales y servidores de la U.A.E. Cuerpo Oficial de Bomberos de Bogotá - TIC"/>
    <s v="24 - contrato de servicio"/>
    <s v="43222500, 43233200, 81111800, 81112200"/>
    <n v="10"/>
    <n v="12"/>
    <n v="0"/>
    <n v="48000000"/>
    <x v="0"/>
    <s v="04 - contratación mínima cuantí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285"/>
    <x v="2"/>
    <x v="9"/>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10"/>
    <n v="4"/>
    <n v="0"/>
    <n v="11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s v="O232020200883990 Otros servicios profesionales, técnicos y empresariales n.c.p."/>
    <s v="Si Secop "/>
  </r>
  <r>
    <n v="20241286"/>
    <x v="1"/>
    <x v="1"/>
    <s v="Omer Mauricio Rivera Ruiz"/>
    <s v="Prestación de servicios profesionales en el apoyo jurídico relacionado a la gestión contractual y administrativa de la subdirección Logística- SBLG, de acuerdo con los lineamientos internos de la UAECOB. "/>
    <s v="25 - contrato de prestacion de servicios profesionales"/>
    <n v="80111600"/>
    <n v="10"/>
    <n v="3"/>
    <n v="0"/>
    <n v="24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1287"/>
    <x v="1"/>
    <x v="1"/>
    <s v="Omer Mauricio Rivera Ruiz"/>
    <s v="Prestación de servicios profesionales para el control y seguimiento, de las actividades derivadas de la gestión contractual, en las etapas pre-contractual y post-contractual a cargo de la Subdirección Logística. SBLG."/>
    <s v="25 - contrato de prestacion de servicios profesionales"/>
    <n v="80111600"/>
    <n v="10"/>
    <n v="3"/>
    <n v="0"/>
    <n v="2553144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1288"/>
    <x v="1"/>
    <x v="1"/>
    <s v="Omer Mauricio Rivera Ruiz"/>
    <s v="Prestar servicios de apoyo a la gestión en actividades administrativas y documentales que se desarrollen en la Subdirección Logística – SBLG."/>
    <s v="26 - contrato de prestacion de servicios de apoyo a la gestion"/>
    <n v="80111600"/>
    <n v="10"/>
    <n v="3"/>
    <n v="0"/>
    <n v="1136856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1289"/>
    <x v="1"/>
    <x v="1"/>
    <s v="Omer Mauricio Rivera Ruiz"/>
    <s v=" Prestar servicios profesionales para apoyar la gestión financiera y presupuestal de los proyectos y planes a cargo de la Subdirección Logística - SBLG. "/>
    <s v="26 - contrato de prestacion de servicios de apoyo a la gestion"/>
    <n v="80111600"/>
    <n v="10"/>
    <n v="3"/>
    <n v="0"/>
    <n v="156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1290"/>
    <x v="1"/>
    <x v="1"/>
    <s v="Omer Mauricio Rivera Ruiz"/>
    <s v="Contrato de Prestación de servicios de apoyo a la gestión en actividades Técnicas, administrativas y documentales de la Subdirección Logística - SBLG "/>
    <s v="26 - contrato de prestacion de servicios de apoyo a la gestion"/>
    <n v="80111600"/>
    <n v="10"/>
    <n v="3"/>
    <n v="0"/>
    <n v="9987493"/>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1291"/>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10"/>
    <n v="3"/>
    <n v="15"/>
    <n v="97000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292"/>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10"/>
    <n v="3"/>
    <n v="15"/>
    <n v="97000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293"/>
    <x v="2"/>
    <x v="0"/>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n v="80111600"/>
    <n v="10"/>
    <n v="3"/>
    <n v="15"/>
    <n v="32465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294"/>
    <x v="2"/>
    <x v="0"/>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n v="80111600"/>
    <n v="10"/>
    <n v="3"/>
    <n v="15"/>
    <n v="220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295"/>
    <x v="2"/>
    <x v="0"/>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n v="80111600"/>
    <n v="10"/>
    <n v="3"/>
    <n v="15"/>
    <n v="289021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2199 Otros servicios jurídicos n.c.p."/>
    <s v="Si Secop "/>
  </r>
  <r>
    <n v="20241296"/>
    <x v="2"/>
    <x v="0"/>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n v="80111600"/>
    <n v="10"/>
    <n v="3"/>
    <n v="15"/>
    <n v="12669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297"/>
    <x v="1"/>
    <x v="1"/>
    <s v="Omer Mauricio Rivera Ruiz"/>
    <s v="Prestar servicios de apoyo a la gestión en el seguimiento, control y finalización del trámite de siniestros a cargo de la Subdirección Logística"/>
    <s v="26 - contrato de prestacion de servicios de apoyo a la gestion"/>
    <n v="80111600"/>
    <n v="10"/>
    <n v="3"/>
    <n v="0"/>
    <n v="12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1298"/>
    <x v="1"/>
    <x v="0"/>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n v="80111600"/>
    <n v="10"/>
    <n v="3"/>
    <n v="15"/>
    <n v="28902160"/>
    <x v="0"/>
    <s v="09 - contratación directa"/>
    <x v="19"/>
    <x v="1"/>
    <x v="1"/>
    <x v="1"/>
    <x v="5"/>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s v="O232020200883990 Otros servicios profesionales, técnicos y empresariales n.c.p."/>
    <s v="Si Secop "/>
  </r>
  <r>
    <n v="20241299"/>
    <x v="2"/>
    <x v="8"/>
    <s v="Paula Ximena Henao Escobar"/>
    <s v="Prestación de servicios de apoyo a la gestión en la Dirección para el acompañamiento en las labores administrativas en asuntos de Comunicaciones y Prensa de la UAECOB"/>
    <s v="26 - contrato de prestacion de servicios de apoyo a la gestion"/>
    <n v="80111600"/>
    <n v="10"/>
    <n v="3"/>
    <n v="0"/>
    <n v="75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Si Secop "/>
  </r>
  <r>
    <n v="20241300"/>
    <x v="1"/>
    <x v="11"/>
    <s v="José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10"/>
    <n v="3"/>
    <n v="15"/>
    <n v="24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301"/>
    <x v="2"/>
    <x v="0"/>
    <s v="Fatima Veronica Quintero Nuñez"/>
    <s v="Prestación de servicios de apoyo en las actividades asociadas a los procesos de almacén de la Subdirección de Gestión Corporativa SGC"/>
    <s v="26 - contrato de prestacion de servicios de apoyo a la gestion"/>
    <s v="80111600;"/>
    <n v="10"/>
    <n v="3"/>
    <n v="0"/>
    <n v="7205744"/>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304"/>
    <x v="1"/>
    <x v="1"/>
    <s v="Omer Mauricio Rivera Ruiz"/>
    <s v="Pago de pasivo exigible del contrato 513 de 2022"/>
    <s v="12 - resolucion"/>
    <s v="N/A"/>
    <n v="0"/>
    <n v="0"/>
    <n v="0"/>
    <n v="2383333"/>
    <x v="2"/>
    <s v="91 - n/a acto administrativo (resolución, decreto, acuerdo, etc.)"/>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No Secop"/>
  </r>
  <r>
    <n v="20241305"/>
    <x v="1"/>
    <x v="1"/>
    <s v="Omer Mauricio Rivera Ruiz"/>
    <s v="Contratar el mantenimiento y recarga de los extintores y otros elementos pertinentes  a la U.A.E. Cuerpo Oficial de Bomberos _x000a_de Bogotá. - SBLG"/>
    <s v="03 - contrato de prestacion de servicios"/>
    <s v="46191601_x000a_72101509"/>
    <n v="11"/>
    <n v="4"/>
    <n v="0"/>
    <n v="37916667"/>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1010030208 Otra maquinaria para usos especiales y sus partes y piezas"/>
    <s v="Si Secop "/>
  </r>
  <r>
    <n v="20241306"/>
    <x v="1"/>
    <x v="1"/>
    <s v="Omer Mauricio Rivera Ruiz"/>
    <s v="Prestación de servicios de apoyo a la gestión administrativa y documental, en lo concerniente al parque automotor a cargo de la Subdirección Logística - SBLG."/>
    <s v="26 - contrato de prestacion de servicios de apoyo a la gestion"/>
    <n v="80111600"/>
    <n v="11"/>
    <n v="2"/>
    <n v="15"/>
    <n v="7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1307"/>
    <x v="1"/>
    <x v="1"/>
    <s v="Omer Mauricio Rivera Ruiz"/>
    <s v="Adición y prorroga del contrato 434-24 cuyo objeto es: Prestación de servicios de apoyo a la gestión como  conductor para realizar el transporte de personas, materiales y alimentos de acuerdo a las necesidades e instrucciones de la Subdirección Logística"/>
    <s v="26 - contrato de prestacion de servicios de apoyo a la gestion"/>
    <n v="80111600"/>
    <n v="11"/>
    <n v="1"/>
    <n v="0"/>
    <n v="31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No Secop"/>
  </r>
  <r>
    <n v="20241308"/>
    <x v="1"/>
    <x v="1"/>
    <s v="Omer Mauricio Rivera Ruiz"/>
    <s v="Prestación de servicios profesionales administrativos en el seguimiento y control de los procesos y procedimientos de la Subdirección Logística incluyendo el sistema de Gestión ambiental de la Subdirección. -SBGL"/>
    <s v="25 - contrato de prestacion de servicios profesionales"/>
    <n v="80111600"/>
    <n v="11"/>
    <n v="2"/>
    <n v="15"/>
    <n v="1055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1309"/>
    <x v="1"/>
    <x v="1"/>
    <s v="Omer Mauricio Rivera Ruiz"/>
    <s v="Prestar servicios de apoyo a la gestión de la Subdirección Logística para la organización, clasificación, foliación, digitalización e indexación de los documentos elaborados y gestionados desde la subdirección  - SBLG"/>
    <s v="26 - contrato de prestacion de servicios de apoyo a la gestion"/>
    <n v="80111600"/>
    <n v="12"/>
    <n v="2"/>
    <n v="0"/>
    <n v="62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s v="O232020200883990 Otros servicios profesionales, técnicos y empresariales n.c.p."/>
    <s v="Si Secop "/>
  </r>
  <r>
    <n v="20241310"/>
    <x v="1"/>
    <x v="11"/>
    <s v="José Andres Ponce Caicedo"/>
    <s v="Adicion y prorroga contrato 248-2024 cuyo objeto es &quot;SGH - Prestar servicios profesionales para la implementación y seguimiento del sistema de gestión de seguridad y salud en el trabajo en la Subdirección de Gestión Humana&quot;."/>
    <s v="25 - contrato de prestacion de servicios profesionales"/>
    <n v="80111600"/>
    <n v="10"/>
    <n v="2"/>
    <n v="15"/>
    <n v="1503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No Secop"/>
  </r>
  <r>
    <n v="20241311"/>
    <x v="1"/>
    <x v="11"/>
    <s v="José Andres Ponce Caicedo"/>
    <s v="Adicion y prorroga contrato 230-2024 cuyo objeto es &quot;SGH - Prestar servicios de apoyo a la gestión en la Subdirección de Gestión Humana en las diferentes actividades logísticas relacionadas con  el proceso de Academia.&quot;."/>
    <s v="26 - contrato de prestacion de servicios de apoyo a la gestion"/>
    <n v="80111600"/>
    <n v="10"/>
    <n v="3"/>
    <n v="0"/>
    <n v="777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No Secop"/>
  </r>
  <r>
    <n v="20241312"/>
    <x v="1"/>
    <x v="11"/>
    <s v="José Andres Ponce Caicedo"/>
    <s v="Adicion y prorroga contrato 146-2024 cuyo objeto es &quot;SGH - Prestar servicios profesionales para la implementación y seguimiento del sistema de gestión de seguridad y salud en el trabajo en la Subdirección de Gestión Humana&quot;."/>
    <s v="25 - contrato de prestacion de servicios profesionales"/>
    <n v="80111600"/>
    <n v="10"/>
    <n v="2"/>
    <n v="15"/>
    <n v="13425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No Secop"/>
  </r>
  <r>
    <n v="20241313"/>
    <x v="1"/>
    <x v="11"/>
    <s v="José Andres Ponce Caicedo"/>
    <s v="SGH - Prestar sus servicios profesionales en la gestión contractual y presupuestal de la Subdirección de Gestión Humana de la UAE Cuerpo Oficial de Bomberos."/>
    <s v="25 - contrato de prestacion de servicios profesionales"/>
    <n v="80111600"/>
    <n v="7"/>
    <n v="2"/>
    <n v="15"/>
    <n v="10887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314"/>
    <x v="1"/>
    <x v="11"/>
    <s v="José Andres Ponce Caicedo"/>
    <s v="Adicion y prorroga contrato 584-2024 cuyo objeto es &quot;SGH - Prestar servicios profesionales especializados en el desarrollo de las actividades y de los diferentes procesos que tiene a cargo la Subdirección de Gestión Humana de la UAE Cuerpo Oficial de Bomberos de Bogotá&quot;."/>
    <s v="25 - contrato de prestacion de servicios profesionales"/>
    <n v="80111600"/>
    <n v="10"/>
    <n v="2"/>
    <n v="15"/>
    <n v="112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No Secop"/>
  </r>
  <r>
    <n v="20241315"/>
    <x v="1"/>
    <x v="11"/>
    <s v="José Andres Ponce Caicedo"/>
    <s v="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
    <s v="25 - contrato de prestacion de servicios profesionales"/>
    <n v="80111600"/>
    <n v="11"/>
    <n v="3"/>
    <n v="0"/>
    <n v="15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s v="O232020200883990 Otros servicios profesionales, técnicos y empresariales n.c.p."/>
    <s v="Si Secop "/>
  </r>
  <r>
    <n v="20241316"/>
    <x v="2"/>
    <x v="10"/>
    <s v="Monica Perez Barragan"/>
    <s v="Adición y prórroga al contrato 569 de 2024 cuyo objeto es: &quot;Prestación de servicios profesionales jurídicos para orientar y apoyar el trámite y la gestión de los procesos disciplinarios que se adelanten en la Oficina Jurídica de la Unidad Administrativa Especial Cuerpo Oficial de Bomberos Bogotá&quot;"/>
    <s v="25 - contrato de prestacion de servicios profesionales"/>
    <n v="80111600"/>
    <n v="12"/>
    <n v="1"/>
    <n v="0"/>
    <n v="7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317"/>
    <x v="2"/>
    <x v="10"/>
    <s v="Monica Perez Barragan"/>
    <s v="Adición y prórroga al contrato 471 de 2024 cuyo objeto es: &quot;Prestar servicios profesionales para apoyar las diferentes actuaciones jurídicas que adelanta la UAECOB&quot;"/>
    <s v="25 - contrato de prestacion de servicios profesionales"/>
    <n v="80111600"/>
    <n v="12"/>
    <n v="1"/>
    <n v="25"/>
    <n v="705833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318"/>
    <x v="2"/>
    <x v="10"/>
    <s v="Monica Perez Barragan"/>
    <s v="Adición y prórroga al contrato 596 de 2024 cuyo objeto es: &quot;Prestar los servicios profesionales para realizar el acompañamiento administrativo y financiero en temas de liquidación y cierre de expedientes, como demás actuaciones administrativas requeridas de los procesos contractuales&quot;"/>
    <s v="25 - contrato de prestacion de servicios profesionales"/>
    <n v="80111600"/>
    <n v="12"/>
    <n v="1"/>
    <n v="15"/>
    <n v="11775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319"/>
    <x v="2"/>
    <x v="10"/>
    <s v="Monica Perez Barragan"/>
    <s v="Adición y prórroga al contrato 467 de 2024 cuyo objeto es: &quot;Prestar los servicios profesionales jurídicos especializados para la verificación de la legalidad contractual en el desarrollo de las funciones de la Oficina Jurídica&quot;"/>
    <s v="25 - contrato de prestacion de servicios profesionales"/>
    <n v="80111600"/>
    <n v="12"/>
    <n v="2"/>
    <n v="0"/>
    <n v="1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320"/>
    <x v="2"/>
    <x v="10"/>
    <s v="Monica Perez Barragan"/>
    <s v="Adición y prórroga al contrato 385 de 2024 cuto objeto es: &quot;Prestar los servicios profesionales jurídicos para apoyar las actuaciones procesales y procedimentales de la Oficina Jurídica&quot;"/>
    <s v="25 - contrato de prestacion de servicios profesionales"/>
    <n v="80111600"/>
    <n v="11"/>
    <n v="3"/>
    <n v="0"/>
    <n v="195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321"/>
    <x v="1"/>
    <x v="3"/>
    <s v="William Alfonso Tovar Segura"/>
    <s v="ADICION Y PRORROGA CTO 399-2024,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1"/>
    <n v="1"/>
    <n v="0"/>
    <n v="95000000"/>
    <x v="0"/>
    <s v="02 - selec. abrev. menor cuantí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s v="O232020200883990 Otros servicios profesionales, técnicos y empresariales n.c.p."/>
    <s v="No Secop"/>
  </r>
  <r>
    <n v="20241322"/>
    <x v="1"/>
    <x v="3"/>
    <s v="William Alfonso Tovar Segura"/>
    <s v="ADICION Y PRORROGA CTO 422-2024,Prestar servicios profesionales en los procesos de formacion y capacitacion de la subdirección de gestión del riesgo._SGR"/>
    <s v="25 - contrato de prestacion de servicios profesionales"/>
    <n v="80111600"/>
    <n v="12"/>
    <n v="0"/>
    <n v="15"/>
    <n v="3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s v="O232020200883990 Otros servicios profesionales, técnicos y empresariales n.c.p."/>
    <s v="No Secop"/>
  </r>
  <r>
    <n v="20241323"/>
    <x v="1"/>
    <x v="3"/>
    <s v="William Alfonso Tovar Segura"/>
    <s v="ADICION Y PRORROGA CTO 456-2024, Prestar servicios de apoyo en las actividades de Programas y Campañas de Prevención para la Subdirección de Gestión del Riesgo.  "/>
    <s v="26 - contrato de prestacion de servicios de apoyo a la gestion"/>
    <n v="80111600"/>
    <n v="12"/>
    <n v="1"/>
    <n v="0"/>
    <n v="25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s v="O232020200883990 Otros servicios profesionales, técnicos y empresariales n.c.p."/>
    <s v="No Secop"/>
  </r>
  <r>
    <n v="20241324"/>
    <x v="1"/>
    <x v="3"/>
    <s v="William Alfonso Tovar Segura"/>
    <s v="ADICION Y PRORROGA CTO 547-2024, Prestar sus servicios profesionales en los procesos de formación y capacitación de la Subdirección de Gestión del Riesgo para las acciones derivadas del campus virtual. _SGR. "/>
    <s v="25 - contrato de prestacion de servicios profesionales"/>
    <n v="80111600"/>
    <n v="1"/>
    <n v="1"/>
    <n v="0"/>
    <n v="72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s v="O232020200883990 Otros servicios profesionales, técnicos y empresariales n.c.p."/>
    <s v="No Secop"/>
  </r>
  <r>
    <n v="20241325"/>
    <x v="1"/>
    <x v="3"/>
    <s v="William Alfonso Tovar Segura"/>
    <s v="ADICION Y PRORROGA CTO 576-2024, Prestar sus servicios profesionales en las actividades relacionadas con el seguimiento a la emision de conceptos a cargo de la Subdirección de Gestión del Riesgo._SGR"/>
    <s v="25 - contrato de prestacion de servicios profesionales"/>
    <n v="80111600"/>
    <n v="1"/>
    <n v="1"/>
    <n v="0"/>
    <n v="6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s v="O232020200883990 Otros servicios profesionales, técnicos y empresariales n.c.p."/>
    <s v="No Secop"/>
  </r>
  <r>
    <n v="20241326"/>
    <x v="1"/>
    <x v="3"/>
    <s v="William Alfonso Tovar Segura"/>
    <s v="ADICION Y PRORROGA CTO 559-2024, Prestar  servicios profesionales en las actividades de proyeccion e innovacion para la Subdirección de Gestión del Riesgo._SGR "/>
    <s v="25 - contrato de prestacion de servicios profesionales"/>
    <n v="80111600"/>
    <n v="1"/>
    <n v="1"/>
    <n v="0"/>
    <n v="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No Secop"/>
  </r>
  <r>
    <n v="20241327"/>
    <x v="1"/>
    <x v="3"/>
    <s v="William Alfonso Tovar Segura"/>
    <s v="ADICION Y PRORROGA CTO 465-2024,Prestar servicios técnicos administrativos apoyando a la Subdirección de Gestión del Riesgo con lo relacionado al seguimiento y control de sus solicitudes y peticiones._SGR _x000a_"/>
    <s v="26 - contrato de prestacion de servicios de apoyo a la gestion"/>
    <n v="80111600"/>
    <n v="12"/>
    <n v="1"/>
    <n v="0"/>
    <n v="3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s v="O232020200883990 Otros servicios profesionales, técnicos y empresariales n.c.p."/>
    <s v="No Secop"/>
  </r>
  <r>
    <n v="20241328"/>
    <x v="1"/>
    <x v="3"/>
    <s v="William Alfonso Tovar Segura"/>
    <s v="ADICION Y PRORROGA CTO 464-2024, Prestar servicios profesionales para la gestión de la SGR, en el desarrollo de actividades de planeación y gestión._SGR"/>
    <s v="25 - contrato de prestacion de servicios profesionales"/>
    <n v="80111600"/>
    <n v="12"/>
    <n v="1"/>
    <n v="0"/>
    <n v="4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s v="O232020200883990 Otros servicios profesionales, técnicos y empresariales n.c.p."/>
    <s v="No Secop"/>
  </r>
  <r>
    <n v="20241329"/>
    <x v="1"/>
    <x v="3"/>
    <s v="William Alfonso Tovar Segura"/>
    <s v="ADICION Y PRORROGA CTO 404-2024, Prestar servicios profesionales para la gestión de la SGR, estructurando el seguimiento de los procesos contractuales y demás aspectos jurídicos._SGR"/>
    <s v="25 - contrato de prestacion de servicios profesionales"/>
    <n v="80111600"/>
    <n v="11"/>
    <n v="2"/>
    <n v="0"/>
    <n v="87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s v="O232020200883990 Otros servicios profesionales, técnicos y empresariales n.c.p."/>
    <s v="No Secop"/>
  </r>
  <r>
    <n v="20241330"/>
    <x v="1"/>
    <x v="3"/>
    <s v="William Alfonso Tovar Segura"/>
    <s v="ADICION Y PRORROGA CTO 601-2024, Prestar servicios profesionales para la gestión de la SGR, estructurando el seguimiento de los procesos contractuales y demás aspectos jurídicos._SGR"/>
    <s v="25 - contrato de prestacion de servicios profesionales"/>
    <n v="80111600"/>
    <n v="12"/>
    <n v="1"/>
    <n v="0"/>
    <n v="5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s v="O232020200883990 Otros servicios profesionales, técnicos y empresariales n.c.p."/>
    <s v="No Secop"/>
  </r>
  <r>
    <n v="20241331"/>
    <x v="1"/>
    <x v="3"/>
    <s v="William Alfonso Tovar Segura"/>
    <s v="ADICION Y PRORROGA CTO 201-2024, Prestar servicios profesionales a la Subdirección de Gestión del Riesgo coordinando las actividades del proceso de Conocimiento del Riesgo._SGR"/>
    <s v="25 - contrato de prestacion de servicios profesionales"/>
    <n v="80111600"/>
    <n v="12"/>
    <n v="1"/>
    <n v="0"/>
    <n v="9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s v="O232020200883990 Otros servicios profesionales, técnicos y empresariales n.c.p."/>
    <s v="No Secop"/>
  </r>
  <r>
    <n v="20241332"/>
    <x v="1"/>
    <x v="3"/>
    <s v="William Alfonso Tovar Segura"/>
    <s v="ADICION Y PRORROGA CTO 369-2024, Prestar servicios profesionales en las actividades de análisis de información de escenarios a cargo de la subdirección de Gestión del Riesgo SGR”."/>
    <s v="25 - contrato de prestacion de servicios profesionales"/>
    <n v="80111600"/>
    <n v="12"/>
    <n v="1"/>
    <n v="0"/>
    <n v="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No Secop"/>
  </r>
  <r>
    <n v="20241333"/>
    <x v="1"/>
    <x v="3"/>
    <s v="William Alfonso Tovar Segura"/>
    <s v="ADICION Y PRORROGA CTO 341-2024, Prestar servicios de apoyo a la gestion en las actividades de monitoreo del riesgo para la Subdirección de Gestión del Riesgo._SGR"/>
    <s v="26 - contrato de prestacion de servicios de apoyo a la gestion"/>
    <n v="80111600"/>
    <n v="12"/>
    <n v="1"/>
    <n v="0"/>
    <n v="25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No Secop"/>
  </r>
  <r>
    <n v="20241334"/>
    <x v="1"/>
    <x v="3"/>
    <s v="William Alfonso Tovar Segura"/>
    <s v="ADICION Y PRORROGA CTO 338-2024, Prestar servicios de apoyo a la gestion en las actividades de monitoreo del riesgo para la Subdirección de Gestión del Riesgo._SGR"/>
    <s v="26 - contrato de prestacion de servicios de apoyo a la gestion"/>
    <n v="80111600"/>
    <n v="12"/>
    <n v="1"/>
    <n v="0"/>
    <n v="25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No Secop"/>
  </r>
  <r>
    <n v="20241335"/>
    <x v="1"/>
    <x v="3"/>
    <s v="William Alfonso Tovar Segura"/>
    <s v="ADICION Y PRORROGA CTO 367-2024, Prestar servicios de apoyo a la gestión en las actividades de soporte operacional de la UAECOB._SGR"/>
    <s v="26 - contrato de prestacion de servicios de apoyo a la gestion"/>
    <n v="80111600"/>
    <n v="1"/>
    <n v="1"/>
    <n v="0"/>
    <n v="3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No Secop"/>
  </r>
  <r>
    <n v="20241336"/>
    <x v="1"/>
    <x v="3"/>
    <s v="William Alfonso Tovar Segura"/>
    <s v="Prestar servicios de apoyo a la gestión en las actividades de soporte operacional de la UAECOB._SGR"/>
    <s v="26 - contrato de prestacion de servicios de apoyo a la gestion"/>
    <n v="80111600"/>
    <n v="11"/>
    <n v="3"/>
    <n v="0"/>
    <n v="9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s v="O232020200883990 Otros servicios profesionales, técnicos y empresariales n.c.p."/>
    <s v="Si Secop "/>
  </r>
  <r>
    <n v="20241337"/>
    <x v="1"/>
    <x v="3"/>
    <s v="William Alfonso Tovar Segura"/>
    <s v="Prestar servicios de apoyo en las actividades de Programas y Campañas de Prevención para la Subdirección de Gestión del Riesgo.SGR "/>
    <s v="26 - contrato de prestacion de servicios de apoyo a la gestion"/>
    <n v="80111600"/>
    <n v="11"/>
    <n v="3"/>
    <n v="0"/>
    <n v="794346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s v="O232020200883990 Otros servicios profesionales, técnicos y empresariales n.c.p."/>
    <s v="Si Secop "/>
  </r>
  <r>
    <n v="20241338"/>
    <x v="0"/>
    <x v="0"/>
    <s v="Fatima Veronica Quintero Nuñez"/>
    <s v="Adición y prórroga No. 1 al contrato 395 de 2024 que tiene como objeto“Suministro de insumos para las impresoras de las dependencias de la UAE Cuerpo Oficial de Bomberos.-SGC."/>
    <s v="08 - contrato de suministro"/>
    <s v="44103100;44103101;44103103;44103105;44103106;44103108;44103110;44103111;55101500;"/>
    <n v="10"/>
    <n v="1"/>
    <n v="0"/>
    <n v="80000000"/>
    <x v="0"/>
    <s v="03 - selec. abrev. subasta inversa"/>
    <x v="0"/>
    <x v="0"/>
    <x v="0"/>
    <x v="0"/>
    <x v="0"/>
    <s v="N/A"/>
    <s v="N/A-N/A"/>
    <x v="0"/>
    <s v="N/A"/>
    <s v="N/A_N/A"/>
    <s v="N/A-N/A N/A_N/A"/>
    <x v="0"/>
    <x v="0"/>
    <s v="No Aplica"/>
    <s v="No Secop"/>
  </r>
  <r>
    <n v="20241339"/>
    <x v="2"/>
    <x v="0"/>
    <s v="Fatima Veronica Quintero Nuñez"/>
    <s v="Prestación de servicios profesionales para atender las actividades financieras, a cargo de la Subdirección de Gestión Corporativa-SGC"/>
    <s v="25 - contrato de prestacion de servicios profesionales"/>
    <s v="80111600;"/>
    <n v="10"/>
    <n v="3"/>
    <n v="0"/>
    <n v="1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340"/>
    <x v="2"/>
    <x v="0"/>
    <s v="Fatima Veronica Quintero Nuñez"/>
    <s v="Prestación de servicios de apoyo a la gestión de los procesos contractuales en la plataforma SECOP II a cargo de la Subdirección de Gestión Corporativa-SGC"/>
    <s v="26 - contrato de prestacion de servicios de apoyo a la gestion"/>
    <s v="80111600;"/>
    <n v="10"/>
    <n v="3"/>
    <n v="0"/>
    <n v="9234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341"/>
    <x v="2"/>
    <x v="0"/>
    <s v="Fatima Veronica Quintero Nuñez"/>
    <s v="Prestación de servicios profesionales en el marco de las actividades administrativas de la Subdirección de Gestión Corporativa--SGC"/>
    <s v="25 - contrato de prestacion de servicios profesionales"/>
    <s v="80111600;"/>
    <n v="10"/>
    <n v="3"/>
    <n v="0"/>
    <n v="167073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342"/>
    <x v="2"/>
    <x v="0"/>
    <s v="Fatima Veronica Quintero Nuñez"/>
    <s v="Prestar los servicios profesionales de la gestión administrativa, así como la adquisición de bienes y servicios de la Subdirección de Gestión Corporativa  SGC"/>
    <s v="25 - contrato de prestacion de servicios profesionales"/>
    <s v="80111600;"/>
    <n v="10"/>
    <n v="3"/>
    <n v="0"/>
    <n v="121653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Si Secop "/>
  </r>
  <r>
    <n v="20241343"/>
    <x v="1"/>
    <x v="0"/>
    <s v="Fatima Veronica Quintero Nuñez"/>
    <s v="Prestar servicios profesionales para realizar acompañamiento en los procesos contractuales adelantados por la Subdirección Gestión Corporativa -SGC"/>
    <s v="25 - contrato de prestacion de servicios profesionales"/>
    <n v="80111600"/>
    <n v="10"/>
    <n v="3"/>
    <n v="0"/>
    <n v="15000000"/>
    <x v="0"/>
    <s v="09 - contratación directa"/>
    <x v="19"/>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s v="O232020200883990 Otros servicios profesionales, técnicos y empresariales n.c.p."/>
    <s v="Si Secop "/>
  </r>
  <r>
    <n v="20241344"/>
    <x v="1"/>
    <x v="0"/>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n v="80111600"/>
    <n v="10"/>
    <n v="3"/>
    <n v="0"/>
    <n v="18000000"/>
    <x v="0"/>
    <s v="09 - contratación directa"/>
    <x v="14"/>
    <x v="1"/>
    <x v="1"/>
    <x v="1"/>
    <x v="5"/>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s v="O232020200882199 Otros servicios jurídicos n.c.p."/>
    <s v="Si Secop "/>
  </r>
  <r>
    <n v="20241345"/>
    <x v="1"/>
    <x v="0"/>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n v="80111600"/>
    <n v="10"/>
    <n v="3"/>
    <n v="0"/>
    <n v="18000000"/>
    <x v="0"/>
    <s v="09 - contratación directa"/>
    <x v="16"/>
    <x v="1"/>
    <x v="1"/>
    <x v="1"/>
    <x v="5"/>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s v="O232020200883990 Otros servicios profesionales, técnicos y empresariales n.c.p."/>
    <s v="Si Secop "/>
  </r>
  <r>
    <n v="20241346"/>
    <x v="0"/>
    <x v="0"/>
    <s v="Fatima Veronica Quintero Nuñez"/>
    <s v="Prestación de servicios profesionales para atender los proceso y procedimientos a cargo del área Financiera de la Subdirección de Gestión Corporativa-SGC"/>
    <s v="25 - contrato de prestacion de servicios profesionales"/>
    <s v="80111600;"/>
    <n v="8"/>
    <n v="3"/>
    <n v="0"/>
    <n v="18664800"/>
    <x v="0"/>
    <s v="09 - contratación directa"/>
    <x v="0"/>
    <x v="0"/>
    <x v="0"/>
    <x v="0"/>
    <x v="0"/>
    <s v="N/A"/>
    <s v="N/A-N/A"/>
    <x v="0"/>
    <s v="N/A"/>
    <s v="N/A_N/A"/>
    <s v="N/A-N/A N/A_N/A"/>
    <x v="0"/>
    <x v="0"/>
    <s v="No Aplica"/>
    <s v="Si Secop "/>
  </r>
  <r>
    <n v="20241347"/>
    <x v="2"/>
    <x v="6"/>
    <s v="Jaime Hernando Arias Patiño"/>
    <s v=" Adición y prorroga al contrato 419 de 2024 &quot;Prestar los servicios profesionales como abogado en la Oficina de Control Interno para el desarrollo del Plan Anual de Auditorías.&quot;"/>
    <s v="25 - contrato de prestacion de servicios profesionales"/>
    <n v="80111600"/>
    <n v="1"/>
    <n v="0"/>
    <n v="10"/>
    <n v="243333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348"/>
    <x v="2"/>
    <x v="6"/>
    <s v="Jaime Hernando Arias Patiño"/>
    <s v="Adición y prorroga al contrato 424 de 2024 &quot;Prestar los servicios profesionales  en la Oficina de Control Interno para el desarrollo del Plan Anual de Auditorías.&quot;"/>
    <s v="25 - contrato de prestacion de servicios profesionales"/>
    <n v="80111600"/>
    <n v="2"/>
    <n v="0"/>
    <n v="15"/>
    <n v="36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349"/>
    <x v="2"/>
    <x v="6"/>
    <s v="Jaime Hernando Arias Patiño"/>
    <s v=" Adición y prorroga al contrato 448 de 2024 &quot;Prestar servicios de apoyo a la gestión como técnico en la Oficina de Control Interno para ejecutar procesos y procedimientos administrativos y asistenciales teniendo en cuenta el Plan Anual de Auditorías.&quot;"/>
    <s v="26 - contrato de prestacion de servicios de apoyo a la gestion"/>
    <n v="80111600"/>
    <n v="1"/>
    <n v="0"/>
    <n v="6"/>
    <n v="730008"/>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350"/>
    <x v="2"/>
    <x v="2"/>
    <s v="Paula Ximena Henao Escobar"/>
    <s v="Adición y prórroga al contrato 343 del 2024 cuyo objeto es la &quot; Contratar el alquiler de equipos tecnológicos, periféricos y servicios complementarios para la U.A.E. Cuerpo Oficial de Bomberos de Bogotá. - TIC&quot;"/>
    <s v="23 - contrato de alquiler"/>
    <n v="81112401"/>
    <n v="12"/>
    <n v="2"/>
    <n v="0"/>
    <n v="152336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159 Otros servicios de alojamiento y suministro de infraestructura en tecnología de la información (TI)"/>
    <s v="No Secop"/>
  </r>
  <r>
    <n v="20241351"/>
    <x v="2"/>
    <x v="2"/>
    <s v="Paula Ximena Henao Escobar"/>
    <s v="Adición y prórroga al contrato 347 del 2024 cuyo objeto es la &quot; Contratar el alquiler de equipos tecnológicos, periféricos y servicios complementarios para la U.A.E. Cuerpo Oficial de Bomberos de Bogotá. - TIC&quot;"/>
    <s v="23 - contrato de alquiler"/>
    <n v="81112401"/>
    <n v="12"/>
    <n v="2"/>
    <n v="0"/>
    <n v="15670454"/>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159 Otros servicios de alojamiento y suministro de infraestructura en tecnología de la información (TI)"/>
    <s v="No Secop"/>
  </r>
  <r>
    <n v="20241352"/>
    <x v="2"/>
    <x v="2"/>
    <s v="Paula Ximena Henao Escobar"/>
    <s v="Contratar el servicio de soporte y mantenimiento del sistema de control de acceso para los visitantes y los funcionarios de la U.A.E. Cuerpo Oficial Bomberos de Bogotá"/>
    <s v="24 - contrato de servicio"/>
    <n v="46171619"/>
    <n v="10"/>
    <n v="7"/>
    <n v="0"/>
    <n v="42000000"/>
    <x v="0"/>
    <s v="04 - contratación mínima cuantí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132 Servicios de soporte en tecnologías de la información (TI)"/>
    <s v="Si Secop "/>
  </r>
  <r>
    <n v="20241353"/>
    <x v="2"/>
    <x v="2"/>
    <s v="Paula Ximena Henao Escobar"/>
    <s v="Contratar la adquisición de monitores curvos y diademas para el fortalecimiento de la infraestructura tecnológica en la atención y gestión de las operaciones de emergencia, que se coordinan en la Central de Coordinación y Comunicaciones de la UAE Cuerpo Oficial de Bomberos de Bogotá."/>
    <s v="24 - contrato de servicio"/>
    <n v="46171619"/>
    <n v="10"/>
    <n v="2"/>
    <n v="0"/>
    <n v="45047000"/>
    <x v="0"/>
    <s v="17 - acuerdo marco de precios"/>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132 Servicios de soporte en tecnologías de la información (TI)"/>
    <s v="Si Secop "/>
  </r>
  <r>
    <n v="20241354"/>
    <x v="2"/>
    <x v="2"/>
    <s v="Paula Ximena Henao Escobar"/>
    <s v="Adquisición de elementos tecnológicos especializados para fortalecer las capacidades del área de comunicaciones y prensa de la UAE Cuerpo Oficial de Bomberos de Bogotá - TIC. "/>
    <s v="24 - contrato de servicio"/>
    <n v="46171619"/>
    <n v="10"/>
    <n v="2"/>
    <n v="0"/>
    <n v="40413000"/>
    <x v="0"/>
    <s v="17 - acuerdo marco de precios"/>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132 Servicios de soporte en tecnologías de la información (TI)"/>
    <s v="Si Secop "/>
  </r>
  <r>
    <n v="20241355"/>
    <x v="2"/>
    <x v="2"/>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35376000"/>
    <x v="0"/>
    <s v="17 - acuerdo marco de precios"/>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132 Servicios de soporte en tecnologías de la información (TI)"/>
    <s v="Si Secop "/>
  </r>
  <r>
    <n v="20241356"/>
    <x v="2"/>
    <x v="2"/>
    <s v="Paula Ximena Henao Escobar"/>
    <s v="Contratar la adquisición de dispositivos para el fortalecimiento y modernización de la infraestructura tecnológica de la U.A.E. Cuerpo Oficial de Bomberos de Bogotá."/>
    <s v="24 - contrato de servicio"/>
    <s v="43211500, 43211503, 43211507, 43211509, 43211619"/>
    <n v="10"/>
    <n v="2"/>
    <n v="0"/>
    <n v="1219316067"/>
    <x v="0"/>
    <s v="17 - acuerdo marco de precios"/>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132 Servicios de soporte en tecnologías de la información (TI)"/>
    <s v="Si Secop "/>
  </r>
  <r>
    <n v="20241357"/>
    <x v="2"/>
    <x v="2"/>
    <s v="Paula Ximena Henao Escobar"/>
    <s v="Contratar  la prestacion de servicios de apoyo a la coordinación en los procesos de análisis, levantamiento de información, parametrización, diseño y testeo de las herramientas tecnológicas desarrolladas para el funcionamiento de la U.A.E. Cuerpo Oficial de Bomberos de Bogotá - TIC"/>
    <s v="26 - contrato de prestacion de servicios de apoyo a la gestion"/>
    <n v="80111600"/>
    <n v="11"/>
    <n v="3"/>
    <n v="0"/>
    <n v="111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358"/>
    <x v="2"/>
    <x v="2"/>
    <s v="Paula Ximena Henao Escobar"/>
    <s v="Prestar servicios profesionales para el desarrollo de herramientas de colaboración alineadas a los procesos misionales de la U.A.E. Cuerpo Oficial de Bomberos de Bogotá - TIC"/>
    <s v="25 - contrato de prestacion de servicios profesionales"/>
    <n v="80111600"/>
    <n v="11"/>
    <n v="3"/>
    <n v="0"/>
    <n v="21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359"/>
    <x v="2"/>
    <x v="2"/>
    <s v="Paula Ximena Henao Escobar"/>
    <s v="Prestar servicios profesionales para el desarrollo de los sistemas de información alineados a los procesos misionales de la U.A.E. Cuerpo Oficial de Bomberos de Bogotá - TIC"/>
    <s v="25 - contrato de prestacion de servicios profesionales"/>
    <n v="80111600"/>
    <n v="11"/>
    <n v="3"/>
    <n v="0"/>
    <n v="21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s v="O232020200883990 Otros servicios profesionales, técnicos y empresariales n.c.p."/>
    <s v="Si Secop "/>
  </r>
  <r>
    <n v="20241360"/>
    <x v="2"/>
    <x v="7"/>
    <s v="Paula Ximena Henao Escobar"/>
    <s v="Adición y prórroga del contrato 247-2024 con objeto &quot;Prestar servicios profesionales jurídicos en el desarrollo de las actividades y de los diferentes procesos de la Dirección General de la UAE Cuerpo Oficial de Bomberos de Bogotá&quot;"/>
    <s v="25 - contrato de prestacion de servicios profesionales"/>
    <n v="80111600"/>
    <n v="12"/>
    <n v="0"/>
    <n v="24"/>
    <n v="744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361"/>
    <x v="2"/>
    <x v="7"/>
    <s v="Paula Ximena Henao Escobar"/>
    <s v="Adición y prórroga del contrato 284-2024 con objeto &quot;Prestación de servicios profesionales para acompañar a la Dirección en la estructuración de fichas técnicas y en la identificación de necesidades técnicas que requiere suplir la UAE Cuerpo Oficial de Bomberos de Bogotá&quot;"/>
    <s v="25 - contrato de prestacion de servicios profesionales"/>
    <n v="80111600"/>
    <n v="11"/>
    <n v="2"/>
    <n v="0"/>
    <n v="1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362"/>
    <x v="2"/>
    <x v="7"/>
    <s v="Paula Ximena Henao Escobar"/>
    <s v="Adición y prórroga del contrato 655-2024 con objeto &quot;Prestar servicios profesionales a la Dirección General en actividades de articulación interinstitucional entre las diferentes dependencias, entidades del sector, y demás que estén relacionadas con la misionalidad de la UAECOB&quot;"/>
    <s v="25 - contrato de prestacion de servicios profesionales"/>
    <n v="80111600"/>
    <n v="12"/>
    <n v="0"/>
    <n v="25"/>
    <n v="56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363"/>
    <x v="2"/>
    <x v="7"/>
    <s v="Paula Ximena Henao Escobar"/>
    <s v="Adición y prórroga del contrato 405-2024 con objeto &quot;Prestación de servicios profesionales jurídicos en virtud de las funciones asignadas a la Dirección General de la UAECOB, para apoyar los procesos contractuales y actividades administrativas requeridas.&quot;"/>
    <s v="25 - contrato de prestacion de servicios profesionales"/>
    <n v="80111600"/>
    <n v="12"/>
    <n v="1"/>
    <n v="9"/>
    <n v="546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364"/>
    <x v="2"/>
    <x v="7"/>
    <s v="Paula Ximena Henao Escobar"/>
    <s v="Adición y prórroga del contrato 441-2024 con objeto &quo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quot;"/>
    <s v="25 - contrato de prestacion de servicios profesionales"/>
    <n v="80111600"/>
    <n v="12"/>
    <n v="1"/>
    <n v="17"/>
    <n v="658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365"/>
    <x v="2"/>
    <x v="7"/>
    <s v="Paula Ximena Henao Escobar"/>
    <s v="Adición y prórroga del contrato 443-2024 con objeto &quot;Prestar servicios de apoyo a la gestión en la UAECOB, en asuntos administrativos y asistenciales requeridos, especificamente en el seguimiento de la información.&quot;"/>
    <s v="26 - contrato de prestacion de servicios de apoyo a la gestion"/>
    <n v="80111600"/>
    <n v="12"/>
    <n v="1"/>
    <n v="16"/>
    <n v="5596666"/>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s v="O232020200883990 Otros servicios profesionales, técnicos y empresariales n.c.p."/>
    <s v="No Secop"/>
  </r>
  <r>
    <n v="20241366"/>
    <x v="2"/>
    <x v="8"/>
    <s v="Paula Ximena Henao Escobar"/>
    <s v="Adición y prórroga del contrato 420-2024 con objeto &quot;Prestar servicios profesionales especializados en la Dirección General de la UAECOB en la organización y liderazgo de los asuntos relacionados con comunicaciones de conformidad a la misionalidad de la entidad.&quot;"/>
    <s v="25 - contrato de prestacion de servicios profesionales"/>
    <n v="80111600"/>
    <n v="12"/>
    <n v="1"/>
    <n v="0"/>
    <n v="96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No Secop"/>
  </r>
  <r>
    <n v="20241367"/>
    <x v="2"/>
    <x v="8"/>
    <s v="Paula Ximena Henao Escobar"/>
    <s v="Adición y prórroga del contrato 496-2024 con objeto &quot;Prestación de servicios profesionales para apoyar a la Dirección en la elaboración, diseño y diagramación de piezas requeridas para los planes, programas, proyectos y procedimientos&quot;"/>
    <s v="25 - contrato de prestacion de servicios profesionales"/>
    <n v="80111600"/>
    <n v="12"/>
    <n v="1"/>
    <n v="4"/>
    <n v="56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No Secop"/>
  </r>
  <r>
    <n v="20241368"/>
    <x v="2"/>
    <x v="8"/>
    <s v="Paula Ximena Henao Escobar"/>
    <s v="Adición y prórroga del contrato 436-2024 con objeto &quot;Prestar servicios profesionales para apoyar el desarrollo de estrategias de la dirección general, en asuntos relacionados con comunicaciones y prensa, encaminadas al posicionamiento, imagen y divulgación corporativa de la entidad y dirigidas a sus públicos internos&quot;"/>
    <s v="25 - contrato de prestacion de servicios profesionales"/>
    <n v="80111600"/>
    <n v="12"/>
    <n v="0"/>
    <n v="17.000001428571426"/>
    <n v="39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No Secop"/>
  </r>
  <r>
    <n v="20241369"/>
    <x v="2"/>
    <x v="8"/>
    <s v="Paula Ximena Henao Escobar"/>
    <s v="Adición y prórroga del contrato 561-2024 con objeto &quot;Prestación de servicios profesionales en asuntos de comunicaciones y prensa para apoyar la divulgación y socialización de la información relacionada con la misionalidad de la UAECOB de manera interna y externa&quot;"/>
    <s v="25 - contrato de prestacion de servicios profesionales"/>
    <n v="80111600"/>
    <n v="12"/>
    <n v="0"/>
    <n v="25.000002000000002"/>
    <n v="41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No Secop"/>
  </r>
  <r>
    <n v="20241370"/>
    <x v="2"/>
    <x v="8"/>
    <s v="Paula Ximena Henao Escobar"/>
    <s v="Adición y prórroga del contrato 552-2024 con objeto &quot;Prestación de servicios profesionales en la Dirección en comunicaciones y prensa, para apoyar la difusión de la información al público interno y externo de la UAECOB.&quot;"/>
    <s v="25 - contrato de prestacion de servicios profesionales"/>
    <n v="80111600"/>
    <n v="12"/>
    <n v="0"/>
    <n v="22.000002000000002"/>
    <n v="36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No Secop"/>
  </r>
  <r>
    <n v="20241371"/>
    <x v="2"/>
    <x v="8"/>
    <s v="Paula Ximena Henao Escobar"/>
    <s v="Adición y prórroga del contrato 409-2024 con objeto &quot;Prestar servicios de apoyo para la gestión en asuntos de comunicaciones y prensa en la Dirección General, y demás acciones encaminadas al cumplimiento de las estrategias comunicacionales de la UAECOB&quot;"/>
    <s v="26 - contrato de prestacion de servicios de apoyo a la gestion"/>
    <n v="80111600"/>
    <n v="12"/>
    <n v="0"/>
    <n v="23.000002638856635"/>
    <n v="2905299"/>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No Secop"/>
  </r>
  <r>
    <n v="20241372"/>
    <x v="2"/>
    <x v="8"/>
    <s v="Paula Ximena Henao Escobar"/>
    <s v="Adición y prórroga del contrato 542-2024 con objeto &quot;Prestar servicios profesionales en la Dirección General para el diseño gráfico y apoyo periodistico requerido en el marco de la estrategia de comunicaciones y prensa de la UEACOB&quot;."/>
    <s v="25 - contrato de prestacion de servicios profesionales"/>
    <n v="80111600"/>
    <n v="12"/>
    <n v="0"/>
    <n v="25.000002000000002"/>
    <n v="41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No Secop"/>
  </r>
  <r>
    <n v="20241373"/>
    <x v="2"/>
    <x v="8"/>
    <s v="Paula Ximena Henao Escobar"/>
    <s v="Adición y prórroga del contrato 574-2024 con objeto &quot;Prestar apoyo técnico en la Dirección, en asuntos de comunicaciones y prensa, para la producción, diseño y edición de material audiovisual de la UAECOB.&quot;"/>
    <s v="26 - contrato de prestacion de servicios de apoyo a la gestion"/>
    <n v="80111600"/>
    <n v="12"/>
    <n v="0"/>
    <n v="19.000002985074627"/>
    <n v="2121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No Secop"/>
  </r>
  <r>
    <n v="20241374"/>
    <x v="2"/>
    <x v="8"/>
    <s v="Paula Ximena Henao Escobar"/>
    <s v="Adición y prórroga del contrato 401-2024 con objeto &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12"/>
    <n v="1"/>
    <n v="5"/>
    <n v="5016666"/>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s v="O232020200883990 Otros servicios profesionales, técnicos y empresariales n.c.p."/>
    <s v="No Secop"/>
  </r>
  <r>
    <n v="20241375"/>
    <x v="2"/>
    <x v="9"/>
    <s v="Manuel Eduardo Castillo Guzman"/>
    <s v="Prestación de servicios profesionales en el desarrollo de las actividades que se designen del Modelo Integrado de Planeación y Gestión  MIPG, encaminadas a apoyar el área que requiera soporte"/>
    <s v="25 - contrato de prestacion de servicios profesionales"/>
    <n v="80111600"/>
    <n v="11"/>
    <n v="3"/>
    <n v="0"/>
    <n v="21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s v="O232020200883990 Otros servicios profesionales, técnicos y empresariales n.c.p."/>
    <s v="No Secop"/>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s v=" "/>
    <s v="- "/>
    <x v="13"/>
    <s v=" "/>
    <s v="_ "/>
    <s v="-  _ "/>
    <x v="18"/>
    <x v="18"/>
    <m/>
    <m/>
  </r>
  <r>
    <m/>
    <x v="4"/>
    <x v="12"/>
    <m/>
    <m/>
    <m/>
    <m/>
    <m/>
    <m/>
    <m/>
    <m/>
    <x v="3"/>
    <m/>
    <x v="20"/>
    <x v="2"/>
    <x v="3"/>
    <x v="3"/>
    <x v="11"/>
    <m/>
    <s v="-"/>
    <x v="13"/>
    <m/>
    <s v="_"/>
    <s v="- _"/>
    <x v="18"/>
    <x v="18"/>
    <m/>
    <m/>
  </r>
  <r>
    <m/>
    <x v="4"/>
    <x v="12"/>
    <m/>
    <m/>
    <m/>
    <m/>
    <m/>
    <m/>
    <m/>
    <m/>
    <x v="3"/>
    <m/>
    <x v="20"/>
    <x v="2"/>
    <x v="3"/>
    <x v="3"/>
    <x v="11"/>
    <m/>
    <s v="-"/>
    <x v="13"/>
    <m/>
    <s v="_"/>
    <s v="- _"/>
    <x v="18"/>
    <x v="18"/>
    <m/>
    <m/>
  </r>
  <r>
    <m/>
    <x v="4"/>
    <x v="12"/>
    <m/>
    <m/>
    <m/>
    <m/>
    <m/>
    <m/>
    <m/>
    <m/>
    <x v="3"/>
    <m/>
    <x v="20"/>
    <x v="2"/>
    <x v="3"/>
    <x v="3"/>
    <x v="11"/>
    <m/>
    <s v="-"/>
    <x v="13"/>
    <m/>
    <s v="_"/>
    <s v="- _"/>
    <x v="18"/>
    <x v="18"/>
    <m/>
    <m/>
  </r>
  <r>
    <m/>
    <x v="4"/>
    <x v="12"/>
    <m/>
    <m/>
    <m/>
    <m/>
    <m/>
    <m/>
    <m/>
    <m/>
    <x v="3"/>
    <m/>
    <x v="20"/>
    <x v="2"/>
    <x v="3"/>
    <x v="3"/>
    <x v="11"/>
    <m/>
    <s v="-"/>
    <x v="13"/>
    <m/>
    <s v="_"/>
    <s v="- _"/>
    <x v="18"/>
    <x v="18"/>
    <m/>
    <m/>
  </r>
  <r>
    <m/>
    <x v="4"/>
    <x v="12"/>
    <m/>
    <m/>
    <m/>
    <m/>
    <m/>
    <m/>
    <m/>
    <m/>
    <x v="3"/>
    <m/>
    <x v="20"/>
    <x v="2"/>
    <x v="3"/>
    <x v="3"/>
    <x v="11"/>
    <m/>
    <s v="-"/>
    <x v="13"/>
    <m/>
    <s v="_"/>
    <s v="- _"/>
    <x v="18"/>
    <x v="18"/>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4"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G3:H14" firstHeaderRow="1" firstDataRow="1" firstDataCol="1" rowPageCount="1" colPageCount="1"/>
  <pivotFields count="28">
    <pivotField showAll="0"/>
    <pivotField axis="axisPage" multipleItemSelectionAllowed="1" showAll="0">
      <items count="6">
        <item h="1" x="0"/>
        <item x="2"/>
        <item h="1" x="1"/>
        <item h="1" x="3"/>
        <item h="1" x="4"/>
        <item t="default"/>
      </items>
    </pivotField>
    <pivotField axis="axisRow" outline="0" showAll="0" defaultSubtotal="0">
      <items count="13">
        <item x="7"/>
        <item x="8"/>
        <item x="2"/>
        <item x="9"/>
        <item x="5"/>
        <item x="6"/>
        <item x="10"/>
        <item x="0"/>
        <item x="11"/>
        <item x="3"/>
        <item x="1"/>
        <item x="4"/>
        <item x="12"/>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outline="0" showAll="0" defaultSubtotal="0">
      <extLst>
        <ext xmlns:x14="http://schemas.microsoft.com/office/spreadsheetml/2009/9/main" uri="{2946ED86-A175-432a-8AC1-64E0C546D7DE}">
          <x14:pivotField fillDownLabels="1"/>
        </ext>
      </extLst>
    </pivotField>
    <pivotField showAll="0"/>
  </pivotFields>
  <rowFields count="1">
    <field x="2"/>
  </rowFields>
  <rowItems count="11">
    <i>
      <x/>
    </i>
    <i>
      <x v="1"/>
    </i>
    <i>
      <x v="2"/>
    </i>
    <i>
      <x v="3"/>
    </i>
    <i>
      <x v="4"/>
    </i>
    <i>
      <x v="5"/>
    </i>
    <i>
      <x v="6"/>
    </i>
    <i>
      <x v="7"/>
    </i>
    <i>
      <x v="8"/>
    </i>
    <i>
      <x v="10"/>
    </i>
    <i t="grand">
      <x/>
    </i>
  </rowItems>
  <colItems count="1">
    <i/>
  </colItems>
  <pageFields count="1">
    <pageField fld="1" hier="-1"/>
  </pageFields>
  <dataFields count="1">
    <dataField name="Suma de Valor Programado" fld="10" baseField="0" baseItem="0" numFmtId="165"/>
  </dataFields>
  <formats count="16">
    <format dxfId="94">
      <pivotArea type="all" dataOnly="0" outline="0" fieldPosition="0"/>
    </format>
    <format dxfId="93">
      <pivotArea outline="0" collapsedLevelsAreSubtotals="1" fieldPosition="0"/>
    </format>
    <format dxfId="92">
      <pivotArea field="2" type="button" dataOnly="0" labelOnly="1" outline="0" axis="axisRow" fieldPosition="0"/>
    </format>
    <format dxfId="91">
      <pivotArea dataOnly="0" labelOnly="1" fieldPosition="0">
        <references count="1">
          <reference field="2" count="0"/>
        </references>
      </pivotArea>
    </format>
    <format dxfId="90">
      <pivotArea dataOnly="0" labelOnly="1" grandRow="1" outline="0" fieldPosition="0"/>
    </format>
    <format dxfId="89">
      <pivotArea dataOnly="0" labelOnly="1" outline="0" axis="axisValues" fieldPosition="0"/>
    </format>
    <format dxfId="88">
      <pivotArea type="all" dataOnly="0" outline="0" fieldPosition="0"/>
    </format>
    <format dxfId="87">
      <pivotArea outline="0" collapsedLevelsAreSubtotals="1" fieldPosition="0"/>
    </format>
    <format dxfId="86">
      <pivotArea field="2" type="button" dataOnly="0" labelOnly="1" outline="0" axis="axisRow" fieldPosition="0"/>
    </format>
    <format dxfId="85">
      <pivotArea dataOnly="0" labelOnly="1" fieldPosition="0">
        <references count="1">
          <reference field="2" count="0"/>
        </references>
      </pivotArea>
    </format>
    <format dxfId="84">
      <pivotArea dataOnly="0" labelOnly="1" grandRow="1" outline="0" fieldPosition="0"/>
    </format>
    <format dxfId="83">
      <pivotArea dataOnly="0" labelOnly="1" outline="0" axis="axisValues" fieldPosition="0"/>
    </format>
    <format dxfId="82">
      <pivotArea dataOnly="0" labelOnly="1" fieldPosition="0">
        <references count="1">
          <reference field="2" count="1">
            <x v="4"/>
          </reference>
        </references>
      </pivotArea>
    </format>
    <format dxfId="81">
      <pivotArea outline="0" collapsedLevelsAreSubtotals="1" fieldPosition="0"/>
    </format>
    <format dxfId="80">
      <pivotArea dataOnly="0" labelOnly="1" outline="0" fieldPosition="0">
        <references count="1">
          <reference field="1" count="0"/>
        </references>
      </pivotArea>
    </format>
    <format dxfId="79">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3"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D11:E16" firstHeaderRow="1" firstDataRow="1" firstDataCol="1"/>
  <pivotFields count="28">
    <pivotField showAll="0"/>
    <pivotField multipleItemSelectionAllowed="1"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axis="axisRow" outline="0" showAll="0" defaultSubtotal="0">
      <items count="4">
        <item x="0"/>
        <item x="2"/>
        <item x="1"/>
        <item x="3"/>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outline="0" showAll="0" defaultSubtotal="0">
      <extLst>
        <ext xmlns:x14="http://schemas.microsoft.com/office/spreadsheetml/2009/9/main" uri="{2946ED86-A175-432a-8AC1-64E0C546D7DE}">
          <x14:pivotField fillDownLabels="1"/>
        </ext>
      </extLst>
    </pivotField>
    <pivotField showAll="0"/>
  </pivotFields>
  <rowFields count="1">
    <field x="11"/>
  </rowFields>
  <rowItems count="5">
    <i>
      <x/>
    </i>
    <i>
      <x v="1"/>
    </i>
    <i>
      <x v="2"/>
    </i>
    <i>
      <x v="3"/>
    </i>
    <i t="grand">
      <x/>
    </i>
  </rowItems>
  <colItems count="1">
    <i/>
  </colItems>
  <dataFields count="1">
    <dataField name="Suma de Valor Programado" fld="10" baseField="0" baseItem="0" numFmtId="165"/>
  </dataFields>
  <formats count="4">
    <format dxfId="98">
      <pivotArea outline="0" collapsedLevelsAreSubtotals="1" fieldPosition="0"/>
    </format>
    <format dxfId="97">
      <pivotArea dataOnly="0" labelOnly="1" outline="0" axis="axisValues" fieldPosition="0"/>
    </format>
    <format dxfId="96">
      <pivotArea dataOnly="0" labelOnly="1" fieldPosition="0">
        <references count="1">
          <reference field="11" count="1">
            <x v="0"/>
          </reference>
        </references>
      </pivotArea>
    </format>
    <format dxfId="95">
      <pivotArea dataOnly="0" labelOnly="1" fieldPosition="0">
        <references count="1">
          <reference field="11"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D3:E9" firstHeaderRow="1" firstDataRow="1" firstDataCol="1"/>
  <pivotFields count="28">
    <pivotField showAll="0"/>
    <pivotField axis="axisRow" multipleItemSelectionAllowed="1" showAll="0">
      <items count="6">
        <item x="0"/>
        <item x="2"/>
        <item x="1"/>
        <item x="3"/>
        <item x="4"/>
        <item t="default"/>
      </items>
    </pivotField>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outline="0" showAll="0" defaultSubtotal="0">
      <extLst>
        <ext xmlns:x14="http://schemas.microsoft.com/office/spreadsheetml/2009/9/main" uri="{2946ED86-A175-432a-8AC1-64E0C546D7DE}">
          <x14:pivotField fillDownLabels="1"/>
        </ext>
      </extLst>
    </pivotField>
    <pivotField showAll="0"/>
  </pivotFields>
  <rowFields count="1">
    <field x="1"/>
  </rowFields>
  <rowItems count="6">
    <i>
      <x/>
    </i>
    <i>
      <x v="1"/>
    </i>
    <i>
      <x v="2"/>
    </i>
    <i>
      <x v="3"/>
    </i>
    <i>
      <x v="4"/>
    </i>
    <i t="grand">
      <x/>
    </i>
  </rowItems>
  <colItems count="1">
    <i/>
  </colItems>
  <dataFields count="1">
    <dataField name="Suma de Valor Programado" fld="10" baseField="0" baseItem="0" numFmtId="165"/>
  </dataFields>
  <formats count="12">
    <format dxfId="110">
      <pivotArea outline="0" collapsedLevelsAreSubtotals="1" fieldPosition="0"/>
    </format>
    <format dxfId="109">
      <pivotArea dataOnly="0" labelOnly="1" outline="0" axis="axisValues" fieldPosition="0"/>
    </format>
    <format dxfId="108">
      <pivotArea dataOnly="0" labelOnly="1" fieldPosition="0">
        <references count="1">
          <reference field="1" count="1">
            <x v="0"/>
          </reference>
        </references>
      </pivotArea>
    </format>
    <format dxfId="107">
      <pivotArea collapsedLevelsAreSubtotals="1" fieldPosition="0">
        <references count="1">
          <reference field="1" count="4">
            <x v="0"/>
            <x v="1"/>
            <x v="2"/>
            <x v="3"/>
          </reference>
        </references>
      </pivotArea>
    </format>
    <format dxfId="106">
      <pivotArea dataOnly="0" labelOnly="1" fieldPosition="0">
        <references count="1">
          <reference field="1" count="4">
            <x v="0"/>
            <x v="1"/>
            <x v="2"/>
            <x v="3"/>
          </reference>
        </references>
      </pivotArea>
    </format>
    <format dxfId="105">
      <pivotArea collapsedLevelsAreSubtotals="1" fieldPosition="0">
        <references count="1">
          <reference field="1" count="4">
            <x v="0"/>
            <x v="1"/>
            <x v="2"/>
            <x v="3"/>
          </reference>
        </references>
      </pivotArea>
    </format>
    <format dxfId="104">
      <pivotArea dataOnly="0" labelOnly="1" fieldPosition="0">
        <references count="1">
          <reference field="1" count="4">
            <x v="0"/>
            <x v="1"/>
            <x v="2"/>
            <x v="3"/>
          </reference>
        </references>
      </pivotArea>
    </format>
    <format dxfId="103">
      <pivotArea dataOnly="0" labelOnly="1" fieldPosition="0">
        <references count="1">
          <reference field="1" count="1">
            <x v="1"/>
          </reference>
        </references>
      </pivotArea>
    </format>
    <format dxfId="102">
      <pivotArea dataOnly="0" labelOnly="1" fieldPosition="0">
        <references count="1">
          <reference field="1" count="1">
            <x v="2"/>
          </reference>
        </references>
      </pivotArea>
    </format>
    <format dxfId="101">
      <pivotArea outline="0" collapsedLevelsAreSubtotals="1" fieldPosition="0"/>
    </format>
    <format dxfId="100">
      <pivotArea dataOnly="0" labelOnly="1" fieldPosition="0">
        <references count="1">
          <reference field="1" count="0"/>
        </references>
      </pivotArea>
    </format>
    <format dxfId="99">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3:B9" firstHeaderRow="1" firstDataRow="1" firstDataCol="1" rowPageCount="1" colPageCount="1"/>
  <pivotFields count="28">
    <pivotField showAll="0"/>
    <pivotField axis="axisPage" multipleItemSelectionAllowed="1" showAll="0">
      <items count="6">
        <item h="1" x="0"/>
        <item h="1" x="2"/>
        <item x="1"/>
        <item h="1" x="3"/>
        <item h="1" x="4"/>
        <item t="default"/>
      </items>
    </pivotField>
    <pivotField axis="axisRow" outline="0" showAll="0" defaultSubtotal="0">
      <items count="13">
        <item x="7"/>
        <item x="8"/>
        <item x="2"/>
        <item x="9"/>
        <item x="5"/>
        <item x="6"/>
        <item x="10"/>
        <item x="0"/>
        <item x="11"/>
        <item x="3"/>
        <item x="1"/>
        <item x="4"/>
        <item x="12"/>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outline="0" showAll="0" defaultSubtotal="0">
      <extLst>
        <ext xmlns:x14="http://schemas.microsoft.com/office/spreadsheetml/2009/9/main" uri="{2946ED86-A175-432a-8AC1-64E0C546D7DE}">
          <x14:pivotField fillDownLabels="1"/>
        </ext>
      </extLst>
    </pivotField>
    <pivotField showAll="0"/>
  </pivotFields>
  <rowFields count="1">
    <field x="2"/>
  </rowFields>
  <rowItems count="6">
    <i>
      <x v="7"/>
    </i>
    <i>
      <x v="8"/>
    </i>
    <i>
      <x v="9"/>
    </i>
    <i>
      <x v="10"/>
    </i>
    <i>
      <x v="11"/>
    </i>
    <i t="grand">
      <x/>
    </i>
  </rowItems>
  <colItems count="1">
    <i/>
  </colItems>
  <pageFields count="1">
    <pageField fld="1" hier="-1"/>
  </pageFields>
  <dataFields count="1">
    <dataField name="Suma de Valor Programado" fld="10" baseField="0" baseItem="0" numFmtId="165"/>
  </dataFields>
  <formats count="16">
    <format dxfId="126">
      <pivotArea type="all" dataOnly="0" outline="0" fieldPosition="0"/>
    </format>
    <format dxfId="125">
      <pivotArea outline="0" collapsedLevelsAreSubtotals="1" fieldPosition="0"/>
    </format>
    <format dxfId="124">
      <pivotArea field="2" type="button" dataOnly="0" labelOnly="1" outline="0" axis="axisRow" fieldPosition="0"/>
    </format>
    <format dxfId="123">
      <pivotArea dataOnly="0" labelOnly="1" fieldPosition="0">
        <references count="1">
          <reference field="2" count="0"/>
        </references>
      </pivotArea>
    </format>
    <format dxfId="122">
      <pivotArea dataOnly="0" labelOnly="1" grandRow="1" outline="0" fieldPosition="0"/>
    </format>
    <format dxfId="121">
      <pivotArea dataOnly="0" labelOnly="1" outline="0" axis="axisValues" fieldPosition="0"/>
    </format>
    <format dxfId="120">
      <pivotArea type="all" dataOnly="0" outline="0" fieldPosition="0"/>
    </format>
    <format dxfId="119">
      <pivotArea outline="0" collapsedLevelsAreSubtotals="1" fieldPosition="0"/>
    </format>
    <format dxfId="118">
      <pivotArea field="2" type="button" dataOnly="0" labelOnly="1" outline="0" axis="axisRow" fieldPosition="0"/>
    </format>
    <format dxfId="117">
      <pivotArea dataOnly="0" labelOnly="1" fieldPosition="0">
        <references count="1">
          <reference field="2" count="0"/>
        </references>
      </pivotArea>
    </format>
    <format dxfId="116">
      <pivotArea dataOnly="0" labelOnly="1" grandRow="1" outline="0" fieldPosition="0"/>
    </format>
    <format dxfId="115">
      <pivotArea dataOnly="0" labelOnly="1" outline="0" axis="axisValues" fieldPosition="0"/>
    </format>
    <format dxfId="114">
      <pivotArea dataOnly="0" labelOnly="1" fieldPosition="0">
        <references count="1">
          <reference field="2" count="1">
            <x v="4"/>
          </reference>
        </references>
      </pivotArea>
    </format>
    <format dxfId="113">
      <pivotArea outline="0" collapsedLevelsAreSubtotals="1" fieldPosition="0"/>
    </format>
    <format dxfId="112">
      <pivotArea dataOnly="0" labelOnly="1" outline="0" fieldPosition="0">
        <references count="1">
          <reference field="1" count="0"/>
        </references>
      </pivotArea>
    </format>
    <format dxfId="11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TablaDinámica6"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fieldListSortAscending="1">
  <location ref="A39:H56" firstHeaderRow="1" firstDataRow="1" firstDataCol="7" rowPageCount="1" colPageCount="1"/>
  <pivotFields count="28">
    <pivotField showAll="0"/>
    <pivotField axis="axisPage" multipleItemSelectionAllowed="1" showAll="0">
      <items count="6">
        <item h="1" x="0"/>
        <item x="2"/>
        <item h="1" x="1"/>
        <item h="1" x="3"/>
        <item h="1" x="4"/>
        <item t="default"/>
      </items>
    </pivotField>
    <pivotField axis="axisRow" outline="0" showAll="0" sortType="descending" defaultSubtotal="0">
      <items count="13">
        <item x="12"/>
        <item x="4"/>
        <item x="1"/>
        <item x="3"/>
        <item x="11"/>
        <item x="0"/>
        <item x="10"/>
        <item x="6"/>
        <item x="5"/>
        <item x="9"/>
        <item x="2"/>
        <item x="8"/>
        <item x="7"/>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outline="0" showAll="0" defaultSubtotal="0">
      <extLst>
        <ext xmlns:x14="http://schemas.microsoft.com/office/spreadsheetml/2009/9/main" uri="{2946ED86-A175-432a-8AC1-64E0C546D7DE}">
          <x14:pivotField fillDownLabels="1"/>
        </ext>
      </extLst>
    </pivotField>
    <pivotField showAll="0"/>
    <pivotField axis="axisRow" outline="0" showAll="0" sortType="ascending" defaultSubtotal="0">
      <items count="21">
        <item x="8"/>
        <item x="11"/>
        <item x="12"/>
        <item x="13"/>
        <item x="2"/>
        <item x="5"/>
        <item x="17"/>
        <item x="18"/>
        <item x="15"/>
        <item x="7"/>
        <item x="16"/>
        <item x="3"/>
        <item x="4"/>
        <item x="1"/>
        <item x="9"/>
        <item x="10"/>
        <item x="6"/>
        <item x="19"/>
        <item x="14"/>
        <item x="0"/>
        <item x="20"/>
      </items>
      <extLst>
        <ext xmlns:x14="http://schemas.microsoft.com/office/spreadsheetml/2009/9/main" uri="{2946ED86-A175-432a-8AC1-64E0C546D7DE}">
          <x14:pivotField fillDownLabels="1"/>
        </ext>
      </extLst>
    </pivotField>
    <pivotField outline="0" showAll="0" defaultSubtotal="0">
      <items count="3">
        <item x="2"/>
        <item x="0"/>
        <item x="1"/>
      </items>
      <extLst>
        <ext xmlns:x14="http://schemas.microsoft.com/office/spreadsheetml/2009/9/main" uri="{2946ED86-A175-432a-8AC1-64E0C546D7DE}">
          <x14:pivotField fillDownLabels="1"/>
        </ext>
      </extLst>
    </pivotField>
    <pivotField axis="axisRow" outline="0" showAll="0" sortType="descending" defaultSubtotal="0">
      <items count="4">
        <item x="0"/>
        <item x="2"/>
        <item x="1"/>
        <item x="3"/>
      </items>
      <extLst>
        <ext xmlns:x14="http://schemas.microsoft.com/office/spreadsheetml/2009/9/main" uri="{2946ED86-A175-432a-8AC1-64E0C546D7DE}">
          <x14:pivotField fillDownLabels="1"/>
        </ext>
      </extLst>
    </pivotField>
    <pivotField outline="0" showAll="0" sortType="descending" defaultSubtotal="0">
      <items count="4">
        <item x="0"/>
        <item x="3"/>
        <item x="1"/>
        <item x="2"/>
      </items>
      <extLst>
        <ext xmlns:x14="http://schemas.microsoft.com/office/spreadsheetml/2009/9/main" uri="{2946ED86-A175-432a-8AC1-64E0C546D7DE}">
          <x14:pivotField fillDownLabels="1"/>
        </ext>
      </extLst>
    </pivotField>
    <pivotField axis="axisRow" outline="0" showAll="0" sortType="ascending" defaultSubtotal="0">
      <items count="12">
        <item x="8"/>
        <item x="3"/>
        <item x="7"/>
        <item x="10"/>
        <item x="5"/>
        <item x="1"/>
        <item x="4"/>
        <item x="2"/>
        <item x="9"/>
        <item x="6"/>
        <item x="0"/>
        <item x="11"/>
      </items>
      <extLst>
        <ext xmlns:x14="http://schemas.microsoft.com/office/spreadsheetml/2009/9/main" uri="{2946ED86-A175-432a-8AC1-64E0C546D7DE}">
          <x14:pivotField fillDownLabels="1"/>
        </ext>
      </extLst>
    </pivotField>
    <pivotField showAll="0"/>
    <pivotField showAll="0"/>
    <pivotField axis="axisRow" outline="0" showAll="0" defaultSubtotal="0">
      <items count="14">
        <item x="8"/>
        <item x="1"/>
        <item x="2"/>
        <item x="4"/>
        <item x="12"/>
        <item x="5"/>
        <item x="7"/>
        <item x="6"/>
        <item x="10"/>
        <item x="9"/>
        <item x="11"/>
        <item x="3"/>
        <item x="0"/>
        <item x="13"/>
      </items>
      <extLst>
        <ext xmlns:x14="http://schemas.microsoft.com/office/spreadsheetml/2009/9/main" uri="{2946ED86-A175-432a-8AC1-64E0C546D7DE}">
          <x14:pivotField fillDownLabels="1"/>
        </ext>
      </extLst>
    </pivotField>
    <pivotField showAll="0"/>
    <pivotField showAll="0"/>
    <pivotField showAll="0"/>
    <pivotField axis="axisRow" outline="0" showAll="0" defaultSubtotal="0">
      <items count="20">
        <item x="18"/>
        <item x="0"/>
        <item x="13"/>
        <item x="10"/>
        <item x="3"/>
        <item x="9"/>
        <item x="15"/>
        <item x="5"/>
        <item m="1" x="19"/>
        <item x="16"/>
        <item x="1"/>
        <item x="4"/>
        <item x="8"/>
        <item x="14"/>
        <item x="6"/>
        <item x="2"/>
        <item x="7"/>
        <item x="12"/>
        <item x="11"/>
        <item x="17"/>
      </items>
      <extLst>
        <ext xmlns:x14="http://schemas.microsoft.com/office/spreadsheetml/2009/9/main" uri="{2946ED86-A175-432a-8AC1-64E0C546D7DE}">
          <x14:pivotField fillDownLabels="1"/>
        </ext>
      </extLst>
    </pivotField>
    <pivotField axis="axisRow" showAll="0">
      <items count="20">
        <item x="18"/>
        <item x="0"/>
        <item x="13"/>
        <item x="10"/>
        <item x="3"/>
        <item x="9"/>
        <item x="15"/>
        <item x="5"/>
        <item x="16"/>
        <item x="6"/>
        <item x="1"/>
        <item x="4"/>
        <item x="8"/>
        <item x="2"/>
        <item x="14"/>
        <item x="7"/>
        <item x="12"/>
        <item x="11"/>
        <item x="17"/>
        <item t="default"/>
      </items>
    </pivotField>
    <pivotField outline="0" showAll="0" defaultSubtotal="0">
      <extLst>
        <ext xmlns:x14="http://schemas.microsoft.com/office/spreadsheetml/2009/9/main" uri="{2946ED86-A175-432a-8AC1-64E0C546D7DE}">
          <x14:pivotField fillDownLabels="1"/>
        </ext>
      </extLst>
    </pivotField>
    <pivotField showAll="0"/>
  </pivotFields>
  <rowFields count="7">
    <field x="2"/>
    <field x="13"/>
    <field x="15"/>
    <field x="17"/>
    <field x="20"/>
    <field x="24"/>
    <field x="25"/>
  </rowFields>
  <rowItems count="17">
    <i>
      <x v="2"/>
      <x v="1"/>
      <x v="1"/>
      <x v="9"/>
      <x v="9"/>
      <x v="18"/>
      <x v="17"/>
    </i>
    <i>
      <x v="4"/>
      <x v="3"/>
      <x v="1"/>
      <x v="9"/>
      <x v="8"/>
      <x v="17"/>
      <x v="16"/>
    </i>
    <i>
      <x v="5"/>
      <x v="8"/>
      <x v="1"/>
      <x v="4"/>
      <x v="5"/>
      <x v="14"/>
      <x v="9"/>
    </i>
    <i r="1">
      <x v="9"/>
      <x v="1"/>
      <x v="4"/>
      <x v="5"/>
      <x v="14"/>
      <x v="9"/>
    </i>
    <i>
      <x v="6"/>
      <x v="9"/>
      <x v="1"/>
      <x v="4"/>
      <x v="5"/>
      <x v="14"/>
      <x v="9"/>
    </i>
    <i>
      <x v="7"/>
      <x v="9"/>
      <x v="1"/>
      <x v="4"/>
      <x v="5"/>
      <x v="14"/>
      <x v="9"/>
    </i>
    <i>
      <x v="8"/>
      <x v="9"/>
      <x v="1"/>
      <x v="4"/>
      <x v="5"/>
      <x v="14"/>
      <x v="9"/>
    </i>
    <i>
      <x v="9"/>
      <x v="1"/>
      <x v="1"/>
      <x v="9"/>
      <x v="9"/>
      <x v="18"/>
      <x v="17"/>
    </i>
    <i r="1">
      <x v="2"/>
      <x v="1"/>
      <x v="9"/>
      <x v="8"/>
      <x v="17"/>
      <x v="16"/>
    </i>
    <i r="1">
      <x v="3"/>
      <x v="1"/>
      <x v="9"/>
      <x v="8"/>
      <x v="17"/>
      <x v="16"/>
    </i>
    <i>
      <x v="10"/>
      <x v="4"/>
      <x v="1"/>
      <x v="7"/>
      <x v="2"/>
      <x v="15"/>
      <x v="13"/>
    </i>
    <i r="1">
      <x v="5"/>
      <x v="1"/>
      <x v="7"/>
      <x v="2"/>
      <x v="15"/>
      <x v="13"/>
    </i>
    <i r="1">
      <x v="6"/>
      <x v="1"/>
      <x v="7"/>
      <x v="2"/>
      <x v="15"/>
      <x v="13"/>
    </i>
    <i r="1">
      <x v="7"/>
      <x v="1"/>
      <x v="7"/>
      <x v="2"/>
      <x v="15"/>
      <x v="13"/>
    </i>
    <i>
      <x v="11"/>
      <x/>
      <x v="1"/>
      <x v="9"/>
      <x v="7"/>
      <x v="16"/>
      <x v="15"/>
    </i>
    <i>
      <x v="12"/>
      <x v="9"/>
      <x v="1"/>
      <x v="4"/>
      <x v="5"/>
      <x v="14"/>
      <x v="9"/>
    </i>
    <i t="grand">
      <x/>
    </i>
  </rowItems>
  <colItems count="1">
    <i/>
  </colItems>
  <pageFields count="1">
    <pageField fld="1" hier="-1"/>
  </pageFields>
  <dataFields count="1">
    <dataField name="Suma de Valor Programado" fld="10" baseField="0" baseItem="0" numFmtId="165"/>
  </dataFields>
  <formats count="72">
    <format dxfId="198">
      <pivotArea type="all" dataOnly="0" outline="0" fieldPosition="0"/>
    </format>
    <format dxfId="197">
      <pivotArea outline="0" collapsedLevelsAreSubtotals="1" fieldPosition="0"/>
    </format>
    <format dxfId="196">
      <pivotArea field="2" type="button" dataOnly="0" labelOnly="1" outline="0" axis="axisRow" fieldPosition="0"/>
    </format>
    <format dxfId="195">
      <pivotArea field="14" type="button" dataOnly="0" labelOnly="1" outline="0"/>
    </format>
    <format dxfId="194">
      <pivotArea field="15" type="button" dataOnly="0" labelOnly="1" outline="0" axis="axisRow" fieldPosition="2"/>
    </format>
    <format dxfId="193">
      <pivotArea field="16" type="button" dataOnly="0" labelOnly="1" outline="0"/>
    </format>
    <format dxfId="192">
      <pivotArea field="17" type="button" dataOnly="0" labelOnly="1" outline="0" axis="axisRow" fieldPosition="3"/>
    </format>
    <format dxfId="191">
      <pivotArea field="20" type="button" dataOnly="0" labelOnly="1" outline="0" axis="axisRow" fieldPosition="4"/>
    </format>
    <format dxfId="190">
      <pivotArea field="24" type="button" dataOnly="0" labelOnly="1" outline="0" axis="axisRow" fieldPosition="5"/>
    </format>
    <format dxfId="189">
      <pivotArea field="25" type="button" dataOnly="0" labelOnly="1" outline="0" axis="axisRow" fieldPosition="6"/>
    </format>
    <format dxfId="188">
      <pivotArea dataOnly="0" labelOnly="1" fieldPosition="0">
        <references count="1">
          <reference field="2" count="12">
            <x v="1"/>
            <x v="2"/>
            <x v="3"/>
            <x v="4"/>
            <x v="5"/>
            <x v="6"/>
            <x v="7"/>
            <x v="8"/>
            <x v="9"/>
            <x v="10"/>
            <x v="11"/>
            <x v="12"/>
          </reference>
        </references>
      </pivotArea>
    </format>
    <format dxfId="187">
      <pivotArea dataOnly="0" labelOnly="1" grandRow="1" outline="0" fieldPosition="0"/>
    </format>
    <format dxfId="186">
      <pivotArea dataOnly="0" labelOnly="1" outline="0" axis="axisValues" fieldPosition="0"/>
    </format>
    <format dxfId="185">
      <pivotArea field="14" type="button" dataOnly="0" labelOnly="1" outline="0"/>
    </format>
    <format dxfId="184">
      <pivotArea dataOnly="0" labelOnly="1" outline="0" axis="axisValues" fieldPosition="0"/>
    </format>
    <format dxfId="183">
      <pivotArea field="2" type="button" dataOnly="0" labelOnly="1" outline="0" axis="axisRow" fieldPosition="0"/>
    </format>
    <format dxfId="182">
      <pivotArea field="14" type="button" dataOnly="0" labelOnly="1" outline="0"/>
    </format>
    <format dxfId="181">
      <pivotArea field="15" type="button" dataOnly="0" labelOnly="1" outline="0" axis="axisRow" fieldPosition="2"/>
    </format>
    <format dxfId="180">
      <pivotArea field="16" type="button" dataOnly="0" labelOnly="1" outline="0"/>
    </format>
    <format dxfId="179">
      <pivotArea field="17" type="button" dataOnly="0" labelOnly="1" outline="0" axis="axisRow" fieldPosition="3"/>
    </format>
    <format dxfId="178">
      <pivotArea field="20" type="button" dataOnly="0" labelOnly="1" outline="0" axis="axisRow" fieldPosition="4"/>
    </format>
    <format dxfId="177">
      <pivotArea field="24" type="button" dataOnly="0" labelOnly="1" outline="0" axis="axisRow" fieldPosition="5"/>
    </format>
    <format dxfId="176">
      <pivotArea field="25" type="button" dataOnly="0" labelOnly="1" outline="0" axis="axisRow" fieldPosition="6"/>
    </format>
    <format dxfId="175">
      <pivotArea dataOnly="0" labelOnly="1" outline="0" axis="axisValues" fieldPosition="0"/>
    </format>
    <format dxfId="174">
      <pivotArea field="2" type="button" dataOnly="0" labelOnly="1" outline="0" axis="axisRow" fieldPosition="0"/>
    </format>
    <format dxfId="173">
      <pivotArea field="14" type="button" dataOnly="0" labelOnly="1" outline="0"/>
    </format>
    <format dxfId="172">
      <pivotArea field="15" type="button" dataOnly="0" labelOnly="1" outline="0" axis="axisRow" fieldPosition="2"/>
    </format>
    <format dxfId="171">
      <pivotArea field="16" type="button" dataOnly="0" labelOnly="1" outline="0"/>
    </format>
    <format dxfId="170">
      <pivotArea field="17" type="button" dataOnly="0" labelOnly="1" outline="0" axis="axisRow" fieldPosition="3"/>
    </format>
    <format dxfId="169">
      <pivotArea field="20" type="button" dataOnly="0" labelOnly="1" outline="0" axis="axisRow" fieldPosition="4"/>
    </format>
    <format dxfId="168">
      <pivotArea field="24" type="button" dataOnly="0" labelOnly="1" outline="0" axis="axisRow" fieldPosition="5"/>
    </format>
    <format dxfId="167">
      <pivotArea field="25" type="button" dataOnly="0" labelOnly="1" outline="0" axis="axisRow" fieldPosition="6"/>
    </format>
    <format dxfId="166">
      <pivotArea dataOnly="0" labelOnly="1" outline="0" axis="axisValues" fieldPosition="0"/>
    </format>
    <format dxfId="165">
      <pivotArea field="2" type="button" dataOnly="0" labelOnly="1" outline="0" axis="axisRow" fieldPosition="0"/>
    </format>
    <format dxfId="164">
      <pivotArea field="14" type="button" dataOnly="0" labelOnly="1" outline="0"/>
    </format>
    <format dxfId="163">
      <pivotArea field="15" type="button" dataOnly="0" labelOnly="1" outline="0" axis="axisRow" fieldPosition="2"/>
    </format>
    <format dxfId="162">
      <pivotArea field="16" type="button" dataOnly="0" labelOnly="1" outline="0"/>
    </format>
    <format dxfId="161">
      <pivotArea field="17" type="button" dataOnly="0" labelOnly="1" outline="0" axis="axisRow" fieldPosition="3"/>
    </format>
    <format dxfId="160">
      <pivotArea field="20" type="button" dataOnly="0" labelOnly="1" outline="0" axis="axisRow" fieldPosition="4"/>
    </format>
    <format dxfId="159">
      <pivotArea field="24" type="button" dataOnly="0" labelOnly="1" outline="0" axis="axisRow" fieldPosition="5"/>
    </format>
    <format dxfId="158">
      <pivotArea field="25" type="button" dataOnly="0" labelOnly="1" outline="0" axis="axisRow" fieldPosition="6"/>
    </format>
    <format dxfId="157">
      <pivotArea dataOnly="0" labelOnly="1" outline="0" axis="axisValues" fieldPosition="0"/>
    </format>
    <format dxfId="156">
      <pivotArea field="2" type="button" dataOnly="0" labelOnly="1" outline="0" axis="axisRow" fieldPosition="0"/>
    </format>
    <format dxfId="155">
      <pivotArea field="14" type="button" dataOnly="0" labelOnly="1" outline="0"/>
    </format>
    <format dxfId="154">
      <pivotArea field="15" type="button" dataOnly="0" labelOnly="1" outline="0" axis="axisRow" fieldPosition="2"/>
    </format>
    <format dxfId="153">
      <pivotArea field="16" type="button" dataOnly="0" labelOnly="1" outline="0"/>
    </format>
    <format dxfId="152">
      <pivotArea field="17" type="button" dataOnly="0" labelOnly="1" outline="0" axis="axisRow" fieldPosition="3"/>
    </format>
    <format dxfId="151">
      <pivotArea field="20" type="button" dataOnly="0" labelOnly="1" outline="0" axis="axisRow" fieldPosition="4"/>
    </format>
    <format dxfId="150">
      <pivotArea field="24" type="button" dataOnly="0" labelOnly="1" outline="0" axis="axisRow" fieldPosition="5"/>
    </format>
    <format dxfId="149">
      <pivotArea dataOnly="0" labelOnly="1" outline="0" axis="axisValues" fieldPosition="0"/>
    </format>
    <format dxfId="148">
      <pivotArea field="24" type="button" dataOnly="0" labelOnly="1" outline="0" axis="axisRow" fieldPosition="5"/>
    </format>
    <format dxfId="147">
      <pivotArea field="2" type="button" dataOnly="0" labelOnly="1" outline="0" axis="axisRow" fieldPosition="0"/>
    </format>
    <format dxfId="146">
      <pivotArea field="14" type="button" dataOnly="0" labelOnly="1" outline="0"/>
    </format>
    <format dxfId="145">
      <pivotArea field="15" type="button" dataOnly="0" labelOnly="1" outline="0" axis="axisRow" fieldPosition="2"/>
    </format>
    <format dxfId="144">
      <pivotArea field="16" type="button" dataOnly="0" labelOnly="1" outline="0"/>
    </format>
    <format dxfId="143">
      <pivotArea field="17" type="button" dataOnly="0" labelOnly="1" outline="0" axis="axisRow" fieldPosition="3"/>
    </format>
    <format dxfId="142">
      <pivotArea field="20" type="button" dataOnly="0" labelOnly="1" outline="0" axis="axisRow" fieldPosition="4"/>
    </format>
    <format dxfId="141">
      <pivotArea outline="0" collapsedLevelsAreSubtotals="1" fieldPosition="0"/>
    </format>
    <format dxfId="140">
      <pivotArea dataOnly="0" labelOnly="1" outline="0" axis="axisValues" fieldPosition="0"/>
    </format>
    <format dxfId="139">
      <pivotArea field="13" type="button" dataOnly="0" labelOnly="1" outline="0" axis="axisRow" fieldPosition="1"/>
    </format>
    <format dxfId="138">
      <pivotArea field="2" type="button" dataOnly="0" labelOnly="1" outline="0" axis="axisRow" fieldPosition="0"/>
    </format>
    <format dxfId="137">
      <pivotArea field="13" type="button" dataOnly="0" labelOnly="1" outline="0" axis="axisRow" fieldPosition="1"/>
    </format>
    <format dxfId="136">
      <pivotArea field="17" type="button" dataOnly="0" labelOnly="1" outline="0" axis="axisRow" fieldPosition="3"/>
    </format>
    <format dxfId="135">
      <pivotArea field="20" type="button" dataOnly="0" labelOnly="1" outline="0" axis="axisRow" fieldPosition="4"/>
    </format>
    <format dxfId="134">
      <pivotArea field="24" type="button" dataOnly="0" labelOnly="1" outline="0" axis="axisRow" fieldPosition="5"/>
    </format>
    <format dxfId="133">
      <pivotArea field="25" type="button" dataOnly="0" labelOnly="1" outline="0" axis="axisRow" fieldPosition="6"/>
    </format>
    <format dxfId="132">
      <pivotArea dataOnly="0" labelOnly="1" outline="0" axis="axisValues" fieldPosition="0"/>
    </format>
    <format dxfId="131">
      <pivotArea grandRow="1" outline="0" collapsedLevelsAreSubtotals="1" fieldPosition="0"/>
    </format>
    <format dxfId="130">
      <pivotArea dataOnly="0" labelOnly="1" grandRow="1" outline="0" fieldPosition="0"/>
    </format>
    <format dxfId="129">
      <pivotArea dataOnly="0" labelOnly="1" outline="0" fieldPosition="0">
        <references count="1">
          <reference field="1" count="0"/>
        </references>
      </pivotArea>
    </format>
    <format dxfId="128">
      <pivotArea field="13" type="button" dataOnly="0" labelOnly="1" outline="0" axis="axisRow" fieldPosition="1"/>
    </format>
    <format dxfId="127">
      <pivotArea field="15" type="button" dataOnly="0" labelOnly="1" outline="0" axis="axisRow" fieldPosition="2"/>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name="TablaDinámica5"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fieldListSortAscending="1">
  <location ref="A21:I34" firstHeaderRow="1" firstDataRow="1" firstDataCol="8" rowPageCount="1" colPageCount="1"/>
  <pivotFields count="28">
    <pivotField showAll="0"/>
    <pivotField axis="axisPage" multipleItemSelectionAllowed="1" showAll="0">
      <items count="6">
        <item h="1" x="0"/>
        <item h="1" x="2"/>
        <item x="1"/>
        <item h="1" x="3"/>
        <item h="1" x="4"/>
        <item t="default"/>
      </items>
    </pivotField>
    <pivotField axis="axisRow" outline="0" showAll="0" sortType="descending" defaultSubtotal="0">
      <items count="13">
        <item x="12"/>
        <item x="4"/>
        <item x="1"/>
        <item x="3"/>
        <item x="11"/>
        <item x="0"/>
        <item x="10"/>
        <item x="6"/>
        <item x="5"/>
        <item x="9"/>
        <item x="2"/>
        <item x="8"/>
        <item x="7"/>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outline="0" showAll="0" defaultSubtotal="0">
      <extLst>
        <ext xmlns:x14="http://schemas.microsoft.com/office/spreadsheetml/2009/9/main" uri="{2946ED86-A175-432a-8AC1-64E0C546D7DE}">
          <x14:pivotField fillDownLabels="1"/>
        </ext>
      </extLst>
    </pivotField>
    <pivotField showAll="0"/>
    <pivotField showAll="0"/>
    <pivotField axis="axisRow" outline="0" showAll="0" defaultSubtotal="0">
      <items count="3">
        <item x="2"/>
        <item x="0"/>
        <item x="1"/>
      </items>
      <extLst>
        <ext xmlns:x14="http://schemas.microsoft.com/office/spreadsheetml/2009/9/main" uri="{2946ED86-A175-432a-8AC1-64E0C546D7DE}">
          <x14:pivotField fillDownLabels="1"/>
        </ext>
      </extLst>
    </pivotField>
    <pivotField axis="axisRow" outline="0" showAll="0" sortType="descending" defaultSubtotal="0">
      <items count="4">
        <item x="0"/>
        <item x="2"/>
        <item x="1"/>
        <item x="3"/>
      </items>
      <extLst>
        <ext xmlns:x14="http://schemas.microsoft.com/office/spreadsheetml/2009/9/main" uri="{2946ED86-A175-432a-8AC1-64E0C546D7DE}">
          <x14:pivotField fillDownLabels="1"/>
        </ext>
      </extLst>
    </pivotField>
    <pivotField axis="axisRow" outline="0" showAll="0" sortType="descending" defaultSubtotal="0">
      <items count="4">
        <item x="0"/>
        <item x="3"/>
        <item x="1"/>
        <item x="2"/>
      </items>
      <extLst>
        <ext xmlns:x14="http://schemas.microsoft.com/office/spreadsheetml/2009/9/main" uri="{2946ED86-A175-432a-8AC1-64E0C546D7DE}">
          <x14:pivotField fillDownLabels="1"/>
        </ext>
      </extLst>
    </pivotField>
    <pivotField axis="axisRow" outline="0" showAll="0" sortType="ascending" defaultSubtotal="0">
      <items count="12">
        <item x="8"/>
        <item x="3"/>
        <item x="7"/>
        <item x="10"/>
        <item x="5"/>
        <item x="1"/>
        <item x="4"/>
        <item x="2"/>
        <item x="9"/>
        <item x="6"/>
        <item x="0"/>
        <item x="11"/>
      </items>
      <extLst>
        <ext xmlns:x14="http://schemas.microsoft.com/office/spreadsheetml/2009/9/main" uri="{2946ED86-A175-432a-8AC1-64E0C546D7DE}">
          <x14:pivotField fillDownLabels="1"/>
        </ext>
      </extLst>
    </pivotField>
    <pivotField showAll="0"/>
    <pivotField showAll="0"/>
    <pivotField axis="axisRow" outline="0" showAll="0" defaultSubtotal="0">
      <items count="14">
        <item x="8"/>
        <item x="1"/>
        <item x="2"/>
        <item x="4"/>
        <item x="12"/>
        <item x="5"/>
        <item x="7"/>
        <item x="6"/>
        <item x="10"/>
        <item x="9"/>
        <item x="11"/>
        <item x="3"/>
        <item x="0"/>
        <item x="13"/>
      </items>
      <extLst>
        <ext xmlns:x14="http://schemas.microsoft.com/office/spreadsheetml/2009/9/main" uri="{2946ED86-A175-432a-8AC1-64E0C546D7DE}">
          <x14:pivotField fillDownLabels="1"/>
        </ext>
      </extLst>
    </pivotField>
    <pivotField showAll="0"/>
    <pivotField showAll="0"/>
    <pivotField showAll="0"/>
    <pivotField axis="axisRow" outline="0" showAll="0" defaultSubtotal="0">
      <items count="20">
        <item x="18"/>
        <item x="0"/>
        <item x="13"/>
        <item x="10"/>
        <item x="3"/>
        <item x="9"/>
        <item x="15"/>
        <item x="5"/>
        <item m="1" x="19"/>
        <item x="16"/>
        <item x="1"/>
        <item x="4"/>
        <item x="8"/>
        <item x="14"/>
        <item x="6"/>
        <item x="2"/>
        <item x="7"/>
        <item x="12"/>
        <item x="11"/>
        <item x="17"/>
      </items>
      <extLst>
        <ext xmlns:x14="http://schemas.microsoft.com/office/spreadsheetml/2009/9/main" uri="{2946ED86-A175-432a-8AC1-64E0C546D7DE}">
          <x14:pivotField fillDownLabels="1"/>
        </ext>
      </extLst>
    </pivotField>
    <pivotField axis="axisRow" showAll="0">
      <items count="20">
        <item x="18"/>
        <item x="0"/>
        <item x="13"/>
        <item x="10"/>
        <item x="3"/>
        <item x="9"/>
        <item x="15"/>
        <item x="5"/>
        <item x="16"/>
        <item x="6"/>
        <item x="1"/>
        <item x="4"/>
        <item x="8"/>
        <item x="2"/>
        <item x="14"/>
        <item x="7"/>
        <item x="12"/>
        <item x="11"/>
        <item x="17"/>
        <item t="default"/>
      </items>
    </pivotField>
    <pivotField outline="0" showAll="0" defaultSubtotal="0">
      <extLst>
        <ext xmlns:x14="http://schemas.microsoft.com/office/spreadsheetml/2009/9/main" uri="{2946ED86-A175-432a-8AC1-64E0C546D7DE}">
          <x14:pivotField fillDownLabels="1"/>
        </ext>
      </extLst>
    </pivotField>
    <pivotField showAll="0"/>
  </pivotFields>
  <rowFields count="8">
    <field x="2"/>
    <field x="14"/>
    <field x="15"/>
    <field x="16"/>
    <field x="17"/>
    <field x="20"/>
    <field x="24"/>
    <field x="25"/>
  </rowFields>
  <rowItems count="13">
    <i>
      <x v="1"/>
      <x v="2"/>
      <x v="2"/>
      <x v="2"/>
      <x/>
      <x v="1"/>
      <x v="2"/>
      <x v="2"/>
    </i>
    <i r="4">
      <x v="6"/>
      <x v="1"/>
      <x v="11"/>
      <x v="11"/>
    </i>
    <i>
      <x v="2"/>
      <x v="2"/>
      <x v="2"/>
      <x v="2"/>
      <x v="5"/>
      <x v="1"/>
      <x v="10"/>
      <x v="10"/>
    </i>
    <i r="4">
      <x v="8"/>
      <x v="1"/>
      <x v="13"/>
      <x v="14"/>
    </i>
    <i>
      <x v="3"/>
      <x v="2"/>
      <x v="2"/>
      <x v="2"/>
      <x v="1"/>
      <x/>
      <x v="3"/>
      <x v="3"/>
    </i>
    <i r="5">
      <x v="11"/>
      <x v="4"/>
      <x v="4"/>
    </i>
    <i r="4">
      <x v="2"/>
      <x v="11"/>
      <x v="5"/>
      <x v="5"/>
    </i>
    <i r="4">
      <x v="7"/>
      <x v="6"/>
      <x v="12"/>
      <x v="12"/>
    </i>
    <i>
      <x v="4"/>
      <x v="2"/>
      <x v="2"/>
      <x v="2"/>
      <x v="3"/>
      <x/>
      <x v="6"/>
      <x v="6"/>
    </i>
    <i>
      <x v="5"/>
      <x v="2"/>
      <x v="2"/>
      <x v="2"/>
      <x v="4"/>
      <x v="3"/>
      <x v="7"/>
      <x v="7"/>
    </i>
    <i r="5">
      <x v="4"/>
      <x v="19"/>
      <x v="18"/>
    </i>
    <i r="5">
      <x v="10"/>
      <x v="9"/>
      <x v="8"/>
    </i>
    <i t="grand">
      <x/>
    </i>
  </rowItems>
  <colItems count="1">
    <i/>
  </colItems>
  <pageFields count="1">
    <pageField fld="1" hier="-1"/>
  </pageFields>
  <dataFields count="1">
    <dataField name="Suma de Valor Programado" fld="10" baseField="0" baseItem="0" numFmtId="165"/>
  </dataFields>
  <formats count="147">
    <format dxfId="345">
      <pivotArea type="all" dataOnly="0" outline="0" fieldPosition="0"/>
    </format>
    <format dxfId="344">
      <pivotArea outline="0" collapsedLevelsAreSubtotals="1" fieldPosition="0"/>
    </format>
    <format dxfId="343">
      <pivotArea field="2" type="button" dataOnly="0" labelOnly="1" outline="0" axis="axisRow" fieldPosition="0"/>
    </format>
    <format dxfId="342">
      <pivotArea field="14" type="button" dataOnly="0" labelOnly="1" outline="0" axis="axisRow" fieldPosition="1"/>
    </format>
    <format dxfId="341">
      <pivotArea field="15" type="button" dataOnly="0" labelOnly="1" outline="0" axis="axisRow" fieldPosition="2"/>
    </format>
    <format dxfId="340">
      <pivotArea field="16" type="button" dataOnly="0" labelOnly="1" outline="0" axis="axisRow" fieldPosition="3"/>
    </format>
    <format dxfId="339">
      <pivotArea field="17" type="button" dataOnly="0" labelOnly="1" outline="0" axis="axisRow" fieldPosition="4"/>
    </format>
    <format dxfId="338">
      <pivotArea field="20" type="button" dataOnly="0" labelOnly="1" outline="0" axis="axisRow" fieldPosition="5"/>
    </format>
    <format dxfId="337">
      <pivotArea field="24" type="button" dataOnly="0" labelOnly="1" outline="0" axis="axisRow" fieldPosition="6"/>
    </format>
    <format dxfId="336">
      <pivotArea field="25" type="button" dataOnly="0" labelOnly="1" outline="0" axis="axisRow" fieldPosition="7"/>
    </format>
    <format dxfId="335">
      <pivotArea dataOnly="0" labelOnly="1" fieldPosition="0">
        <references count="1">
          <reference field="2" count="12">
            <x v="1"/>
            <x v="2"/>
            <x v="3"/>
            <x v="4"/>
            <x v="5"/>
            <x v="6"/>
            <x v="7"/>
            <x v="8"/>
            <x v="9"/>
            <x v="10"/>
            <x v="11"/>
            <x v="12"/>
          </reference>
        </references>
      </pivotArea>
    </format>
    <format dxfId="334">
      <pivotArea dataOnly="0" labelOnly="1" grandRow="1" outline="0" fieldPosition="0"/>
    </format>
    <format dxfId="333">
      <pivotArea dataOnly="0" labelOnly="1" fieldPosition="0">
        <references count="2">
          <reference field="2" count="1" selected="0">
            <x v="12"/>
          </reference>
          <reference field="14" count="1">
            <x v="2"/>
          </reference>
        </references>
      </pivotArea>
    </format>
    <format dxfId="332">
      <pivotArea dataOnly="0" labelOnly="1" fieldPosition="0">
        <references count="3">
          <reference field="2" count="1" selected="0">
            <x v="12"/>
          </reference>
          <reference field="14" count="1" selected="0">
            <x v="2"/>
          </reference>
          <reference field="15" count="1">
            <x v="1"/>
          </reference>
        </references>
      </pivotArea>
    </format>
    <format dxfId="331">
      <pivotArea dataOnly="0" labelOnly="1" fieldPosition="0">
        <references count="3">
          <reference field="2" count="1" selected="0">
            <x v="5"/>
          </reference>
          <reference field="14" count="1" selected="0">
            <x v="2"/>
          </reference>
          <reference field="15" count="2">
            <x v="1"/>
            <x v="2"/>
          </reference>
        </references>
      </pivotArea>
    </format>
    <format dxfId="330">
      <pivotArea dataOnly="0" labelOnly="1" fieldPosition="0">
        <references count="3">
          <reference field="2" count="1" selected="0">
            <x v="4"/>
          </reference>
          <reference field="14" count="1" selected="0">
            <x v="2"/>
          </reference>
          <reference field="15" count="2">
            <x v="1"/>
            <x v="2"/>
          </reference>
        </references>
      </pivotArea>
    </format>
    <format dxfId="329">
      <pivotArea dataOnly="0" labelOnly="1" fieldPosition="0">
        <references count="3">
          <reference field="2" count="1" selected="0">
            <x v="3"/>
          </reference>
          <reference field="14" count="1" selected="0">
            <x v="2"/>
          </reference>
          <reference field="15" count="1">
            <x v="2"/>
          </reference>
        </references>
      </pivotArea>
    </format>
    <format dxfId="328">
      <pivotArea dataOnly="0" labelOnly="1" fieldPosition="0">
        <references count="3">
          <reference field="2" count="1" selected="0">
            <x v="2"/>
          </reference>
          <reference field="14" count="1" selected="0">
            <x v="2"/>
          </reference>
          <reference field="15" count="1">
            <x v="1"/>
          </reference>
        </references>
      </pivotArea>
    </format>
    <format dxfId="327">
      <pivotArea dataOnly="0" labelOnly="1" fieldPosition="0">
        <references count="3">
          <reference field="2" count="1" selected="0">
            <x v="1"/>
          </reference>
          <reference field="14" count="1" selected="0">
            <x v="2"/>
          </reference>
          <reference field="15" count="1">
            <x v="2"/>
          </reference>
        </references>
      </pivotArea>
    </format>
    <format dxfId="326">
      <pivotArea dataOnly="0" labelOnly="1" fieldPosition="0">
        <references count="4">
          <reference field="2" count="1" selected="0">
            <x v="12"/>
          </reference>
          <reference field="14" count="1" selected="0">
            <x v="2"/>
          </reference>
          <reference field="15" count="1" selected="0">
            <x v="1"/>
          </reference>
          <reference field="16" count="1">
            <x v="3"/>
          </reference>
        </references>
      </pivotArea>
    </format>
    <format dxfId="325">
      <pivotArea dataOnly="0" labelOnly="1" fieldPosition="0">
        <references count="4">
          <reference field="2" count="1" selected="0">
            <x v="5"/>
          </reference>
          <reference field="14" count="1" selected="0">
            <x v="2"/>
          </reference>
          <reference field="15" count="1" selected="0">
            <x v="2"/>
          </reference>
          <reference field="16" count="1">
            <x v="2"/>
          </reference>
        </references>
      </pivotArea>
    </format>
    <format dxfId="324">
      <pivotArea dataOnly="0" labelOnly="1" fieldPosition="0">
        <references count="4">
          <reference field="2" count="1" selected="0">
            <x v="5"/>
          </reference>
          <reference field="14" count="1" selected="0">
            <x v="2"/>
          </reference>
          <reference field="15" count="1" selected="0">
            <x v="1"/>
          </reference>
          <reference field="16" count="1">
            <x v="3"/>
          </reference>
        </references>
      </pivotArea>
    </format>
    <format dxfId="323">
      <pivotArea dataOnly="0" labelOnly="1" fieldPosition="0">
        <references count="4">
          <reference field="2" count="1" selected="0">
            <x v="4"/>
          </reference>
          <reference field="14" count="1" selected="0">
            <x v="2"/>
          </reference>
          <reference field="15" count="1" selected="0">
            <x v="2"/>
          </reference>
          <reference field="16" count="1">
            <x v="2"/>
          </reference>
        </references>
      </pivotArea>
    </format>
    <format dxfId="322">
      <pivotArea dataOnly="0" labelOnly="1" fieldPosition="0">
        <references count="4">
          <reference field="2" count="1" selected="0">
            <x v="4"/>
          </reference>
          <reference field="14" count="1" selected="0">
            <x v="2"/>
          </reference>
          <reference field="15" count="1" selected="0">
            <x v="1"/>
          </reference>
          <reference field="16" count="1">
            <x v="3"/>
          </reference>
        </references>
      </pivotArea>
    </format>
    <format dxfId="321">
      <pivotArea dataOnly="0" labelOnly="1" fieldPosition="0">
        <references count="4">
          <reference field="2" count="1" selected="0">
            <x v="3"/>
          </reference>
          <reference field="14" count="1" selected="0">
            <x v="2"/>
          </reference>
          <reference field="15" count="1" selected="0">
            <x v="2"/>
          </reference>
          <reference field="16" count="1">
            <x v="2"/>
          </reference>
        </references>
      </pivotArea>
    </format>
    <format dxfId="320">
      <pivotArea dataOnly="0" labelOnly="1" fieldPosition="0">
        <references count="4">
          <reference field="2" count="1" selected="0">
            <x v="2"/>
          </reference>
          <reference field="14" count="1" selected="0">
            <x v="2"/>
          </reference>
          <reference field="15" count="1" selected="0">
            <x v="1"/>
          </reference>
          <reference field="16" count="1">
            <x v="3"/>
          </reference>
        </references>
      </pivotArea>
    </format>
    <format dxfId="319">
      <pivotArea dataOnly="0" labelOnly="1" fieldPosition="0">
        <references count="4">
          <reference field="2" count="1" selected="0">
            <x v="1"/>
          </reference>
          <reference field="14" count="1" selected="0">
            <x v="2"/>
          </reference>
          <reference field="15" count="1" selected="0">
            <x v="2"/>
          </reference>
          <reference field="16" count="1">
            <x v="2"/>
          </reference>
        </references>
      </pivotArea>
    </format>
    <format dxfId="318">
      <pivotArea dataOnly="0" labelOnly="1" fieldPosition="0">
        <references count="5">
          <reference field="2" count="1" selected="0">
            <x v="12"/>
          </reference>
          <reference field="14" count="1" selected="0">
            <x v="2"/>
          </reference>
          <reference field="15" count="1" selected="0">
            <x v="1"/>
          </reference>
          <reference field="16" count="1" selected="0">
            <x v="3"/>
          </reference>
          <reference field="17" count="1">
            <x v="4"/>
          </reference>
        </references>
      </pivotArea>
    </format>
    <format dxfId="317">
      <pivotArea dataOnly="0" labelOnly="1" fieldPosition="0">
        <references count="5">
          <reference field="2" count="1" selected="0">
            <x v="11"/>
          </reference>
          <reference field="14" count="1" selected="0">
            <x v="2"/>
          </reference>
          <reference field="15" count="1" selected="0">
            <x v="1"/>
          </reference>
          <reference field="16" count="1" selected="0">
            <x v="3"/>
          </reference>
          <reference field="17" count="1">
            <x v="9"/>
          </reference>
        </references>
      </pivotArea>
    </format>
    <format dxfId="316">
      <pivotArea dataOnly="0" labelOnly="1" fieldPosition="0">
        <references count="5">
          <reference field="2" count="1" selected="0">
            <x v="10"/>
          </reference>
          <reference field="14" count="1" selected="0">
            <x v="2"/>
          </reference>
          <reference field="15" count="1" selected="0">
            <x v="1"/>
          </reference>
          <reference field="16" count="1" selected="0">
            <x v="3"/>
          </reference>
          <reference field="17" count="1">
            <x v="7"/>
          </reference>
        </references>
      </pivotArea>
    </format>
    <format dxfId="315">
      <pivotArea dataOnly="0" labelOnly="1" fieldPosition="0">
        <references count="5">
          <reference field="2" count="1" selected="0">
            <x v="9"/>
          </reference>
          <reference field="14" count="1" selected="0">
            <x v="2"/>
          </reference>
          <reference field="15" count="1" selected="0">
            <x v="1"/>
          </reference>
          <reference field="16" count="1" selected="0">
            <x v="3"/>
          </reference>
          <reference field="17" count="1">
            <x v="9"/>
          </reference>
        </references>
      </pivotArea>
    </format>
    <format dxfId="314">
      <pivotArea dataOnly="0" labelOnly="1" fieldPosition="0">
        <references count="5">
          <reference field="2" count="1" selected="0">
            <x v="8"/>
          </reference>
          <reference field="14" count="1" selected="0">
            <x v="2"/>
          </reference>
          <reference field="15" count="1" selected="0">
            <x v="1"/>
          </reference>
          <reference field="16" count="1" selected="0">
            <x v="3"/>
          </reference>
          <reference field="17" count="1">
            <x v="4"/>
          </reference>
        </references>
      </pivotArea>
    </format>
    <format dxfId="313">
      <pivotArea dataOnly="0" labelOnly="1" fieldPosition="0">
        <references count="5">
          <reference field="2" count="1" selected="0">
            <x v="4"/>
          </reference>
          <reference field="14" count="1" selected="0">
            <x v="2"/>
          </reference>
          <reference field="15" count="1" selected="0">
            <x v="2"/>
          </reference>
          <reference field="16" count="1" selected="0">
            <x v="2"/>
          </reference>
          <reference field="17" count="1">
            <x v="3"/>
          </reference>
        </references>
      </pivotArea>
    </format>
    <format dxfId="312">
      <pivotArea dataOnly="0" labelOnly="1" fieldPosition="0">
        <references count="5">
          <reference field="2" count="1" selected="0">
            <x v="4"/>
          </reference>
          <reference field="14" count="1" selected="0">
            <x v="2"/>
          </reference>
          <reference field="15" count="1" selected="0">
            <x v="1"/>
          </reference>
          <reference field="16" count="1" selected="0">
            <x v="3"/>
          </reference>
          <reference field="17" count="1">
            <x v="9"/>
          </reference>
        </references>
      </pivotArea>
    </format>
    <format dxfId="311">
      <pivotArea dataOnly="0" labelOnly="1" fieldPosition="0">
        <references count="5">
          <reference field="2" count="1" selected="0">
            <x v="3"/>
          </reference>
          <reference field="14" count="1" selected="0">
            <x v="2"/>
          </reference>
          <reference field="15" count="1" selected="0">
            <x v="2"/>
          </reference>
          <reference field="16" count="1" selected="0">
            <x v="2"/>
          </reference>
          <reference field="17" count="3">
            <x v="1"/>
            <x v="2"/>
            <x v="7"/>
          </reference>
        </references>
      </pivotArea>
    </format>
    <format dxfId="310">
      <pivotArea dataOnly="0" labelOnly="1" fieldPosition="0">
        <references count="5">
          <reference field="2" count="1" selected="0">
            <x v="2"/>
          </reference>
          <reference field="14" count="1" selected="0">
            <x v="2"/>
          </reference>
          <reference field="15" count="1" selected="0">
            <x v="2"/>
          </reference>
          <reference field="16" count="1" selected="0">
            <x v="2"/>
          </reference>
          <reference field="17" count="2">
            <x v="5"/>
            <x v="8"/>
          </reference>
        </references>
      </pivotArea>
    </format>
    <format dxfId="309">
      <pivotArea dataOnly="0" labelOnly="1" fieldPosition="0">
        <references count="5">
          <reference field="2" count="1" selected="0">
            <x v="2"/>
          </reference>
          <reference field="14" count="1" selected="0">
            <x v="2"/>
          </reference>
          <reference field="15" count="1" selected="0">
            <x v="1"/>
          </reference>
          <reference field="16" count="1" selected="0">
            <x v="3"/>
          </reference>
          <reference field="17" count="1">
            <x v="9"/>
          </reference>
        </references>
      </pivotArea>
    </format>
    <format dxfId="308">
      <pivotArea dataOnly="0" labelOnly="1" fieldPosition="0">
        <references count="5">
          <reference field="2" count="1" selected="0">
            <x v="1"/>
          </reference>
          <reference field="14" count="1" selected="0">
            <x v="2"/>
          </reference>
          <reference field="15" count="1" selected="0">
            <x v="2"/>
          </reference>
          <reference field="16" count="1" selected="0">
            <x v="2"/>
          </reference>
          <reference field="17" count="2">
            <x v="0"/>
            <x v="6"/>
          </reference>
        </references>
      </pivotArea>
    </format>
    <format dxfId="307">
      <pivotArea dataOnly="0" labelOnly="1" fieldPosition="0">
        <references count="6">
          <reference field="2" count="1" selected="0">
            <x v="12"/>
          </reference>
          <reference field="14" count="1" selected="0">
            <x v="2"/>
          </reference>
          <reference field="15" count="1" selected="0">
            <x v="1"/>
          </reference>
          <reference field="16" count="1" selected="0">
            <x v="3"/>
          </reference>
          <reference field="17" count="1" selected="0">
            <x v="4"/>
          </reference>
          <reference field="20" count="1">
            <x v="5"/>
          </reference>
        </references>
      </pivotArea>
    </format>
    <format dxfId="306">
      <pivotArea dataOnly="0" labelOnly="1" fieldPosition="0">
        <references count="6">
          <reference field="2" count="1" selected="0">
            <x v="11"/>
          </reference>
          <reference field="14" count="1" selected="0">
            <x v="2"/>
          </reference>
          <reference field="15" count="1" selected="0">
            <x v="1"/>
          </reference>
          <reference field="16" count="1" selected="0">
            <x v="3"/>
          </reference>
          <reference field="17" count="1" selected="0">
            <x v="9"/>
          </reference>
          <reference field="20" count="1">
            <x v="7"/>
          </reference>
        </references>
      </pivotArea>
    </format>
    <format dxfId="305">
      <pivotArea dataOnly="0" labelOnly="1" fieldPosition="0">
        <references count="6">
          <reference field="2" count="1" selected="0">
            <x v="10"/>
          </reference>
          <reference field="14" count="1" selected="0">
            <x v="2"/>
          </reference>
          <reference field="15" count="1" selected="0">
            <x v="1"/>
          </reference>
          <reference field="16" count="1" selected="0">
            <x v="3"/>
          </reference>
          <reference field="17" count="1" selected="0">
            <x v="7"/>
          </reference>
          <reference field="20" count="1">
            <x v="2"/>
          </reference>
        </references>
      </pivotArea>
    </format>
    <format dxfId="304">
      <pivotArea dataOnly="0" labelOnly="1" fieldPosition="0">
        <references count="6">
          <reference field="2" count="1" selected="0">
            <x v="9"/>
          </reference>
          <reference field="14" count="1" selected="0">
            <x v="2"/>
          </reference>
          <reference field="15" count="1" selected="0">
            <x v="1"/>
          </reference>
          <reference field="16" count="1" selected="0">
            <x v="3"/>
          </reference>
          <reference field="17" count="1" selected="0">
            <x v="9"/>
          </reference>
          <reference field="20" count="2">
            <x v="8"/>
            <x v="9"/>
          </reference>
        </references>
      </pivotArea>
    </format>
    <format dxfId="303">
      <pivotArea dataOnly="0" labelOnly="1" fieldPosition="0">
        <references count="6">
          <reference field="2" count="1" selected="0">
            <x v="8"/>
          </reference>
          <reference field="14" count="1" selected="0">
            <x v="2"/>
          </reference>
          <reference field="15" count="1" selected="0">
            <x v="1"/>
          </reference>
          <reference field="16" count="1" selected="0">
            <x v="3"/>
          </reference>
          <reference field="17" count="1" selected="0">
            <x v="4"/>
          </reference>
          <reference field="20" count="1">
            <x v="5"/>
          </reference>
        </references>
      </pivotArea>
    </format>
    <format dxfId="302">
      <pivotArea dataOnly="0" labelOnly="1" fieldPosition="0">
        <references count="6">
          <reference field="2" count="1" selected="0">
            <x v="5"/>
          </reference>
          <reference field="14" count="1" selected="0">
            <x v="2"/>
          </reference>
          <reference field="15" count="1" selected="0">
            <x v="2"/>
          </reference>
          <reference field="16" count="1" selected="0">
            <x v="2"/>
          </reference>
          <reference field="17" count="1" selected="0">
            <x v="4"/>
          </reference>
          <reference field="20" count="3">
            <x v="3"/>
            <x v="4"/>
            <x v="10"/>
          </reference>
        </references>
      </pivotArea>
    </format>
    <format dxfId="301">
      <pivotArea dataOnly="0" labelOnly="1" fieldPosition="0">
        <references count="6">
          <reference field="2" count="1" selected="0">
            <x v="5"/>
          </reference>
          <reference field="14" count="1" selected="0">
            <x v="2"/>
          </reference>
          <reference field="15" count="1" selected="0">
            <x v="1"/>
          </reference>
          <reference field="16" count="1" selected="0">
            <x v="3"/>
          </reference>
          <reference field="17" count="1" selected="0">
            <x v="4"/>
          </reference>
          <reference field="20" count="1">
            <x v="5"/>
          </reference>
        </references>
      </pivotArea>
    </format>
    <format dxfId="300">
      <pivotArea dataOnly="0" labelOnly="1" fieldPosition="0">
        <references count="6">
          <reference field="2" count="1" selected="0">
            <x v="4"/>
          </reference>
          <reference field="14" count="1" selected="0">
            <x v="2"/>
          </reference>
          <reference field="15" count="1" selected="0">
            <x v="2"/>
          </reference>
          <reference field="16" count="1" selected="0">
            <x v="2"/>
          </reference>
          <reference field="17" count="1" selected="0">
            <x v="3"/>
          </reference>
          <reference field="20" count="1">
            <x v="0"/>
          </reference>
        </references>
      </pivotArea>
    </format>
    <format dxfId="299">
      <pivotArea dataOnly="0" labelOnly="1" fieldPosition="0">
        <references count="6">
          <reference field="2" count="1" selected="0">
            <x v="4"/>
          </reference>
          <reference field="14" count="1" selected="0">
            <x v="2"/>
          </reference>
          <reference field="15" count="1" selected="0">
            <x v="1"/>
          </reference>
          <reference field="16" count="1" selected="0">
            <x v="3"/>
          </reference>
          <reference field="17" count="1" selected="0">
            <x v="9"/>
          </reference>
          <reference field="20" count="1">
            <x v="8"/>
          </reference>
        </references>
      </pivotArea>
    </format>
    <format dxfId="298">
      <pivotArea dataOnly="0" labelOnly="1" fieldPosition="0">
        <references count="6">
          <reference field="2" count="1" selected="0">
            <x v="3"/>
          </reference>
          <reference field="14" count="1" selected="0">
            <x v="2"/>
          </reference>
          <reference field="15" count="1" selected="0">
            <x v="2"/>
          </reference>
          <reference field="16" count="1" selected="0">
            <x v="2"/>
          </reference>
          <reference field="17" count="1" selected="0">
            <x v="1"/>
          </reference>
          <reference field="20" count="2">
            <x v="0"/>
            <x v="11"/>
          </reference>
        </references>
      </pivotArea>
    </format>
    <format dxfId="297">
      <pivotArea dataOnly="0" labelOnly="1" fieldPosition="0">
        <references count="6">
          <reference field="2" count="1" selected="0">
            <x v="3"/>
          </reference>
          <reference field="14" count="1" selected="0">
            <x v="2"/>
          </reference>
          <reference field="15" count="1" selected="0">
            <x v="2"/>
          </reference>
          <reference field="16" count="1" selected="0">
            <x v="2"/>
          </reference>
          <reference field="17" count="1" selected="0">
            <x v="7"/>
          </reference>
          <reference field="20" count="1">
            <x v="6"/>
          </reference>
        </references>
      </pivotArea>
    </format>
    <format dxfId="296">
      <pivotArea dataOnly="0" labelOnly="1" fieldPosition="0">
        <references count="6">
          <reference field="2" count="1" selected="0">
            <x v="2"/>
          </reference>
          <reference field="14" count="1" selected="0">
            <x v="2"/>
          </reference>
          <reference field="15" count="1" selected="0">
            <x v="2"/>
          </reference>
          <reference field="16" count="1" selected="0">
            <x v="2"/>
          </reference>
          <reference field="17" count="1" selected="0">
            <x v="5"/>
          </reference>
          <reference field="20" count="1">
            <x v="1"/>
          </reference>
        </references>
      </pivotArea>
    </format>
    <format dxfId="295">
      <pivotArea dataOnly="0" labelOnly="1" fieldPosition="0">
        <references count="6">
          <reference field="2" count="1" selected="0">
            <x v="2"/>
          </reference>
          <reference field="14" count="1" selected="0">
            <x v="2"/>
          </reference>
          <reference field="15" count="1" selected="0">
            <x v="1"/>
          </reference>
          <reference field="16" count="1" selected="0">
            <x v="3"/>
          </reference>
          <reference field="17" count="1" selected="0">
            <x v="9"/>
          </reference>
          <reference field="20" count="1">
            <x v="9"/>
          </reference>
        </references>
      </pivotArea>
    </format>
    <format dxfId="294">
      <pivotArea dataOnly="0" labelOnly="1" fieldPosition="0">
        <references count="6">
          <reference field="2" count="1" selected="0">
            <x v="1"/>
          </reference>
          <reference field="14" count="1" selected="0">
            <x v="2"/>
          </reference>
          <reference field="15" count="1" selected="0">
            <x v="2"/>
          </reference>
          <reference field="16" count="1" selected="0">
            <x v="2"/>
          </reference>
          <reference field="17" count="1" selected="0">
            <x v="0"/>
          </reference>
          <reference field="20" count="1">
            <x v="1"/>
          </reference>
        </references>
      </pivotArea>
    </format>
    <format dxfId="293">
      <pivotArea dataOnly="0" labelOnly="1" fieldPosition="0">
        <references count="7">
          <reference field="2" count="1" selected="0">
            <x v="12"/>
          </reference>
          <reference field="14" count="1" selected="0">
            <x v="2"/>
          </reference>
          <reference field="15" count="1" selected="0">
            <x v="1"/>
          </reference>
          <reference field="16" count="1" selected="0">
            <x v="3"/>
          </reference>
          <reference field="17" count="1" selected="0">
            <x v="4"/>
          </reference>
          <reference field="20" count="1" selected="0">
            <x v="5"/>
          </reference>
          <reference field="24" count="1">
            <x v="14"/>
          </reference>
        </references>
      </pivotArea>
    </format>
    <format dxfId="292">
      <pivotArea dataOnly="0" labelOnly="1" fieldPosition="0">
        <references count="7">
          <reference field="2" count="1" selected="0">
            <x v="11"/>
          </reference>
          <reference field="14" count="1" selected="0">
            <x v="2"/>
          </reference>
          <reference field="15" count="1" selected="0">
            <x v="1"/>
          </reference>
          <reference field="16" count="1" selected="0">
            <x v="3"/>
          </reference>
          <reference field="17" count="1" selected="0">
            <x v="9"/>
          </reference>
          <reference field="20" count="1" selected="0">
            <x v="7"/>
          </reference>
          <reference field="24" count="1">
            <x v="16"/>
          </reference>
        </references>
      </pivotArea>
    </format>
    <format dxfId="291">
      <pivotArea dataOnly="0" labelOnly="1" fieldPosition="0">
        <references count="7">
          <reference field="2" count="1" selected="0">
            <x v="10"/>
          </reference>
          <reference field="14" count="1" selected="0">
            <x v="2"/>
          </reference>
          <reference field="15" count="1" selected="0">
            <x v="1"/>
          </reference>
          <reference field="16" count="1" selected="0">
            <x v="3"/>
          </reference>
          <reference field="17" count="1" selected="0">
            <x v="7"/>
          </reference>
          <reference field="20" count="1" selected="0">
            <x v="2"/>
          </reference>
          <reference field="24" count="1">
            <x v="15"/>
          </reference>
        </references>
      </pivotArea>
    </format>
    <format dxfId="290">
      <pivotArea dataOnly="0" labelOnly="1" fieldPosition="0">
        <references count="7">
          <reference field="2" count="1" selected="0">
            <x v="9"/>
          </reference>
          <reference field="14" count="1" selected="0">
            <x v="2"/>
          </reference>
          <reference field="15" count="1" selected="0">
            <x v="1"/>
          </reference>
          <reference field="16" count="1" selected="0">
            <x v="3"/>
          </reference>
          <reference field="17" count="1" selected="0">
            <x v="9"/>
          </reference>
          <reference field="20" count="1" selected="0">
            <x v="8"/>
          </reference>
          <reference field="24" count="1">
            <x v="17"/>
          </reference>
        </references>
      </pivotArea>
    </format>
    <format dxfId="289">
      <pivotArea dataOnly="0" labelOnly="1" fieldPosition="0">
        <references count="7">
          <reference field="2" count="1" selected="0">
            <x v="9"/>
          </reference>
          <reference field="14" count="1" selected="0">
            <x v="2"/>
          </reference>
          <reference field="15" count="1" selected="0">
            <x v="1"/>
          </reference>
          <reference field="16" count="1" selected="0">
            <x v="3"/>
          </reference>
          <reference field="17" count="1" selected="0">
            <x v="9"/>
          </reference>
          <reference field="20" count="1" selected="0">
            <x v="9"/>
          </reference>
          <reference field="24" count="1">
            <x v="18"/>
          </reference>
        </references>
      </pivotArea>
    </format>
    <format dxfId="288">
      <pivotArea dataOnly="0" labelOnly="1" fieldPosition="0">
        <references count="7">
          <reference field="2" count="1" selected="0">
            <x v="8"/>
          </reference>
          <reference field="14" count="1" selected="0">
            <x v="2"/>
          </reference>
          <reference field="15" count="1" selected="0">
            <x v="1"/>
          </reference>
          <reference field="16" count="1" selected="0">
            <x v="3"/>
          </reference>
          <reference field="17" count="1" selected="0">
            <x v="4"/>
          </reference>
          <reference field="20" count="1" selected="0">
            <x v="5"/>
          </reference>
          <reference field="24" count="1">
            <x v="14"/>
          </reference>
        </references>
      </pivotArea>
    </format>
    <format dxfId="287">
      <pivotArea dataOnly="0" labelOnly="1" fieldPosition="0">
        <references count="7">
          <reference field="2" count="1" selected="0">
            <x v="5"/>
          </reference>
          <reference field="14" count="1" selected="0">
            <x v="2"/>
          </reference>
          <reference field="15" count="1" selected="0">
            <x v="2"/>
          </reference>
          <reference field="16" count="1" selected="0">
            <x v="2"/>
          </reference>
          <reference field="17" count="1" selected="0">
            <x v="4"/>
          </reference>
          <reference field="20" count="1" selected="0">
            <x v="3"/>
          </reference>
          <reference field="24" count="1">
            <x v="7"/>
          </reference>
        </references>
      </pivotArea>
    </format>
    <format dxfId="286">
      <pivotArea dataOnly="0" labelOnly="1" fieldPosition="0">
        <references count="7">
          <reference field="2" count="1" selected="0">
            <x v="5"/>
          </reference>
          <reference field="14" count="1" selected="0">
            <x v="2"/>
          </reference>
          <reference field="15" count="1" selected="0">
            <x v="2"/>
          </reference>
          <reference field="16" count="1" selected="0">
            <x v="2"/>
          </reference>
          <reference field="17" count="1" selected="0">
            <x v="4"/>
          </reference>
          <reference field="20" count="1" selected="0">
            <x v="4"/>
          </reference>
          <reference field="24" count="1">
            <x v="19"/>
          </reference>
        </references>
      </pivotArea>
    </format>
    <format dxfId="285">
      <pivotArea dataOnly="0" labelOnly="1" fieldPosition="0">
        <references count="7">
          <reference field="2" count="1" selected="0">
            <x v="5"/>
          </reference>
          <reference field="14" count="1" selected="0">
            <x v="2"/>
          </reference>
          <reference field="15" count="1" selected="0">
            <x v="2"/>
          </reference>
          <reference field="16" count="1" selected="0">
            <x v="2"/>
          </reference>
          <reference field="17" count="1" selected="0">
            <x v="4"/>
          </reference>
          <reference field="20" count="1" selected="0">
            <x v="10"/>
          </reference>
          <reference field="24" count="1">
            <x v="9"/>
          </reference>
        </references>
      </pivotArea>
    </format>
    <format dxfId="284">
      <pivotArea dataOnly="0" labelOnly="1" fieldPosition="0">
        <references count="7">
          <reference field="2" count="1" selected="0">
            <x v="5"/>
          </reference>
          <reference field="14" count="1" selected="0">
            <x v="2"/>
          </reference>
          <reference field="15" count="1" selected="0">
            <x v="1"/>
          </reference>
          <reference field="16" count="1" selected="0">
            <x v="3"/>
          </reference>
          <reference field="17" count="1" selected="0">
            <x v="4"/>
          </reference>
          <reference field="20" count="1" selected="0">
            <x v="5"/>
          </reference>
          <reference field="24" count="1">
            <x v="14"/>
          </reference>
        </references>
      </pivotArea>
    </format>
    <format dxfId="283">
      <pivotArea dataOnly="0" labelOnly="1" fieldPosition="0">
        <references count="7">
          <reference field="2" count="1" selected="0">
            <x v="4"/>
          </reference>
          <reference field="14" count="1" selected="0">
            <x v="2"/>
          </reference>
          <reference field="15" count="1" selected="0">
            <x v="2"/>
          </reference>
          <reference field="16" count="1" selected="0">
            <x v="2"/>
          </reference>
          <reference field="17" count="1" selected="0">
            <x v="3"/>
          </reference>
          <reference field="20" count="1" selected="0">
            <x v="0"/>
          </reference>
          <reference field="24" count="1">
            <x v="6"/>
          </reference>
        </references>
      </pivotArea>
    </format>
    <format dxfId="282">
      <pivotArea dataOnly="0" labelOnly="1" fieldPosition="0">
        <references count="7">
          <reference field="2" count="1" selected="0">
            <x v="4"/>
          </reference>
          <reference field="14" count="1" selected="0">
            <x v="2"/>
          </reference>
          <reference field="15" count="1" selected="0">
            <x v="1"/>
          </reference>
          <reference field="16" count="1" selected="0">
            <x v="3"/>
          </reference>
          <reference field="17" count="1" selected="0">
            <x v="9"/>
          </reference>
          <reference field="20" count="1" selected="0">
            <x v="8"/>
          </reference>
          <reference field="24" count="1">
            <x v="17"/>
          </reference>
        </references>
      </pivotArea>
    </format>
    <format dxfId="281">
      <pivotArea dataOnly="0" labelOnly="1" fieldPosition="0">
        <references count="7">
          <reference field="2" count="1" selected="0">
            <x v="3"/>
          </reference>
          <reference field="14" count="1" selected="0">
            <x v="2"/>
          </reference>
          <reference field="15" count="1" selected="0">
            <x v="2"/>
          </reference>
          <reference field="16" count="1" selected="0">
            <x v="2"/>
          </reference>
          <reference field="17" count="1" selected="0">
            <x v="1"/>
          </reference>
          <reference field="20" count="1" selected="0">
            <x v="0"/>
          </reference>
          <reference field="24" count="1">
            <x v="3"/>
          </reference>
        </references>
      </pivotArea>
    </format>
    <format dxfId="280">
      <pivotArea dataOnly="0" labelOnly="1" fieldPosition="0">
        <references count="7">
          <reference field="2" count="1" selected="0">
            <x v="3"/>
          </reference>
          <reference field="14" count="1" selected="0">
            <x v="2"/>
          </reference>
          <reference field="15" count="1" selected="0">
            <x v="2"/>
          </reference>
          <reference field="16" count="1" selected="0">
            <x v="2"/>
          </reference>
          <reference field="17" count="1" selected="0">
            <x v="1"/>
          </reference>
          <reference field="20" count="1" selected="0">
            <x v="11"/>
          </reference>
          <reference field="24" count="1">
            <x v="4"/>
          </reference>
        </references>
      </pivotArea>
    </format>
    <format dxfId="279">
      <pivotArea dataOnly="0" labelOnly="1" fieldPosition="0">
        <references count="7">
          <reference field="2" count="1" selected="0">
            <x v="3"/>
          </reference>
          <reference field="14" count="1" selected="0">
            <x v="2"/>
          </reference>
          <reference field="15" count="1" selected="0">
            <x v="2"/>
          </reference>
          <reference field="16" count="1" selected="0">
            <x v="2"/>
          </reference>
          <reference field="17" count="1" selected="0">
            <x v="2"/>
          </reference>
          <reference field="20" count="1" selected="0">
            <x v="11"/>
          </reference>
          <reference field="24" count="1">
            <x v="5"/>
          </reference>
        </references>
      </pivotArea>
    </format>
    <format dxfId="278">
      <pivotArea dataOnly="0" labelOnly="1" fieldPosition="0">
        <references count="7">
          <reference field="2" count="1" selected="0">
            <x v="3"/>
          </reference>
          <reference field="14" count="1" selected="0">
            <x v="2"/>
          </reference>
          <reference field="15" count="1" selected="0">
            <x v="2"/>
          </reference>
          <reference field="16" count="1" selected="0">
            <x v="2"/>
          </reference>
          <reference field="17" count="1" selected="0">
            <x v="7"/>
          </reference>
          <reference field="20" count="1" selected="0">
            <x v="6"/>
          </reference>
          <reference field="24" count="1">
            <x v="12"/>
          </reference>
        </references>
      </pivotArea>
    </format>
    <format dxfId="277">
      <pivotArea dataOnly="0" labelOnly="1" fieldPosition="0">
        <references count="7">
          <reference field="2" count="1" selected="0">
            <x v="2"/>
          </reference>
          <reference field="14" count="1" selected="0">
            <x v="2"/>
          </reference>
          <reference field="15" count="1" selected="0">
            <x v="2"/>
          </reference>
          <reference field="16" count="1" selected="0">
            <x v="2"/>
          </reference>
          <reference field="17" count="1" selected="0">
            <x v="5"/>
          </reference>
          <reference field="20" count="1" selected="0">
            <x v="1"/>
          </reference>
          <reference field="24" count="1">
            <x v="10"/>
          </reference>
        </references>
      </pivotArea>
    </format>
    <format dxfId="276">
      <pivotArea dataOnly="0" labelOnly="1" fieldPosition="0">
        <references count="7">
          <reference field="2" count="1" selected="0">
            <x v="2"/>
          </reference>
          <reference field="14" count="1" selected="0">
            <x v="2"/>
          </reference>
          <reference field="15" count="1" selected="0">
            <x v="2"/>
          </reference>
          <reference field="16" count="1" selected="0">
            <x v="2"/>
          </reference>
          <reference field="17" count="1" selected="0">
            <x v="8"/>
          </reference>
          <reference field="20" count="1" selected="0">
            <x v="1"/>
          </reference>
          <reference field="24" count="1">
            <x v="13"/>
          </reference>
        </references>
      </pivotArea>
    </format>
    <format dxfId="275">
      <pivotArea dataOnly="0" labelOnly="1" fieldPosition="0">
        <references count="7">
          <reference field="2" count="1" selected="0">
            <x v="2"/>
          </reference>
          <reference field="14" count="1" selected="0">
            <x v="2"/>
          </reference>
          <reference field="15" count="1" selected="0">
            <x v="1"/>
          </reference>
          <reference field="16" count="1" selected="0">
            <x v="3"/>
          </reference>
          <reference field="17" count="1" selected="0">
            <x v="9"/>
          </reference>
          <reference field="20" count="1" selected="0">
            <x v="9"/>
          </reference>
          <reference field="24" count="1">
            <x v="18"/>
          </reference>
        </references>
      </pivotArea>
    </format>
    <format dxfId="274">
      <pivotArea dataOnly="0" labelOnly="1" fieldPosition="0">
        <references count="7">
          <reference field="2" count="1" selected="0">
            <x v="1"/>
          </reference>
          <reference field="14" count="1" selected="0">
            <x v="2"/>
          </reference>
          <reference field="15" count="1" selected="0">
            <x v="2"/>
          </reference>
          <reference field="16" count="1" selected="0">
            <x v="2"/>
          </reference>
          <reference field="17" count="1" selected="0">
            <x v="0"/>
          </reference>
          <reference field="20" count="1" selected="0">
            <x v="1"/>
          </reference>
          <reference field="24" count="1">
            <x v="2"/>
          </reference>
        </references>
      </pivotArea>
    </format>
    <format dxfId="273">
      <pivotArea dataOnly="0" labelOnly="1" fieldPosition="0">
        <references count="7">
          <reference field="2" count="1" selected="0">
            <x v="1"/>
          </reference>
          <reference field="14" count="1" selected="0">
            <x v="2"/>
          </reference>
          <reference field="15" count="1" selected="0">
            <x v="2"/>
          </reference>
          <reference field="16" count="1" selected="0">
            <x v="2"/>
          </reference>
          <reference field="17" count="1" selected="0">
            <x v="6"/>
          </reference>
          <reference field="20" count="1" selected="0">
            <x v="1"/>
          </reference>
          <reference field="24" count="1">
            <x v="11"/>
          </reference>
        </references>
      </pivotArea>
    </format>
    <format dxfId="272">
      <pivotArea dataOnly="0" labelOnly="1" fieldPosition="0">
        <references count="8">
          <reference field="2" count="1" selected="0">
            <x v="12"/>
          </reference>
          <reference field="14" count="1" selected="0">
            <x v="2"/>
          </reference>
          <reference field="15" count="1" selected="0">
            <x v="1"/>
          </reference>
          <reference field="16" count="1" selected="0">
            <x v="3"/>
          </reference>
          <reference field="17" count="1" selected="0">
            <x v="4"/>
          </reference>
          <reference field="20" count="1" selected="0">
            <x v="5"/>
          </reference>
          <reference field="24" count="1" selected="0">
            <x v="14"/>
          </reference>
          <reference field="25" count="1">
            <x v="9"/>
          </reference>
        </references>
      </pivotArea>
    </format>
    <format dxfId="271">
      <pivotArea dataOnly="0" labelOnly="1" fieldPosition="0">
        <references count="8">
          <reference field="2" count="1" selected="0">
            <x v="11"/>
          </reference>
          <reference field="14" count="1" selected="0">
            <x v="2"/>
          </reference>
          <reference field="15" count="1" selected="0">
            <x v="1"/>
          </reference>
          <reference field="16" count="1" selected="0">
            <x v="3"/>
          </reference>
          <reference field="17" count="1" selected="0">
            <x v="9"/>
          </reference>
          <reference field="20" count="1" selected="0">
            <x v="7"/>
          </reference>
          <reference field="24" count="1" selected="0">
            <x v="16"/>
          </reference>
          <reference field="25" count="1">
            <x v="15"/>
          </reference>
        </references>
      </pivotArea>
    </format>
    <format dxfId="270">
      <pivotArea dataOnly="0" labelOnly="1" fieldPosition="0">
        <references count="8">
          <reference field="2" count="1" selected="0">
            <x v="10"/>
          </reference>
          <reference field="14" count="1" selected="0">
            <x v="2"/>
          </reference>
          <reference field="15" count="1" selected="0">
            <x v="1"/>
          </reference>
          <reference field="16" count="1" selected="0">
            <x v="3"/>
          </reference>
          <reference field="17" count="1" selected="0">
            <x v="7"/>
          </reference>
          <reference field="20" count="1" selected="0">
            <x v="2"/>
          </reference>
          <reference field="24" count="1" selected="0">
            <x v="15"/>
          </reference>
          <reference field="25" count="1">
            <x v="13"/>
          </reference>
        </references>
      </pivotArea>
    </format>
    <format dxfId="269">
      <pivotArea dataOnly="0" labelOnly="1" fieldPosition="0">
        <references count="8">
          <reference field="2" count="1" selected="0">
            <x v="9"/>
          </reference>
          <reference field="14" count="1" selected="0">
            <x v="2"/>
          </reference>
          <reference field="15" count="1" selected="0">
            <x v="1"/>
          </reference>
          <reference field="16" count="1" selected="0">
            <x v="3"/>
          </reference>
          <reference field="17" count="1" selected="0">
            <x v="9"/>
          </reference>
          <reference field="20" count="1" selected="0">
            <x v="8"/>
          </reference>
          <reference field="24" count="1" selected="0">
            <x v="17"/>
          </reference>
          <reference field="25" count="1">
            <x v="16"/>
          </reference>
        </references>
      </pivotArea>
    </format>
    <format dxfId="268">
      <pivotArea dataOnly="0" labelOnly="1" fieldPosition="0">
        <references count="8">
          <reference field="2" count="1" selected="0">
            <x v="9"/>
          </reference>
          <reference field="14" count="1" selected="0">
            <x v="2"/>
          </reference>
          <reference field="15" count="1" selected="0">
            <x v="1"/>
          </reference>
          <reference field="16" count="1" selected="0">
            <x v="3"/>
          </reference>
          <reference field="17" count="1" selected="0">
            <x v="9"/>
          </reference>
          <reference field="20" count="1" selected="0">
            <x v="9"/>
          </reference>
          <reference field="24" count="1" selected="0">
            <x v="18"/>
          </reference>
          <reference field="25" count="1">
            <x v="17"/>
          </reference>
        </references>
      </pivotArea>
    </format>
    <format dxfId="267">
      <pivotArea dataOnly="0" labelOnly="1" fieldPosition="0">
        <references count="8">
          <reference field="2" count="1" selected="0">
            <x v="8"/>
          </reference>
          <reference field="14" count="1" selected="0">
            <x v="2"/>
          </reference>
          <reference field="15" count="1" selected="0">
            <x v="1"/>
          </reference>
          <reference field="16" count="1" selected="0">
            <x v="3"/>
          </reference>
          <reference field="17" count="1" selected="0">
            <x v="4"/>
          </reference>
          <reference field="20" count="1" selected="0">
            <x v="5"/>
          </reference>
          <reference field="24" count="1" selected="0">
            <x v="14"/>
          </reference>
          <reference field="25" count="1">
            <x v="9"/>
          </reference>
        </references>
      </pivotArea>
    </format>
    <format dxfId="266">
      <pivotArea dataOnly="0" labelOnly="1" fieldPosition="0">
        <references count="8">
          <reference field="2" count="1" selected="0">
            <x v="7"/>
          </reference>
          <reference field="14" count="1" selected="0">
            <x v="2"/>
          </reference>
          <reference field="15" count="1" selected="0">
            <x v="1"/>
          </reference>
          <reference field="16" count="1" selected="0">
            <x v="3"/>
          </reference>
          <reference field="17" count="1" selected="0">
            <x v="4"/>
          </reference>
          <reference field="20" count="1" selected="0">
            <x v="5"/>
          </reference>
          <reference field="24" count="1" selected="0">
            <x v="14"/>
          </reference>
          <reference field="25" count="1">
            <x v="9"/>
          </reference>
        </references>
      </pivotArea>
    </format>
    <format dxfId="265">
      <pivotArea dataOnly="0" labelOnly="1" fieldPosition="0">
        <references count="8">
          <reference field="2" count="1" selected="0">
            <x v="6"/>
          </reference>
          <reference field="14" count="1" selected="0">
            <x v="2"/>
          </reference>
          <reference field="15" count="1" selected="0">
            <x v="1"/>
          </reference>
          <reference field="16" count="1" selected="0">
            <x v="3"/>
          </reference>
          <reference field="17" count="1" selected="0">
            <x v="4"/>
          </reference>
          <reference field="20" count="1" selected="0">
            <x v="5"/>
          </reference>
          <reference field="24" count="1" selected="0">
            <x v="14"/>
          </reference>
          <reference field="25" count="1">
            <x v="9"/>
          </reference>
        </references>
      </pivotArea>
    </format>
    <format dxfId="264">
      <pivotArea dataOnly="0" labelOnly="1" fieldPosition="0">
        <references count="8">
          <reference field="2" count="1" selected="0">
            <x v="5"/>
          </reference>
          <reference field="14" count="1" selected="0">
            <x v="2"/>
          </reference>
          <reference field="15" count="1" selected="0">
            <x v="2"/>
          </reference>
          <reference field="16" count="1" selected="0">
            <x v="2"/>
          </reference>
          <reference field="17" count="1" selected="0">
            <x v="4"/>
          </reference>
          <reference field="20" count="1" selected="0">
            <x v="3"/>
          </reference>
          <reference field="24" count="1" selected="0">
            <x v="7"/>
          </reference>
          <reference field="25" count="1">
            <x v="7"/>
          </reference>
        </references>
      </pivotArea>
    </format>
    <format dxfId="263">
      <pivotArea dataOnly="0" labelOnly="1" fieldPosition="0">
        <references count="8">
          <reference field="2" count="1" selected="0">
            <x v="5"/>
          </reference>
          <reference field="14" count="1" selected="0">
            <x v="2"/>
          </reference>
          <reference field="15" count="1" selected="0">
            <x v="2"/>
          </reference>
          <reference field="16" count="1" selected="0">
            <x v="2"/>
          </reference>
          <reference field="17" count="1" selected="0">
            <x v="4"/>
          </reference>
          <reference field="20" count="1" selected="0">
            <x v="4"/>
          </reference>
          <reference field="24" count="1" selected="0">
            <x v="19"/>
          </reference>
          <reference field="25" count="1">
            <x v="18"/>
          </reference>
        </references>
      </pivotArea>
    </format>
    <format dxfId="262">
      <pivotArea dataOnly="0" labelOnly="1" fieldPosition="0">
        <references count="8">
          <reference field="2" count="1" selected="0">
            <x v="5"/>
          </reference>
          <reference field="14" count="1" selected="0">
            <x v="2"/>
          </reference>
          <reference field="15" count="1" selected="0">
            <x v="2"/>
          </reference>
          <reference field="16" count="1" selected="0">
            <x v="2"/>
          </reference>
          <reference field="17" count="1" selected="0">
            <x v="4"/>
          </reference>
          <reference field="20" count="1" selected="0">
            <x v="10"/>
          </reference>
          <reference field="24" count="1" selected="0">
            <x v="9"/>
          </reference>
          <reference field="25" count="1">
            <x v="8"/>
          </reference>
        </references>
      </pivotArea>
    </format>
    <format dxfId="261">
      <pivotArea dataOnly="0" labelOnly="1" fieldPosition="0">
        <references count="8">
          <reference field="2" count="1" selected="0">
            <x v="5"/>
          </reference>
          <reference field="14" count="1" selected="0">
            <x v="2"/>
          </reference>
          <reference field="15" count="1" selected="0">
            <x v="1"/>
          </reference>
          <reference field="16" count="1" selected="0">
            <x v="3"/>
          </reference>
          <reference field="17" count="1" selected="0">
            <x v="4"/>
          </reference>
          <reference field="20" count="1" selected="0">
            <x v="5"/>
          </reference>
          <reference field="24" count="1" selected="0">
            <x v="14"/>
          </reference>
          <reference field="25" count="1">
            <x v="9"/>
          </reference>
        </references>
      </pivotArea>
    </format>
    <format dxfId="260">
      <pivotArea dataOnly="0" labelOnly="1" fieldPosition="0">
        <references count="8">
          <reference field="2" count="1" selected="0">
            <x v="4"/>
          </reference>
          <reference field="14" count="1" selected="0">
            <x v="2"/>
          </reference>
          <reference field="15" count="1" selected="0">
            <x v="2"/>
          </reference>
          <reference field="16" count="1" selected="0">
            <x v="2"/>
          </reference>
          <reference field="17" count="1" selected="0">
            <x v="3"/>
          </reference>
          <reference field="20" count="1" selected="0">
            <x v="0"/>
          </reference>
          <reference field="24" count="1" selected="0">
            <x v="6"/>
          </reference>
          <reference field="25" count="1">
            <x v="6"/>
          </reference>
        </references>
      </pivotArea>
    </format>
    <format dxfId="259">
      <pivotArea dataOnly="0" labelOnly="1" fieldPosition="0">
        <references count="8">
          <reference field="2" count="1" selected="0">
            <x v="4"/>
          </reference>
          <reference field="14" count="1" selected="0">
            <x v="2"/>
          </reference>
          <reference field="15" count="1" selected="0">
            <x v="1"/>
          </reference>
          <reference field="16" count="1" selected="0">
            <x v="3"/>
          </reference>
          <reference field="17" count="1" selected="0">
            <x v="9"/>
          </reference>
          <reference field="20" count="1" selected="0">
            <x v="8"/>
          </reference>
          <reference field="24" count="1" selected="0">
            <x v="17"/>
          </reference>
          <reference field="25" count="1">
            <x v="16"/>
          </reference>
        </references>
      </pivotArea>
    </format>
    <format dxfId="258">
      <pivotArea dataOnly="0" labelOnly="1" fieldPosition="0">
        <references count="8">
          <reference field="2" count="1" selected="0">
            <x v="3"/>
          </reference>
          <reference field="14" count="1" selected="0">
            <x v="2"/>
          </reference>
          <reference field="15" count="1" selected="0">
            <x v="2"/>
          </reference>
          <reference field="16" count="1" selected="0">
            <x v="2"/>
          </reference>
          <reference field="17" count="1" selected="0">
            <x v="1"/>
          </reference>
          <reference field="20" count="1" selected="0">
            <x v="0"/>
          </reference>
          <reference field="24" count="1" selected="0">
            <x v="3"/>
          </reference>
          <reference field="25" count="1">
            <x v="3"/>
          </reference>
        </references>
      </pivotArea>
    </format>
    <format dxfId="257">
      <pivotArea dataOnly="0" labelOnly="1" fieldPosition="0">
        <references count="8">
          <reference field="2" count="1" selected="0">
            <x v="3"/>
          </reference>
          <reference field="14" count="1" selected="0">
            <x v="2"/>
          </reference>
          <reference field="15" count="1" selected="0">
            <x v="2"/>
          </reference>
          <reference field="16" count="1" selected="0">
            <x v="2"/>
          </reference>
          <reference field="17" count="1" selected="0">
            <x v="1"/>
          </reference>
          <reference field="20" count="1" selected="0">
            <x v="11"/>
          </reference>
          <reference field="24" count="1" selected="0">
            <x v="4"/>
          </reference>
          <reference field="25" count="1">
            <x v="4"/>
          </reference>
        </references>
      </pivotArea>
    </format>
    <format dxfId="256">
      <pivotArea dataOnly="0" labelOnly="1" fieldPosition="0">
        <references count="8">
          <reference field="2" count="1" selected="0">
            <x v="3"/>
          </reference>
          <reference field="14" count="1" selected="0">
            <x v="2"/>
          </reference>
          <reference field="15" count="1" selected="0">
            <x v="2"/>
          </reference>
          <reference field="16" count="1" selected="0">
            <x v="2"/>
          </reference>
          <reference field="17" count="1" selected="0">
            <x v="2"/>
          </reference>
          <reference field="20" count="1" selected="0">
            <x v="11"/>
          </reference>
          <reference field="24" count="1" selected="0">
            <x v="5"/>
          </reference>
          <reference field="25" count="1">
            <x v="5"/>
          </reference>
        </references>
      </pivotArea>
    </format>
    <format dxfId="255">
      <pivotArea dataOnly="0" labelOnly="1" fieldPosition="0">
        <references count="8">
          <reference field="2" count="1" selected="0">
            <x v="3"/>
          </reference>
          <reference field="14" count="1" selected="0">
            <x v="2"/>
          </reference>
          <reference field="15" count="1" selected="0">
            <x v="2"/>
          </reference>
          <reference field="16" count="1" selected="0">
            <x v="2"/>
          </reference>
          <reference field="17" count="1" selected="0">
            <x v="7"/>
          </reference>
          <reference field="20" count="1" selected="0">
            <x v="6"/>
          </reference>
          <reference field="24" count="1" selected="0">
            <x v="12"/>
          </reference>
          <reference field="25" count="1">
            <x v="12"/>
          </reference>
        </references>
      </pivotArea>
    </format>
    <format dxfId="254">
      <pivotArea dataOnly="0" labelOnly="1" fieldPosition="0">
        <references count="8">
          <reference field="2" count="1" selected="0">
            <x v="2"/>
          </reference>
          <reference field="14" count="1" selected="0">
            <x v="2"/>
          </reference>
          <reference field="15" count="1" selected="0">
            <x v="2"/>
          </reference>
          <reference field="16" count="1" selected="0">
            <x v="2"/>
          </reference>
          <reference field="17" count="1" selected="0">
            <x v="5"/>
          </reference>
          <reference field="20" count="1" selected="0">
            <x v="1"/>
          </reference>
          <reference field="24" count="1" selected="0">
            <x v="10"/>
          </reference>
          <reference field="25" count="1">
            <x v="10"/>
          </reference>
        </references>
      </pivotArea>
    </format>
    <format dxfId="253">
      <pivotArea dataOnly="0" labelOnly="1" fieldPosition="0">
        <references count="8">
          <reference field="2" count="1" selected="0">
            <x v="2"/>
          </reference>
          <reference field="14" count="1" selected="0">
            <x v="2"/>
          </reference>
          <reference field="15" count="1" selected="0">
            <x v="2"/>
          </reference>
          <reference field="16" count="1" selected="0">
            <x v="2"/>
          </reference>
          <reference field="17" count="1" selected="0">
            <x v="8"/>
          </reference>
          <reference field="20" count="1" selected="0">
            <x v="1"/>
          </reference>
          <reference field="24" count="1" selected="0">
            <x v="13"/>
          </reference>
          <reference field="25" count="1">
            <x v="14"/>
          </reference>
        </references>
      </pivotArea>
    </format>
    <format dxfId="252">
      <pivotArea dataOnly="0" labelOnly="1" fieldPosition="0">
        <references count="8">
          <reference field="2" count="1" selected="0">
            <x v="2"/>
          </reference>
          <reference field="14" count="1" selected="0">
            <x v="2"/>
          </reference>
          <reference field="15" count="1" selected="0">
            <x v="1"/>
          </reference>
          <reference field="16" count="1" selected="0">
            <x v="3"/>
          </reference>
          <reference field="17" count="1" selected="0">
            <x v="9"/>
          </reference>
          <reference field="20" count="1" selected="0">
            <x v="9"/>
          </reference>
          <reference field="24" count="1" selected="0">
            <x v="18"/>
          </reference>
          <reference field="25" count="1">
            <x v="17"/>
          </reference>
        </references>
      </pivotArea>
    </format>
    <format dxfId="251">
      <pivotArea dataOnly="0" labelOnly="1" fieldPosition="0">
        <references count="8">
          <reference field="2" count="1" selected="0">
            <x v="1"/>
          </reference>
          <reference field="14" count="1" selected="0">
            <x v="2"/>
          </reference>
          <reference field="15" count="1" selected="0">
            <x v="2"/>
          </reference>
          <reference field="16" count="1" selected="0">
            <x v="2"/>
          </reference>
          <reference field="17" count="1" selected="0">
            <x v="0"/>
          </reference>
          <reference field="20" count="1" selected="0">
            <x v="1"/>
          </reference>
          <reference field="24" count="1" selected="0">
            <x v="2"/>
          </reference>
          <reference field="25" count="1">
            <x v="2"/>
          </reference>
        </references>
      </pivotArea>
    </format>
    <format dxfId="250">
      <pivotArea dataOnly="0" labelOnly="1" fieldPosition="0">
        <references count="8">
          <reference field="2" count="1" selected="0">
            <x v="1"/>
          </reference>
          <reference field="14" count="1" selected="0">
            <x v="2"/>
          </reference>
          <reference field="15" count="1" selected="0">
            <x v="2"/>
          </reference>
          <reference field="16" count="1" selected="0">
            <x v="2"/>
          </reference>
          <reference field="17" count="1" selected="0">
            <x v="6"/>
          </reference>
          <reference field="20" count="1" selected="0">
            <x v="1"/>
          </reference>
          <reference field="24" count="1" selected="0">
            <x v="11"/>
          </reference>
          <reference field="25" count="1">
            <x v="11"/>
          </reference>
        </references>
      </pivotArea>
    </format>
    <format dxfId="249">
      <pivotArea dataOnly="0" labelOnly="1" outline="0" axis="axisValues" fieldPosition="0"/>
    </format>
    <format dxfId="248">
      <pivotArea dataOnly="0" labelOnly="1" outline="0" fieldPosition="0">
        <references count="1">
          <reference field="1" count="0"/>
        </references>
      </pivotArea>
    </format>
    <format dxfId="247">
      <pivotArea field="14" type="button" dataOnly="0" labelOnly="1" outline="0" axis="axisRow" fieldPosition="1"/>
    </format>
    <format dxfId="246">
      <pivotArea dataOnly="0" labelOnly="1" outline="0" axis="axisValues" fieldPosition="0"/>
    </format>
    <format dxfId="245">
      <pivotArea field="2" type="button" dataOnly="0" labelOnly="1" outline="0" axis="axisRow" fieldPosition="0"/>
    </format>
    <format dxfId="244">
      <pivotArea field="14" type="button" dataOnly="0" labelOnly="1" outline="0" axis="axisRow" fieldPosition="1"/>
    </format>
    <format dxfId="243">
      <pivotArea field="15" type="button" dataOnly="0" labelOnly="1" outline="0" axis="axisRow" fieldPosition="2"/>
    </format>
    <format dxfId="242">
      <pivotArea field="16" type="button" dataOnly="0" labelOnly="1" outline="0" axis="axisRow" fieldPosition="3"/>
    </format>
    <format dxfId="241">
      <pivotArea field="17" type="button" dataOnly="0" labelOnly="1" outline="0" axis="axisRow" fieldPosition="4"/>
    </format>
    <format dxfId="240">
      <pivotArea field="20" type="button" dataOnly="0" labelOnly="1" outline="0" axis="axisRow" fieldPosition="5"/>
    </format>
    <format dxfId="239">
      <pivotArea field="24" type="button" dataOnly="0" labelOnly="1" outline="0" axis="axisRow" fieldPosition="6"/>
    </format>
    <format dxfId="238">
      <pivotArea field="25" type="button" dataOnly="0" labelOnly="1" outline="0" axis="axisRow" fieldPosition="7"/>
    </format>
    <format dxfId="237">
      <pivotArea dataOnly="0" labelOnly="1" outline="0" axis="axisValues" fieldPosition="0"/>
    </format>
    <format dxfId="236">
      <pivotArea field="2" type="button" dataOnly="0" labelOnly="1" outline="0" axis="axisRow" fieldPosition="0"/>
    </format>
    <format dxfId="235">
      <pivotArea field="14" type="button" dataOnly="0" labelOnly="1" outline="0" axis="axisRow" fieldPosition="1"/>
    </format>
    <format dxfId="234">
      <pivotArea field="15" type="button" dataOnly="0" labelOnly="1" outline="0" axis="axisRow" fieldPosition="2"/>
    </format>
    <format dxfId="233">
      <pivotArea field="16" type="button" dataOnly="0" labelOnly="1" outline="0" axis="axisRow" fieldPosition="3"/>
    </format>
    <format dxfId="232">
      <pivotArea field="17" type="button" dataOnly="0" labelOnly="1" outline="0" axis="axisRow" fieldPosition="4"/>
    </format>
    <format dxfId="231">
      <pivotArea field="20" type="button" dataOnly="0" labelOnly="1" outline="0" axis="axisRow" fieldPosition="5"/>
    </format>
    <format dxfId="230">
      <pivotArea field="24" type="button" dataOnly="0" labelOnly="1" outline="0" axis="axisRow" fieldPosition="6"/>
    </format>
    <format dxfId="229">
      <pivotArea field="25" type="button" dataOnly="0" labelOnly="1" outline="0" axis="axisRow" fieldPosition="7"/>
    </format>
    <format dxfId="228">
      <pivotArea dataOnly="0" labelOnly="1" outline="0" axis="axisValues" fieldPosition="0"/>
    </format>
    <format dxfId="227">
      <pivotArea field="2" type="button" dataOnly="0" labelOnly="1" outline="0" axis="axisRow" fieldPosition="0"/>
    </format>
    <format dxfId="226">
      <pivotArea field="14" type="button" dataOnly="0" labelOnly="1" outline="0" axis="axisRow" fieldPosition="1"/>
    </format>
    <format dxfId="225">
      <pivotArea field="15" type="button" dataOnly="0" labelOnly="1" outline="0" axis="axisRow" fieldPosition="2"/>
    </format>
    <format dxfId="224">
      <pivotArea field="16" type="button" dataOnly="0" labelOnly="1" outline="0" axis="axisRow" fieldPosition="3"/>
    </format>
    <format dxfId="223">
      <pivotArea field="17" type="button" dataOnly="0" labelOnly="1" outline="0" axis="axisRow" fieldPosition="4"/>
    </format>
    <format dxfId="222">
      <pivotArea field="20" type="button" dataOnly="0" labelOnly="1" outline="0" axis="axisRow" fieldPosition="5"/>
    </format>
    <format dxfId="221">
      <pivotArea field="24" type="button" dataOnly="0" labelOnly="1" outline="0" axis="axisRow" fieldPosition="6"/>
    </format>
    <format dxfId="220">
      <pivotArea field="25" type="button" dataOnly="0" labelOnly="1" outline="0" axis="axisRow" fieldPosition="7"/>
    </format>
    <format dxfId="219">
      <pivotArea dataOnly="0" labelOnly="1" outline="0" axis="axisValues" fieldPosition="0"/>
    </format>
    <format dxfId="218">
      <pivotArea field="2" type="button" dataOnly="0" labelOnly="1" outline="0" axis="axisRow" fieldPosition="0"/>
    </format>
    <format dxfId="217">
      <pivotArea field="14" type="button" dataOnly="0" labelOnly="1" outline="0" axis="axisRow" fieldPosition="1"/>
    </format>
    <format dxfId="216">
      <pivotArea field="15" type="button" dataOnly="0" labelOnly="1" outline="0" axis="axisRow" fieldPosition="2"/>
    </format>
    <format dxfId="215">
      <pivotArea field="16" type="button" dataOnly="0" labelOnly="1" outline="0" axis="axisRow" fieldPosition="3"/>
    </format>
    <format dxfId="214">
      <pivotArea field="17" type="button" dataOnly="0" labelOnly="1" outline="0" axis="axisRow" fieldPosition="4"/>
    </format>
    <format dxfId="213">
      <pivotArea field="20" type="button" dataOnly="0" labelOnly="1" outline="0" axis="axisRow" fieldPosition="5"/>
    </format>
    <format dxfId="212">
      <pivotArea field="24" type="button" dataOnly="0" labelOnly="1" outline="0" axis="axisRow" fieldPosition="6"/>
    </format>
    <format dxfId="211">
      <pivotArea field="25" type="button" dataOnly="0" labelOnly="1" outline="0" axis="axisRow" fieldPosition="7"/>
    </format>
    <format dxfId="210">
      <pivotArea dataOnly="0" labelOnly="1" outline="0" axis="axisValues" fieldPosition="0"/>
    </format>
    <format dxfId="209">
      <pivotArea field="24" type="button" dataOnly="0" labelOnly="1" outline="0" axis="axisRow" fieldPosition="6"/>
    </format>
    <format dxfId="208">
      <pivotArea field="2" type="button" dataOnly="0" labelOnly="1" outline="0" axis="axisRow" fieldPosition="0"/>
    </format>
    <format dxfId="207">
      <pivotArea field="14" type="button" dataOnly="0" labelOnly="1" outline="0" axis="axisRow" fieldPosition="1"/>
    </format>
    <format dxfId="206">
      <pivotArea field="15" type="button" dataOnly="0" labelOnly="1" outline="0" axis="axisRow" fieldPosition="2"/>
    </format>
    <format dxfId="205">
      <pivotArea field="16" type="button" dataOnly="0" labelOnly="1" outline="0" axis="axisRow" fieldPosition="3"/>
    </format>
    <format dxfId="204">
      <pivotArea field="17" type="button" dataOnly="0" labelOnly="1" outline="0" axis="axisRow" fieldPosition="4"/>
    </format>
    <format dxfId="203">
      <pivotArea field="20" type="button" dataOnly="0" labelOnly="1" outline="0" axis="axisRow" fieldPosition="5"/>
    </format>
    <format dxfId="202">
      <pivotArea outline="0" collapsedLevelsAreSubtotals="1" fieldPosition="0"/>
    </format>
    <format dxfId="201">
      <pivotArea dataOnly="0" labelOnly="1" outline="0" axis="axisValues" fieldPosition="0"/>
    </format>
    <format dxfId="200">
      <pivotArea grandRow="1" outline="0" collapsedLevelsAreSubtotals="1" fieldPosition="0"/>
    </format>
    <format dxfId="199">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PAA" displayName="PAA" ref="B10:AC913" totalsRowShown="0" dataDxfId="31" headerRowBorderDxfId="32" tableBorderDxfId="30" totalsRowBorderDxfId="29">
  <autoFilter ref="B10:AC913"/>
  <sortState ref="B11:AC913">
    <sortCondition sortBy="cellColor" ref="B10:B913" dxfId="28"/>
  </sortState>
  <tableColumns count="28">
    <tableColumn id="1" name="Id" dataDxfId="27" dataCellStyle="Millares"/>
    <tableColumn id="2" name="Proyecto y nombre " dataDxfId="26" dataCellStyle="Millares"/>
    <tableColumn id="3" name="Dependencia " dataDxfId="25"/>
    <tableColumn id="4" name="Responsable" dataDxfId="24" dataCellStyle="Normal 2"/>
    <tableColumn id="5" name="Objeto" dataDxfId="23"/>
    <tableColumn id="6" name="Tipo de Contratación" dataDxfId="22"/>
    <tableColumn id="7" name="Código UNSPSC (cada código separado por ;)" dataDxfId="21" dataCellStyle="Moneda"/>
    <tableColumn id="8" name="Mes inicio de ejecución" dataDxfId="20"/>
    <tableColumn id="9" name="plazo ejec Meses" dataDxfId="19"/>
    <tableColumn id="10" name="mas plazo ejec Días (si aplica)" dataDxfId="18" dataCellStyle="Millares"/>
    <tableColumn id="11" name="Valor Programado" dataDxfId="17" dataCellStyle="Millares"/>
    <tableColumn id="12" name="Fuente de Recursos" dataDxfId="16"/>
    <tableColumn id="13" name="Modalidad de Selección" dataDxfId="15" dataCellStyle="Millares"/>
    <tableColumn id="14" name="Meta Proyecto de Inversión" dataDxfId="14" dataCellStyle="Normal 2"/>
    <tableColumn id="15" name="Bogotá camina segura" dataDxfId="13" dataCellStyle="Normal 2">
      <calculatedColumnFormula>IFERROR(VLOOKUP(C11,TD!$B$32:$F$36,2,0)," ")</calculatedColumnFormula>
    </tableColumn>
    <tableColumn id="16" name="Sector_Programa MGA" dataDxfId="12" dataCellStyle="Normal 2">
      <calculatedColumnFormula>IFERROR(VLOOKUP(C11,TD!$B$32:$F$36,3,0)," ")</calculatedColumnFormula>
    </tableColumn>
    <tableColumn id="17" name="BPIN (AÑO+COD_PROYECTO)" dataDxfId="11" dataCellStyle="Normal 2">
      <calculatedColumnFormula>IFERROR(VLOOKUP(C11,TD!$B$32:$F$36,4,0)," ")</calculatedColumnFormula>
    </tableColumn>
    <tableColumn id="18" name="Producto PMR" dataDxfId="10" dataCellStyle="Normal 2"/>
    <tableColumn id="19" name="Descripción Producto PMR" dataDxfId="9" dataCellStyle="Normal 2"/>
    <tableColumn id="20" name="PMR conca" dataDxfId="8" dataCellStyle="Normal 2">
      <calculatedColumnFormula>CONCATENATE(S11,"-",T11)</calculatedColumnFormula>
    </tableColumn>
    <tableColumn id="21" name="Producto MGA" dataDxfId="7" dataCellStyle="Normal 2"/>
    <tableColumn id="22" name="Descripción Producto MGA" dataDxfId="6" dataCellStyle="Normal 2"/>
    <tableColumn id="23" name="concatenarMGA" dataDxfId="5" dataCellStyle="Normal 2">
      <calculatedColumnFormula>CONCATENATE(V11,"_",W11)</calculatedColumnFormula>
    </tableColumn>
    <tableColumn id="24" name="PM MGA conca" dataDxfId="4" dataCellStyle="Normal 2">
      <calculatedColumnFormula>CONCATENATE(U11," ",X11)</calculatedColumnFormula>
    </tableColumn>
    <tableColumn id="25" name="Código de proyecto de inversión, asociado a productos PMR y MGA" dataDxfId="3" dataCellStyle="Normal 2">
      <calculatedColumnFormula>CONCATENATE(P11,Q11,R11,S11,V11)</calculatedColumnFormula>
    </tableColumn>
    <tableColumn id="26" name="codigo PEP" dataDxfId="2" dataCellStyle="Normal 2">
      <calculatedColumnFormula>IFERROR(VLOOKUP(Y11,TD!$K$46:$L$64,2,0)," ")</calculatedColumnFormula>
    </tableColumn>
    <tableColumn id="27" name="POSPRE" dataDxfId="1" dataCellStyle="Millares"/>
    <tableColumn id="28" name="Si Secop / No Secop" dataDxfId="0" dataCellStyle="Normal 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
  <sheetViews>
    <sheetView topLeftCell="A42" zoomScale="80" zoomScaleNormal="80" workbookViewId="0">
      <selection activeCell="E38" activeCellId="1" sqref="E8:F8 E38"/>
    </sheetView>
  </sheetViews>
  <sheetFormatPr baseColWidth="10" defaultRowHeight="15"/>
  <cols>
    <col min="1" max="1" width="35.42578125" bestFit="1" customWidth="1"/>
    <col min="2" max="2" width="18.28515625" style="151" customWidth="1"/>
    <col min="3" max="3" width="21" customWidth="1"/>
    <col min="4" max="4" width="16.85546875" customWidth="1"/>
    <col min="5" max="5" width="16.5703125" style="151" customWidth="1"/>
    <col min="6" max="6" width="22.28515625" style="127" customWidth="1"/>
    <col min="7" max="7" width="31.42578125" customWidth="1"/>
    <col min="8" max="8" width="27.140625" bestFit="1" customWidth="1"/>
    <col min="9" max="9" width="19" style="151" customWidth="1"/>
  </cols>
  <sheetData>
    <row r="1" spans="1:8">
      <c r="A1" s="158" t="s">
        <v>297</v>
      </c>
      <c r="B1" s="176" t="s">
        <v>210</v>
      </c>
      <c r="G1" s="158" t="s">
        <v>297</v>
      </c>
      <c r="H1" s="176" t="s">
        <v>209</v>
      </c>
    </row>
    <row r="2" spans="1:8">
      <c r="H2" s="151"/>
    </row>
    <row r="3" spans="1:8">
      <c r="A3" s="158" t="s">
        <v>844</v>
      </c>
      <c r="B3" s="176" t="s">
        <v>846</v>
      </c>
      <c r="D3" s="126" t="s">
        <v>844</v>
      </c>
      <c r="E3" s="152" t="s">
        <v>846</v>
      </c>
      <c r="F3"/>
      <c r="G3" s="158" t="s">
        <v>844</v>
      </c>
      <c r="H3" s="176" t="s">
        <v>846</v>
      </c>
    </row>
    <row r="4" spans="1:8" ht="30">
      <c r="A4" s="159" t="s">
        <v>167</v>
      </c>
      <c r="B4" s="176">
        <v>1198039187</v>
      </c>
      <c r="D4" s="155" t="s">
        <v>347</v>
      </c>
      <c r="E4" s="175">
        <v>1735241809</v>
      </c>
      <c r="F4" s="154"/>
      <c r="G4" s="159" t="s">
        <v>46</v>
      </c>
      <c r="H4" s="176">
        <v>253964166</v>
      </c>
    </row>
    <row r="5" spans="1:8" ht="105">
      <c r="A5" s="159" t="s">
        <v>166</v>
      </c>
      <c r="B5" s="176">
        <v>1681171895</v>
      </c>
      <c r="D5" s="155" t="s">
        <v>209</v>
      </c>
      <c r="E5" s="175">
        <v>7455417256</v>
      </c>
      <c r="F5" s="154"/>
      <c r="G5" s="159" t="s">
        <v>162</v>
      </c>
      <c r="H5" s="176">
        <v>514286367</v>
      </c>
    </row>
    <row r="6" spans="1:8" ht="105">
      <c r="A6" s="159" t="s">
        <v>168</v>
      </c>
      <c r="B6" s="176">
        <v>1939805079</v>
      </c>
      <c r="D6" s="155" t="s">
        <v>210</v>
      </c>
      <c r="E6" s="175">
        <v>14355406507</v>
      </c>
      <c r="F6" s="154"/>
      <c r="G6" s="159" t="s">
        <v>163</v>
      </c>
      <c r="H6" s="176">
        <v>2733938137</v>
      </c>
    </row>
    <row r="7" spans="1:8">
      <c r="A7" s="159" t="s">
        <v>169</v>
      </c>
      <c r="B7" s="176">
        <v>5783887277</v>
      </c>
      <c r="D7" s="156" t="s">
        <v>546</v>
      </c>
      <c r="E7" s="175">
        <v>0</v>
      </c>
      <c r="F7" s="154"/>
      <c r="G7" s="159" t="s">
        <v>37</v>
      </c>
      <c r="H7" s="176">
        <v>572918440</v>
      </c>
    </row>
    <row r="8" spans="1:8" ht="30">
      <c r="A8" s="159" t="s">
        <v>170</v>
      </c>
      <c r="B8" s="176">
        <v>3752503069</v>
      </c>
      <c r="D8" s="3" t="s">
        <v>860</v>
      </c>
      <c r="E8" s="161"/>
      <c r="F8"/>
      <c r="G8" s="160" t="s">
        <v>47</v>
      </c>
      <c r="H8" s="176">
        <v>206558000</v>
      </c>
    </row>
    <row r="9" spans="1:8">
      <c r="A9" s="159" t="s">
        <v>845</v>
      </c>
      <c r="B9" s="176">
        <v>14355406507</v>
      </c>
      <c r="D9" s="3" t="s">
        <v>845</v>
      </c>
      <c r="E9" s="161">
        <v>23546065572</v>
      </c>
      <c r="F9"/>
      <c r="G9" s="159" t="s">
        <v>164</v>
      </c>
      <c r="H9" s="176">
        <v>171068294</v>
      </c>
    </row>
    <row r="10" spans="1:8">
      <c r="B10"/>
      <c r="F10"/>
      <c r="G10" s="159" t="s">
        <v>165</v>
      </c>
      <c r="H10" s="176">
        <v>454111788</v>
      </c>
    </row>
    <row r="11" spans="1:8">
      <c r="B11"/>
      <c r="D11" s="126" t="s">
        <v>844</v>
      </c>
      <c r="E11" s="152" t="s">
        <v>846</v>
      </c>
      <c r="F11"/>
      <c r="G11" s="159" t="s">
        <v>167</v>
      </c>
      <c r="H11" s="176">
        <v>2286572064</v>
      </c>
    </row>
    <row r="12" spans="1:8" ht="30">
      <c r="B12"/>
      <c r="D12" s="153" t="s">
        <v>173</v>
      </c>
      <c r="E12" s="152">
        <v>23324982909</v>
      </c>
      <c r="F12"/>
      <c r="G12" s="159" t="s">
        <v>166</v>
      </c>
      <c r="H12" s="176">
        <v>100000000</v>
      </c>
    </row>
    <row r="13" spans="1:8" ht="30">
      <c r="B13"/>
      <c r="D13" s="153" t="s">
        <v>174</v>
      </c>
      <c r="E13" s="152">
        <v>221082663</v>
      </c>
      <c r="F13"/>
      <c r="G13" s="159" t="s">
        <v>169</v>
      </c>
      <c r="H13" s="176">
        <v>162000000</v>
      </c>
    </row>
    <row r="14" spans="1:8">
      <c r="B14"/>
      <c r="D14" t="s">
        <v>350</v>
      </c>
      <c r="E14" s="152">
        <v>0</v>
      </c>
      <c r="F14"/>
      <c r="G14" s="159" t="s">
        <v>845</v>
      </c>
      <c r="H14" s="176">
        <v>7455417256</v>
      </c>
    </row>
    <row r="15" spans="1:8">
      <c r="B15"/>
      <c r="D15" t="s">
        <v>860</v>
      </c>
      <c r="E15" s="152"/>
      <c r="F15"/>
    </row>
    <row r="16" spans="1:8">
      <c r="B16"/>
      <c r="D16" t="s">
        <v>845</v>
      </c>
      <c r="E16" s="152">
        <v>23546065572</v>
      </c>
      <c r="F16"/>
    </row>
    <row r="17" spans="1:9">
      <c r="B17"/>
      <c r="E17"/>
      <c r="F17"/>
    </row>
    <row r="18" spans="1:9">
      <c r="E18"/>
      <c r="F18"/>
    </row>
    <row r="19" spans="1:9">
      <c r="A19" s="157" t="s">
        <v>297</v>
      </c>
      <c r="B19" s="161" t="s">
        <v>210</v>
      </c>
      <c r="E19"/>
      <c r="F19"/>
    </row>
    <row r="20" spans="1:9">
      <c r="E20"/>
      <c r="F20"/>
    </row>
    <row r="21" spans="1:9" s="22" customFormat="1" ht="45">
      <c r="A21" s="163" t="s">
        <v>844</v>
      </c>
      <c r="B21" s="164" t="s">
        <v>196</v>
      </c>
      <c r="C21" s="163" t="s">
        <v>197</v>
      </c>
      <c r="D21" s="163" t="s">
        <v>175</v>
      </c>
      <c r="E21" s="163" t="s">
        <v>80</v>
      </c>
      <c r="F21" s="163" t="s">
        <v>82</v>
      </c>
      <c r="G21" s="163" t="s">
        <v>207</v>
      </c>
      <c r="H21" s="162" t="s">
        <v>232</v>
      </c>
      <c r="I21" s="164" t="s">
        <v>846</v>
      </c>
    </row>
    <row r="22" spans="1:9">
      <c r="A22" s="3" t="s">
        <v>170</v>
      </c>
      <c r="B22" s="3" t="s">
        <v>199</v>
      </c>
      <c r="C22" s="3" t="s">
        <v>200</v>
      </c>
      <c r="D22" s="3">
        <v>20240255</v>
      </c>
      <c r="E22" s="3" t="s">
        <v>176</v>
      </c>
      <c r="F22" s="3" t="s">
        <v>233</v>
      </c>
      <c r="G22" s="3" t="s">
        <v>331</v>
      </c>
      <c r="H22" s="3" t="s">
        <v>259</v>
      </c>
      <c r="I22" s="161">
        <v>1289372774</v>
      </c>
    </row>
    <row r="23" spans="1:9">
      <c r="A23" s="3" t="s">
        <v>170</v>
      </c>
      <c r="B23" s="3" t="s">
        <v>199</v>
      </c>
      <c r="C23" s="3" t="s">
        <v>200</v>
      </c>
      <c r="D23" s="3">
        <v>20240255</v>
      </c>
      <c r="E23" s="3" t="s">
        <v>190</v>
      </c>
      <c r="F23" s="3" t="s">
        <v>233</v>
      </c>
      <c r="G23" s="3" t="s">
        <v>332</v>
      </c>
      <c r="H23" s="3" t="s">
        <v>269</v>
      </c>
      <c r="I23" s="161">
        <v>2463130295</v>
      </c>
    </row>
    <row r="24" spans="1:9">
      <c r="A24" s="3" t="s">
        <v>169</v>
      </c>
      <c r="B24" s="3" t="s">
        <v>199</v>
      </c>
      <c r="C24" s="3" t="s">
        <v>200</v>
      </c>
      <c r="D24" s="3">
        <v>20240255</v>
      </c>
      <c r="E24" s="3" t="s">
        <v>188</v>
      </c>
      <c r="F24" s="3" t="s">
        <v>233</v>
      </c>
      <c r="G24" s="3" t="s">
        <v>334</v>
      </c>
      <c r="H24" s="3" t="s">
        <v>268</v>
      </c>
      <c r="I24" s="161">
        <v>4458772080</v>
      </c>
    </row>
    <row r="25" spans="1:9">
      <c r="A25" s="3" t="s">
        <v>169</v>
      </c>
      <c r="B25" s="3" t="s">
        <v>199</v>
      </c>
      <c r="C25" s="3" t="s">
        <v>200</v>
      </c>
      <c r="D25" s="3">
        <v>20240255</v>
      </c>
      <c r="E25" s="3" t="s">
        <v>192</v>
      </c>
      <c r="F25" s="3" t="s">
        <v>233</v>
      </c>
      <c r="G25" s="3" t="s">
        <v>336</v>
      </c>
      <c r="H25" s="3" t="s">
        <v>271</v>
      </c>
      <c r="I25" s="161">
        <v>1325115197</v>
      </c>
    </row>
    <row r="26" spans="1:9">
      <c r="A26" s="3" t="s">
        <v>168</v>
      </c>
      <c r="B26" s="3" t="s">
        <v>199</v>
      </c>
      <c r="C26" s="3" t="s">
        <v>200</v>
      </c>
      <c r="D26" s="3">
        <v>20240255</v>
      </c>
      <c r="E26" s="3" t="s">
        <v>178</v>
      </c>
      <c r="F26" s="3" t="s">
        <v>234</v>
      </c>
      <c r="G26" s="3" t="s">
        <v>326</v>
      </c>
      <c r="H26" s="3" t="s">
        <v>260</v>
      </c>
      <c r="I26" s="161">
        <v>179043460</v>
      </c>
    </row>
    <row r="27" spans="1:9">
      <c r="A27" s="3" t="s">
        <v>168</v>
      </c>
      <c r="B27" s="3" t="s">
        <v>199</v>
      </c>
      <c r="C27" s="3" t="s">
        <v>200</v>
      </c>
      <c r="D27" s="3">
        <v>20240255</v>
      </c>
      <c r="E27" s="3" t="s">
        <v>178</v>
      </c>
      <c r="F27" s="3" t="s">
        <v>235</v>
      </c>
      <c r="G27" s="3" t="s">
        <v>327</v>
      </c>
      <c r="H27" s="3" t="s">
        <v>261</v>
      </c>
      <c r="I27" s="161">
        <v>800048572</v>
      </c>
    </row>
    <row r="28" spans="1:9">
      <c r="A28" s="3" t="s">
        <v>168</v>
      </c>
      <c r="B28" s="3" t="s">
        <v>199</v>
      </c>
      <c r="C28" s="3" t="s">
        <v>200</v>
      </c>
      <c r="D28" s="3">
        <v>20240255</v>
      </c>
      <c r="E28" s="3" t="s">
        <v>182</v>
      </c>
      <c r="F28" s="3" t="s">
        <v>235</v>
      </c>
      <c r="G28" s="3" t="s">
        <v>329</v>
      </c>
      <c r="H28" s="3" t="s">
        <v>263</v>
      </c>
      <c r="I28" s="161">
        <v>311400000</v>
      </c>
    </row>
    <row r="29" spans="1:9">
      <c r="A29" s="3" t="s">
        <v>168</v>
      </c>
      <c r="B29" s="3" t="s">
        <v>199</v>
      </c>
      <c r="C29" s="3" t="s">
        <v>200</v>
      </c>
      <c r="D29" s="3">
        <v>20240255</v>
      </c>
      <c r="E29" s="3" t="s">
        <v>180</v>
      </c>
      <c r="F29" s="3" t="s">
        <v>236</v>
      </c>
      <c r="G29" s="3" t="s">
        <v>337</v>
      </c>
      <c r="H29" s="3" t="s">
        <v>262</v>
      </c>
      <c r="I29" s="161">
        <v>649313047</v>
      </c>
    </row>
    <row r="30" spans="1:9">
      <c r="A30" s="3" t="s">
        <v>166</v>
      </c>
      <c r="B30" s="3" t="s">
        <v>199</v>
      </c>
      <c r="C30" s="3" t="s">
        <v>200</v>
      </c>
      <c r="D30" s="3">
        <v>20240255</v>
      </c>
      <c r="E30" s="3" t="s">
        <v>184</v>
      </c>
      <c r="F30" s="3" t="s">
        <v>234</v>
      </c>
      <c r="G30" s="3" t="s">
        <v>342</v>
      </c>
      <c r="H30" s="3" t="s">
        <v>264</v>
      </c>
      <c r="I30" s="161">
        <v>1681171895</v>
      </c>
    </row>
    <row r="31" spans="1:9">
      <c r="A31" s="3" t="s">
        <v>167</v>
      </c>
      <c r="B31" s="3" t="s">
        <v>199</v>
      </c>
      <c r="C31" s="3" t="s">
        <v>200</v>
      </c>
      <c r="D31" s="3">
        <v>20240255</v>
      </c>
      <c r="E31" s="3" t="s">
        <v>186</v>
      </c>
      <c r="F31" s="3" t="s">
        <v>237</v>
      </c>
      <c r="G31" s="3" t="s">
        <v>338</v>
      </c>
      <c r="H31" s="3" t="s">
        <v>265</v>
      </c>
      <c r="I31" s="161">
        <v>515286394</v>
      </c>
    </row>
    <row r="32" spans="1:9">
      <c r="A32" s="3" t="s">
        <v>167</v>
      </c>
      <c r="B32" s="3" t="s">
        <v>199</v>
      </c>
      <c r="C32" s="3" t="s">
        <v>200</v>
      </c>
      <c r="D32" s="3">
        <v>20240255</v>
      </c>
      <c r="E32" s="3" t="s">
        <v>186</v>
      </c>
      <c r="F32" s="3" t="s">
        <v>238</v>
      </c>
      <c r="G32" s="3" t="s">
        <v>340</v>
      </c>
      <c r="H32" s="3" t="s">
        <v>266</v>
      </c>
      <c r="I32" s="161">
        <v>46902160</v>
      </c>
    </row>
    <row r="33" spans="1:9">
      <c r="A33" s="3" t="s">
        <v>167</v>
      </c>
      <c r="B33" s="3" t="s">
        <v>199</v>
      </c>
      <c r="C33" s="3" t="s">
        <v>200</v>
      </c>
      <c r="D33" s="3">
        <v>20240255</v>
      </c>
      <c r="E33" s="3" t="s">
        <v>186</v>
      </c>
      <c r="F33" s="3" t="s">
        <v>295</v>
      </c>
      <c r="G33" s="3" t="s">
        <v>859</v>
      </c>
      <c r="H33" s="3" t="s">
        <v>275</v>
      </c>
      <c r="I33" s="161">
        <v>635850633</v>
      </c>
    </row>
    <row r="34" spans="1:9">
      <c r="A34" s="168" t="s">
        <v>845</v>
      </c>
      <c r="B34" s="169"/>
      <c r="C34" s="169"/>
      <c r="D34" s="169"/>
      <c r="E34" s="169"/>
      <c r="F34" s="169"/>
      <c r="G34" s="169"/>
      <c r="H34" s="169"/>
      <c r="I34" s="170">
        <v>14355406507</v>
      </c>
    </row>
    <row r="35" spans="1:9">
      <c r="B35"/>
      <c r="E35"/>
      <c r="F35"/>
      <c r="I35"/>
    </row>
    <row r="36" spans="1:9">
      <c r="E36"/>
      <c r="F36"/>
    </row>
    <row r="37" spans="1:9">
      <c r="A37" s="157" t="s">
        <v>297</v>
      </c>
      <c r="B37" s="161" t="s">
        <v>209</v>
      </c>
      <c r="E37"/>
      <c r="F37"/>
    </row>
    <row r="38" spans="1:9">
      <c r="E38"/>
      <c r="F38"/>
    </row>
    <row r="39" spans="1:9" ht="45">
      <c r="A39" s="165" t="s">
        <v>844</v>
      </c>
      <c r="B39" s="167" t="s">
        <v>3</v>
      </c>
      <c r="C39" s="167" t="s">
        <v>197</v>
      </c>
      <c r="D39" s="165" t="s">
        <v>80</v>
      </c>
      <c r="E39" s="165" t="s">
        <v>82</v>
      </c>
      <c r="F39" s="165" t="s">
        <v>207</v>
      </c>
      <c r="G39" s="166" t="s">
        <v>232</v>
      </c>
      <c r="H39" s="167" t="s">
        <v>846</v>
      </c>
      <c r="I39"/>
    </row>
    <row r="40" spans="1:9">
      <c r="A40" s="3" t="s">
        <v>169</v>
      </c>
      <c r="B40" s="3" t="s">
        <v>212</v>
      </c>
      <c r="C40" s="3" t="s">
        <v>201</v>
      </c>
      <c r="D40" s="3" t="s">
        <v>194</v>
      </c>
      <c r="E40" s="3" t="s">
        <v>241</v>
      </c>
      <c r="F40" s="3" t="s">
        <v>310</v>
      </c>
      <c r="G40" s="3" t="s">
        <v>272</v>
      </c>
      <c r="H40" s="161">
        <v>162000000</v>
      </c>
      <c r="I40"/>
    </row>
    <row r="41" spans="1:9">
      <c r="A41" s="3" t="s">
        <v>166</v>
      </c>
      <c r="B41" s="3" t="s">
        <v>214</v>
      </c>
      <c r="C41" s="3" t="s">
        <v>201</v>
      </c>
      <c r="D41" s="3" t="s">
        <v>194</v>
      </c>
      <c r="E41" s="3" t="s">
        <v>242</v>
      </c>
      <c r="F41" s="3" t="s">
        <v>311</v>
      </c>
      <c r="G41" s="3" t="s">
        <v>273</v>
      </c>
      <c r="H41" s="161">
        <v>100000000</v>
      </c>
      <c r="I41"/>
    </row>
    <row r="42" spans="1:9">
      <c r="A42" s="3" t="s">
        <v>167</v>
      </c>
      <c r="B42" s="3" t="s">
        <v>219</v>
      </c>
      <c r="C42" s="3" t="s">
        <v>201</v>
      </c>
      <c r="D42" s="3" t="s">
        <v>186</v>
      </c>
      <c r="E42" s="3" t="s">
        <v>239</v>
      </c>
      <c r="F42" s="3" t="s">
        <v>317</v>
      </c>
      <c r="G42" s="3" t="s">
        <v>267</v>
      </c>
      <c r="H42" s="161">
        <v>1495954004</v>
      </c>
      <c r="I42"/>
    </row>
    <row r="43" spans="1:9">
      <c r="A43" s="3" t="s">
        <v>167</v>
      </c>
      <c r="B43" s="3" t="s">
        <v>220</v>
      </c>
      <c r="C43" s="3" t="s">
        <v>201</v>
      </c>
      <c r="D43" s="3" t="s">
        <v>186</v>
      </c>
      <c r="E43" s="3" t="s">
        <v>239</v>
      </c>
      <c r="F43" s="3" t="s">
        <v>317</v>
      </c>
      <c r="G43" s="3" t="s">
        <v>267</v>
      </c>
      <c r="H43" s="161">
        <v>790618060</v>
      </c>
      <c r="I43"/>
    </row>
    <row r="44" spans="1:9">
      <c r="A44" s="3" t="s">
        <v>165</v>
      </c>
      <c r="B44" s="3" t="s">
        <v>220</v>
      </c>
      <c r="C44" s="3" t="s">
        <v>201</v>
      </c>
      <c r="D44" s="3" t="s">
        <v>186</v>
      </c>
      <c r="E44" s="3" t="s">
        <v>239</v>
      </c>
      <c r="F44" s="3" t="s">
        <v>317</v>
      </c>
      <c r="G44" s="3" t="s">
        <v>267</v>
      </c>
      <c r="H44" s="161">
        <v>454111788</v>
      </c>
      <c r="I44"/>
    </row>
    <row r="45" spans="1:9">
      <c r="A45" s="3" t="s">
        <v>164</v>
      </c>
      <c r="B45" s="3" t="s">
        <v>220</v>
      </c>
      <c r="C45" s="3" t="s">
        <v>201</v>
      </c>
      <c r="D45" s="3" t="s">
        <v>186</v>
      </c>
      <c r="E45" s="3" t="s">
        <v>239</v>
      </c>
      <c r="F45" s="3" t="s">
        <v>317</v>
      </c>
      <c r="G45" s="3" t="s">
        <v>267</v>
      </c>
      <c r="H45" s="161">
        <v>171068294</v>
      </c>
      <c r="I45"/>
    </row>
    <row r="46" spans="1:9">
      <c r="A46" s="3" t="s">
        <v>47</v>
      </c>
      <c r="B46" s="3" t="s">
        <v>220</v>
      </c>
      <c r="C46" s="3" t="s">
        <v>201</v>
      </c>
      <c r="D46" s="3" t="s">
        <v>186</v>
      </c>
      <c r="E46" s="3" t="s">
        <v>239</v>
      </c>
      <c r="F46" s="3" t="s">
        <v>317</v>
      </c>
      <c r="G46" s="3" t="s">
        <v>267</v>
      </c>
      <c r="H46" s="161">
        <v>206558000</v>
      </c>
      <c r="I46"/>
    </row>
    <row r="47" spans="1:9">
      <c r="A47" s="3" t="s">
        <v>37</v>
      </c>
      <c r="B47" s="3" t="s">
        <v>212</v>
      </c>
      <c r="C47" s="3" t="s">
        <v>201</v>
      </c>
      <c r="D47" s="3" t="s">
        <v>194</v>
      </c>
      <c r="E47" s="3" t="s">
        <v>241</v>
      </c>
      <c r="F47" s="3" t="s">
        <v>310</v>
      </c>
      <c r="G47" s="3" t="s">
        <v>272</v>
      </c>
      <c r="H47" s="161">
        <v>290631100</v>
      </c>
      <c r="I47"/>
    </row>
    <row r="48" spans="1:9">
      <c r="A48" s="3" t="s">
        <v>37</v>
      </c>
      <c r="B48" s="3" t="s">
        <v>213</v>
      </c>
      <c r="C48" s="3" t="s">
        <v>201</v>
      </c>
      <c r="D48" s="3" t="s">
        <v>194</v>
      </c>
      <c r="E48" s="3" t="s">
        <v>242</v>
      </c>
      <c r="F48" s="3" t="s">
        <v>311</v>
      </c>
      <c r="G48" s="3" t="s">
        <v>273</v>
      </c>
      <c r="H48" s="161">
        <v>219787340</v>
      </c>
      <c r="I48"/>
    </row>
    <row r="49" spans="1:9">
      <c r="A49" s="3" t="s">
        <v>37</v>
      </c>
      <c r="B49" s="3" t="s">
        <v>214</v>
      </c>
      <c r="C49" s="3" t="s">
        <v>201</v>
      </c>
      <c r="D49" s="3" t="s">
        <v>194</v>
      </c>
      <c r="E49" s="3" t="s">
        <v>242</v>
      </c>
      <c r="F49" s="3" t="s">
        <v>311</v>
      </c>
      <c r="G49" s="3" t="s">
        <v>273</v>
      </c>
      <c r="H49" s="161">
        <v>62500000</v>
      </c>
      <c r="I49"/>
    </row>
    <row r="50" spans="1:9">
      <c r="A50" s="3" t="s">
        <v>163</v>
      </c>
      <c r="B50" s="3" t="s">
        <v>215</v>
      </c>
      <c r="C50" s="3" t="s">
        <v>201</v>
      </c>
      <c r="D50" s="3" t="s">
        <v>180</v>
      </c>
      <c r="E50" s="3" t="s">
        <v>240</v>
      </c>
      <c r="F50" s="3" t="s">
        <v>313</v>
      </c>
      <c r="G50" s="3" t="s">
        <v>270</v>
      </c>
      <c r="H50" s="161">
        <v>1731295967</v>
      </c>
      <c r="I50"/>
    </row>
    <row r="51" spans="1:9">
      <c r="A51" s="3" t="s">
        <v>163</v>
      </c>
      <c r="B51" s="3" t="s">
        <v>216</v>
      </c>
      <c r="C51" s="3" t="s">
        <v>201</v>
      </c>
      <c r="D51" s="3" t="s">
        <v>180</v>
      </c>
      <c r="E51" s="3" t="s">
        <v>240</v>
      </c>
      <c r="F51" s="3" t="s">
        <v>313</v>
      </c>
      <c r="G51" s="3" t="s">
        <v>270</v>
      </c>
      <c r="H51" s="161">
        <v>841046771</v>
      </c>
      <c r="I51"/>
    </row>
    <row r="52" spans="1:9">
      <c r="A52" s="3" t="s">
        <v>163</v>
      </c>
      <c r="B52" s="3" t="s">
        <v>217</v>
      </c>
      <c r="C52" s="3" t="s">
        <v>201</v>
      </c>
      <c r="D52" s="3" t="s">
        <v>180</v>
      </c>
      <c r="E52" s="3" t="s">
        <v>240</v>
      </c>
      <c r="F52" s="3" t="s">
        <v>313</v>
      </c>
      <c r="G52" s="3" t="s">
        <v>270</v>
      </c>
      <c r="H52" s="161">
        <v>110395399</v>
      </c>
      <c r="I52"/>
    </row>
    <row r="53" spans="1:9">
      <c r="A53" s="3" t="s">
        <v>163</v>
      </c>
      <c r="B53" s="3" t="s">
        <v>218</v>
      </c>
      <c r="C53" s="3" t="s">
        <v>201</v>
      </c>
      <c r="D53" s="3" t="s">
        <v>180</v>
      </c>
      <c r="E53" s="3" t="s">
        <v>240</v>
      </c>
      <c r="F53" s="3" t="s">
        <v>313</v>
      </c>
      <c r="G53" s="3" t="s">
        <v>270</v>
      </c>
      <c r="H53" s="161">
        <v>51200000</v>
      </c>
      <c r="I53"/>
    </row>
    <row r="54" spans="1:9">
      <c r="A54" s="3" t="s">
        <v>162</v>
      </c>
      <c r="B54" s="3" t="s">
        <v>221</v>
      </c>
      <c r="C54" s="3" t="s">
        <v>201</v>
      </c>
      <c r="D54" s="3" t="s">
        <v>194</v>
      </c>
      <c r="E54" s="3" t="s">
        <v>243</v>
      </c>
      <c r="F54" s="3" t="s">
        <v>323</v>
      </c>
      <c r="G54" s="3" t="s">
        <v>274</v>
      </c>
      <c r="H54" s="161">
        <v>514286367</v>
      </c>
      <c r="I54"/>
    </row>
    <row r="55" spans="1:9">
      <c r="A55" s="3" t="s">
        <v>46</v>
      </c>
      <c r="B55" s="3" t="s">
        <v>220</v>
      </c>
      <c r="C55" s="3" t="s">
        <v>201</v>
      </c>
      <c r="D55" s="3" t="s">
        <v>186</v>
      </c>
      <c r="E55" s="3" t="s">
        <v>239</v>
      </c>
      <c r="F55" s="3" t="s">
        <v>317</v>
      </c>
      <c r="G55" s="3" t="s">
        <v>267</v>
      </c>
      <c r="H55" s="161">
        <v>253964166</v>
      </c>
      <c r="I55"/>
    </row>
    <row r="56" spans="1:9">
      <c r="A56" s="171" t="s">
        <v>845</v>
      </c>
      <c r="B56" s="172"/>
      <c r="C56" s="172"/>
      <c r="D56" s="172"/>
      <c r="E56" s="172"/>
      <c r="F56" s="172"/>
      <c r="G56" s="172"/>
      <c r="H56" s="173">
        <v>7455417256</v>
      </c>
      <c r="I56"/>
    </row>
    <row r="57" spans="1:9">
      <c r="B57"/>
      <c r="E57"/>
      <c r="F57"/>
      <c r="I57"/>
    </row>
    <row r="58" spans="1:9">
      <c r="B58"/>
      <c r="E58"/>
      <c r="F58"/>
      <c r="I58"/>
    </row>
    <row r="59" spans="1:9">
      <c r="B59"/>
      <c r="E59"/>
      <c r="F59"/>
      <c r="I59"/>
    </row>
    <row r="60" spans="1:9">
      <c r="B60"/>
      <c r="E60"/>
      <c r="F60"/>
      <c r="I60"/>
    </row>
    <row r="61" spans="1:9">
      <c r="B61"/>
      <c r="E61"/>
      <c r="F61"/>
      <c r="I61"/>
    </row>
    <row r="62" spans="1:9">
      <c r="B62"/>
      <c r="E62"/>
      <c r="F62"/>
      <c r="I62"/>
    </row>
    <row r="63" spans="1:9">
      <c r="B63"/>
      <c r="E63"/>
      <c r="F63"/>
      <c r="I63"/>
    </row>
    <row r="64" spans="1:9">
      <c r="B64"/>
      <c r="E64"/>
      <c r="F64"/>
    </row>
    <row r="65" spans="2:6">
      <c r="B65"/>
      <c r="E65"/>
      <c r="F65"/>
    </row>
    <row r="66" spans="2:6">
      <c r="B66"/>
      <c r="E66"/>
      <c r="F66"/>
    </row>
    <row r="67" spans="2:6">
      <c r="B67"/>
      <c r="E67"/>
      <c r="F67"/>
    </row>
    <row r="68" spans="2:6">
      <c r="B68"/>
      <c r="E68"/>
      <c r="F68"/>
    </row>
    <row r="69" spans="2:6">
      <c r="B69"/>
      <c r="E69"/>
      <c r="F69"/>
    </row>
    <row r="70" spans="2:6">
      <c r="E70"/>
      <c r="F70"/>
    </row>
    <row r="71" spans="2:6">
      <c r="E71"/>
      <c r="F71"/>
    </row>
    <row r="72" spans="2:6">
      <c r="E72"/>
      <c r="F72"/>
    </row>
    <row r="73" spans="2:6">
      <c r="E73"/>
      <c r="F73"/>
    </row>
    <row r="74" spans="2:6">
      <c r="E74"/>
      <c r="F74"/>
    </row>
    <row r="75" spans="2:6">
      <c r="E75"/>
      <c r="F75"/>
    </row>
    <row r="76" spans="2:6">
      <c r="E76"/>
      <c r="F76"/>
    </row>
    <row r="77" spans="2:6">
      <c r="E77"/>
      <c r="F77"/>
    </row>
    <row r="78" spans="2:6">
      <c r="E78"/>
      <c r="F78"/>
    </row>
    <row r="79" spans="2:6">
      <c r="E79"/>
      <c r="F79"/>
    </row>
    <row r="80" spans="2:6">
      <c r="E80"/>
      <c r="F80"/>
    </row>
    <row r="81" spans="5:6">
      <c r="E81"/>
      <c r="F81"/>
    </row>
    <row r="82" spans="5:6">
      <c r="E82"/>
      <c r="F82"/>
    </row>
    <row r="83" spans="5:6">
      <c r="E83"/>
      <c r="F83"/>
    </row>
    <row r="84" spans="5:6">
      <c r="E84"/>
      <c r="F84"/>
    </row>
    <row r="85" spans="5:6">
      <c r="E85"/>
      <c r="F85"/>
    </row>
    <row r="86" spans="5:6">
      <c r="E86"/>
      <c r="F86"/>
    </row>
    <row r="87" spans="5:6">
      <c r="E87"/>
      <c r="F87"/>
    </row>
    <row r="88" spans="5:6">
      <c r="E88"/>
      <c r="F88"/>
    </row>
    <row r="89" spans="5:6">
      <c r="E89"/>
      <c r="F89"/>
    </row>
    <row r="90" spans="5:6">
      <c r="E90"/>
      <c r="F90"/>
    </row>
    <row r="91" spans="5:6">
      <c r="E91"/>
      <c r="F91"/>
    </row>
    <row r="92" spans="5:6">
      <c r="E92"/>
      <c r="F92"/>
    </row>
    <row r="93" spans="5:6">
      <c r="E93"/>
      <c r="F93"/>
    </row>
    <row r="94" spans="5:6">
      <c r="E94"/>
      <c r="F9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1:AC913"/>
  <sheetViews>
    <sheetView showGridLines="0" tabSelected="1" topLeftCell="B1" zoomScale="70" zoomScaleNormal="70" zoomScaleSheetLayoutView="55" workbookViewId="0">
      <selection activeCell="I172" sqref="E1:K172"/>
    </sheetView>
  </sheetViews>
  <sheetFormatPr baseColWidth="10" defaultColWidth="29.85546875" defaultRowHeight="14.25"/>
  <cols>
    <col min="1" max="1" width="3.42578125" style="78" customWidth="1"/>
    <col min="2" max="2" width="14.28515625" style="123" customWidth="1"/>
    <col min="3" max="3" width="33" style="77" customWidth="1"/>
    <col min="4" max="4" width="17.42578125" style="78" customWidth="1"/>
    <col min="5" max="5" width="20.42578125" style="78" customWidth="1"/>
    <col min="6" max="6" width="74.28515625" style="78" customWidth="1"/>
    <col min="7" max="7" width="21.140625" style="78" customWidth="1"/>
    <col min="8" max="8" width="24.5703125" style="78" customWidth="1"/>
    <col min="9" max="9" width="15.28515625" style="78" customWidth="1"/>
    <col min="10" max="10" width="15.28515625" style="79" customWidth="1"/>
    <col min="11" max="11" width="15.5703125" style="79" customWidth="1"/>
    <col min="12" max="12" width="22.42578125" style="124" customWidth="1"/>
    <col min="13" max="13" width="24.5703125" style="78" customWidth="1"/>
    <col min="14" max="14" width="26.42578125" style="124" customWidth="1"/>
    <col min="15" max="15" width="52.28515625" style="78" customWidth="1"/>
    <col min="16" max="16" width="21.7109375" style="81" customWidth="1"/>
    <col min="17" max="17" width="28.5703125" style="81" customWidth="1"/>
    <col min="18" max="18" width="19.85546875" style="81" customWidth="1"/>
    <col min="19" max="19" width="19.5703125" style="78" customWidth="1"/>
    <col min="20" max="20" width="38.7109375" style="81" bestFit="1" customWidth="1"/>
    <col min="21" max="21" width="49.5703125" style="78" hidden="1" customWidth="1"/>
    <col min="22" max="22" width="17.7109375" style="78" customWidth="1"/>
    <col min="23" max="23" width="29.7109375" style="81" customWidth="1"/>
    <col min="24" max="24" width="26.85546875" style="78" hidden="1" customWidth="1"/>
    <col min="25" max="25" width="39.7109375" style="78" hidden="1" customWidth="1"/>
    <col min="26" max="26" width="32.42578125" style="81" customWidth="1"/>
    <col min="27" max="27" width="29.85546875" style="81"/>
    <col min="28" max="28" width="37.140625" style="124" customWidth="1"/>
    <col min="29" max="16384" width="29.85546875" style="78"/>
  </cols>
  <sheetData>
    <row r="1" spans="2:29">
      <c r="B1" s="76"/>
      <c r="L1" s="80"/>
      <c r="N1" s="80"/>
      <c r="AB1" s="80"/>
    </row>
    <row r="2" spans="2:29" s="28" customFormat="1">
      <c r="B2" s="198"/>
      <c r="C2" s="198"/>
      <c r="D2" s="27"/>
      <c r="F2" s="27"/>
      <c r="G2" s="27"/>
      <c r="H2" s="27"/>
      <c r="I2" s="27"/>
      <c r="J2" s="83"/>
      <c r="K2" s="27"/>
      <c r="L2" s="58"/>
      <c r="M2" s="27"/>
      <c r="N2" s="27"/>
      <c r="O2" s="27"/>
      <c r="P2" s="29"/>
      <c r="Q2" s="29"/>
      <c r="R2" s="29"/>
      <c r="T2" s="30"/>
      <c r="W2" s="30"/>
      <c r="Z2" s="30"/>
      <c r="AA2" s="30"/>
      <c r="AB2" s="27"/>
    </row>
    <row r="3" spans="2:29" s="28" customFormat="1" ht="18">
      <c r="C3" s="27"/>
      <c r="D3" s="27"/>
      <c r="E3" s="199" t="s">
        <v>67</v>
      </c>
      <c r="F3" s="199"/>
      <c r="G3" s="199"/>
      <c r="H3" s="199"/>
      <c r="I3" s="199"/>
      <c r="J3" s="199"/>
      <c r="K3" s="199"/>
      <c r="L3" s="75"/>
      <c r="M3" s="73" t="s">
        <v>806</v>
      </c>
      <c r="N3" s="31" t="s">
        <v>68</v>
      </c>
      <c r="O3" s="32">
        <v>2024</v>
      </c>
      <c r="P3" s="30"/>
      <c r="Q3" s="33"/>
      <c r="R3" s="29"/>
      <c r="S3"/>
      <c r="T3" s="127"/>
      <c r="W3" s="30"/>
      <c r="Z3" s="30"/>
      <c r="AA3" s="30"/>
    </row>
    <row r="4" spans="2:29" s="28" customFormat="1" ht="18">
      <c r="C4" s="27"/>
      <c r="D4" s="27"/>
      <c r="E4" s="199" t="s">
        <v>0</v>
      </c>
      <c r="F4" s="199"/>
      <c r="G4" s="199"/>
      <c r="H4" s="199"/>
      <c r="I4" s="199"/>
      <c r="J4" s="199"/>
      <c r="K4" s="199"/>
      <c r="L4" s="197" t="s">
        <v>300</v>
      </c>
      <c r="M4" s="197"/>
      <c r="N4" s="197"/>
      <c r="O4" s="122">
        <f>IFERROR(SUMIF($C$11:$C$913,"8126-Fortalecimiento institucional de la UAECOB para un gobierno confiable Bogotá D.C.",$L$11:$L$913),0)</f>
        <v>7455417256</v>
      </c>
      <c r="P4" s="30"/>
      <c r="Q4" s="82" t="s">
        <v>303</v>
      </c>
      <c r="R4" s="121">
        <f>IFERROR(SUMIF($C$11:$C$913,"131- Funcionamiento",$L$11:$L$913),0)</f>
        <v>1735241809</v>
      </c>
      <c r="S4" s="127"/>
      <c r="T4" s="127"/>
      <c r="W4" s="30"/>
      <c r="Z4" s="30"/>
      <c r="AA4" s="30"/>
    </row>
    <row r="5" spans="2:29" s="28" customFormat="1" ht="18">
      <c r="B5" s="35"/>
      <c r="C5" s="36"/>
      <c r="D5" s="36"/>
      <c r="E5" s="199" t="s">
        <v>861</v>
      </c>
      <c r="F5" s="199"/>
      <c r="G5" s="199"/>
      <c r="H5" s="199"/>
      <c r="I5" s="199"/>
      <c r="J5" s="199"/>
      <c r="K5" s="199"/>
      <c r="L5" s="197" t="s">
        <v>301</v>
      </c>
      <c r="M5" s="197"/>
      <c r="N5" s="197"/>
      <c r="O5" s="122">
        <f>IFERROR(SUMIF($C$11:$C$913,"8173-Modernización de las capacidades del Cuerpo Oficial de Bomberos Bogotá D.C.",$L$11:$L$913),0)</f>
        <v>14355406507</v>
      </c>
      <c r="P5" s="30"/>
      <c r="Q5" s="30"/>
      <c r="R5" s="34"/>
      <c r="S5" s="127"/>
      <c r="T5" s="127"/>
      <c r="W5" s="30"/>
      <c r="Z5" s="30"/>
      <c r="AA5" s="30"/>
    </row>
    <row r="6" spans="2:29" s="28" customFormat="1" ht="15">
      <c r="B6" s="35"/>
      <c r="C6" s="36"/>
      <c r="D6" s="36"/>
      <c r="E6" s="37"/>
      <c r="F6" s="36"/>
      <c r="G6" s="36"/>
      <c r="H6" s="36"/>
      <c r="I6" s="38"/>
      <c r="J6" s="39"/>
      <c r="K6" s="39"/>
      <c r="L6" s="197" t="s">
        <v>302</v>
      </c>
      <c r="M6" s="197"/>
      <c r="N6" s="197"/>
      <c r="O6" s="36">
        <f>+O4+O5</f>
        <v>21810823763</v>
      </c>
      <c r="P6" s="30"/>
      <c r="Q6" s="82" t="s">
        <v>304</v>
      </c>
      <c r="R6" s="40">
        <f>+R4+O6</f>
        <v>23546065572</v>
      </c>
      <c r="S6" s="127"/>
      <c r="T6" s="127"/>
      <c r="W6" s="30"/>
      <c r="Z6" s="30"/>
      <c r="AA6" s="30"/>
    </row>
    <row r="7" spans="2:29" s="28" customFormat="1">
      <c r="B7" s="35"/>
      <c r="C7" s="36"/>
      <c r="D7" s="36"/>
      <c r="E7" s="37"/>
      <c r="F7" s="36"/>
      <c r="G7" s="61"/>
      <c r="H7" s="36"/>
      <c r="I7" s="38"/>
      <c r="J7" s="39"/>
      <c r="K7" s="39"/>
      <c r="L7" s="59"/>
      <c r="N7" s="74" t="s">
        <v>79</v>
      </c>
      <c r="O7" s="125">
        <v>45588</v>
      </c>
      <c r="P7" s="43"/>
      <c r="Q7" s="72"/>
      <c r="R7" s="29"/>
      <c r="T7" s="30"/>
      <c r="W7" s="30"/>
      <c r="Z7" s="30"/>
      <c r="AA7" s="30"/>
    </row>
    <row r="8" spans="2:29" s="28" customFormat="1">
      <c r="B8" s="35"/>
      <c r="C8" s="36"/>
      <c r="D8" s="36"/>
      <c r="E8" s="37"/>
      <c r="F8" s="36"/>
      <c r="G8" s="61"/>
      <c r="H8" s="36"/>
      <c r="I8" s="38"/>
      <c r="J8" s="39"/>
      <c r="K8" s="39"/>
      <c r="L8" s="59"/>
      <c r="O8" s="41"/>
      <c r="P8" s="42"/>
      <c r="Q8" s="42"/>
      <c r="R8" s="29"/>
      <c r="T8" s="30"/>
      <c r="W8" s="30"/>
      <c r="Z8" s="30"/>
      <c r="AA8" s="30"/>
      <c r="AB8" s="36"/>
    </row>
    <row r="9" spans="2:29" s="28" customFormat="1">
      <c r="B9" s="35"/>
      <c r="C9" s="44"/>
      <c r="D9" s="45"/>
      <c r="E9" s="26"/>
      <c r="H9" s="46"/>
      <c r="I9" s="47"/>
      <c r="J9" s="84"/>
      <c r="K9" s="48"/>
      <c r="L9" s="60"/>
      <c r="O9" s="49"/>
      <c r="P9" s="50"/>
      <c r="Q9" s="50"/>
      <c r="R9" s="50"/>
      <c r="S9" s="51"/>
      <c r="T9" s="30"/>
      <c r="W9" s="30"/>
      <c r="Z9" s="30"/>
      <c r="AA9" s="30"/>
    </row>
    <row r="10" spans="2:29" s="52" customFormat="1" ht="42.75">
      <c r="B10" s="86" t="s">
        <v>69</v>
      </c>
      <c r="C10" s="87" t="s">
        <v>297</v>
      </c>
      <c r="D10" s="88" t="s">
        <v>75</v>
      </c>
      <c r="E10" s="89" t="s">
        <v>76</v>
      </c>
      <c r="F10" s="90" t="s">
        <v>70</v>
      </c>
      <c r="G10" s="90" t="s">
        <v>83</v>
      </c>
      <c r="H10" s="89" t="s">
        <v>2</v>
      </c>
      <c r="I10" s="91" t="s">
        <v>73</v>
      </c>
      <c r="J10" s="91" t="s">
        <v>74</v>
      </c>
      <c r="K10" s="92" t="s">
        <v>379</v>
      </c>
      <c r="L10" s="93" t="s">
        <v>71</v>
      </c>
      <c r="M10" s="94" t="s">
        <v>72</v>
      </c>
      <c r="N10" s="92" t="s">
        <v>77</v>
      </c>
      <c r="O10" s="89" t="s">
        <v>3</v>
      </c>
      <c r="P10" s="95" t="s">
        <v>196</v>
      </c>
      <c r="Q10" s="95" t="s">
        <v>197</v>
      </c>
      <c r="R10" s="95" t="s">
        <v>175</v>
      </c>
      <c r="S10" s="87" t="s">
        <v>80</v>
      </c>
      <c r="T10" s="95" t="s">
        <v>81</v>
      </c>
      <c r="U10" s="87" t="s">
        <v>299</v>
      </c>
      <c r="V10" s="87" t="s">
        <v>82</v>
      </c>
      <c r="W10" s="95" t="s">
        <v>245</v>
      </c>
      <c r="X10" s="87" t="s">
        <v>276</v>
      </c>
      <c r="Y10" s="87" t="s">
        <v>298</v>
      </c>
      <c r="Z10" s="95" t="s">
        <v>207</v>
      </c>
      <c r="AA10" s="95" t="s">
        <v>232</v>
      </c>
      <c r="AB10" s="92" t="s">
        <v>85</v>
      </c>
      <c r="AC10" s="96" t="s">
        <v>78</v>
      </c>
    </row>
    <row r="11" spans="2:29" s="28" customFormat="1" ht="99.75">
      <c r="B11" s="195">
        <v>20240449</v>
      </c>
      <c r="C11" s="142" t="s">
        <v>210</v>
      </c>
      <c r="D11" s="143" t="s">
        <v>170</v>
      </c>
      <c r="E11" s="144" t="s">
        <v>456</v>
      </c>
      <c r="F11" s="143" t="s">
        <v>486</v>
      </c>
      <c r="G11" s="143" t="s">
        <v>110</v>
      </c>
      <c r="H11" s="145" t="s">
        <v>493</v>
      </c>
      <c r="I11" s="146">
        <v>8</v>
      </c>
      <c r="J11" s="146">
        <v>6</v>
      </c>
      <c r="K11" s="147">
        <v>0</v>
      </c>
      <c r="L11" s="148">
        <f>4554654052-67500000-358750000-30000000-355000000-200000000-300000000-35000000-2425547198</f>
        <v>782856854</v>
      </c>
      <c r="M11" s="143" t="s">
        <v>173</v>
      </c>
      <c r="N11" s="148" t="s">
        <v>96</v>
      </c>
      <c r="O11" s="144" t="s">
        <v>223</v>
      </c>
      <c r="P11" s="149" t="str">
        <f>IFERROR(VLOOKUP(C11,TD!$B$32:$F$36,2,0)," ")</f>
        <v>O230117</v>
      </c>
      <c r="Q11" s="149" t="str">
        <f>IFERROR(VLOOKUP(C11,TD!$B$32:$F$36,3,0)," ")</f>
        <v>4503</v>
      </c>
      <c r="R11" s="149">
        <f>IFERROR(VLOOKUP(C11,TD!$B$32:$F$36,4,0)," ")</f>
        <v>20240255</v>
      </c>
      <c r="S11" s="144" t="s">
        <v>190</v>
      </c>
      <c r="T11" s="149" t="str">
        <f>IFERROR(VLOOKUP(S11,TD!$J$33:$K$43,2,0)," ")</f>
        <v>Servicio de dotación y equipamento para el personal operativo</v>
      </c>
      <c r="U11" s="54" t="str">
        <f t="shared" ref="U11:U74" si="0">CONCATENATE(S11,"-",T11)</f>
        <v>10-Servicio de dotación y equipamento para el personal operativo</v>
      </c>
      <c r="V11" s="144" t="s">
        <v>233</v>
      </c>
      <c r="W11" s="149" t="str">
        <f>IFERROR(VLOOKUP(V11,TD!$N$33:$O$45,2,0)," ")</f>
        <v>Servicio de atención a emergencias y desastres</v>
      </c>
      <c r="X11" s="54" t="str">
        <f t="shared" ref="X11:X74" si="1">CONCATENATE(V11,"_",W11)</f>
        <v>004_Servicio de atención a emergencias y desastres</v>
      </c>
      <c r="Y11" s="54" t="str">
        <f t="shared" ref="Y11:Y74" si="2">CONCATENATE(U11," ",X11)</f>
        <v>10-Servicio de dotación y equipamento para el personal operativo 004_Servicio de atención a emergencias y desastres</v>
      </c>
      <c r="Z11" s="149" t="str">
        <f t="shared" ref="Z11:Z74" si="3">CONCATENATE(P11,Q11,R11,S11,V11)</f>
        <v>O23011745032024025510004</v>
      </c>
      <c r="AA11" s="149" t="str">
        <f>IFERROR(VLOOKUP(Y11,TD!$K$46:$L$64,2,0)," ")</f>
        <v>PM/0131/0110/45030040255</v>
      </c>
      <c r="AB11" s="148" t="s">
        <v>88</v>
      </c>
      <c r="AC11" s="178" t="s">
        <v>205</v>
      </c>
    </row>
    <row r="12" spans="2:29" s="28" customFormat="1" ht="57">
      <c r="B12" s="195">
        <v>20240779</v>
      </c>
      <c r="C12" s="142" t="s">
        <v>209</v>
      </c>
      <c r="D12" s="143" t="s">
        <v>164</v>
      </c>
      <c r="E12" s="144" t="s">
        <v>359</v>
      </c>
      <c r="F12" s="143" t="s">
        <v>362</v>
      </c>
      <c r="G12" s="143" t="s">
        <v>156</v>
      </c>
      <c r="H12" s="187">
        <v>80111600</v>
      </c>
      <c r="I12" s="146">
        <v>8</v>
      </c>
      <c r="J12" s="146">
        <v>6</v>
      </c>
      <c r="K12" s="147">
        <v>22</v>
      </c>
      <c r="L12" s="148">
        <f>49153333-6813341</f>
        <v>42339992</v>
      </c>
      <c r="M12" s="143" t="s">
        <v>173</v>
      </c>
      <c r="N12" s="148" t="s">
        <v>114</v>
      </c>
      <c r="O12" s="144" t="s">
        <v>220</v>
      </c>
      <c r="P12" s="149" t="str">
        <f>IFERROR(VLOOKUP(C12,TD!$B$32:$F$36,2,0)," ")</f>
        <v>O230117</v>
      </c>
      <c r="Q12" s="149" t="str">
        <f>IFERROR(VLOOKUP(C12,TD!$B$32:$F$36,3,0)," ")</f>
        <v>4599</v>
      </c>
      <c r="R12" s="149">
        <f>IFERROR(VLOOKUP(C12,TD!$B$32:$F$36,4,0)," ")</f>
        <v>20240207</v>
      </c>
      <c r="S12" s="144" t="s">
        <v>186</v>
      </c>
      <c r="T12" s="149" t="str">
        <f>IFERROR(VLOOKUP(S12,TD!$J$33:$K$43,2,0)," ")</f>
        <v>Infraestructura física, mantenimiento y dotación (Sedes construidas, mantenidas reforzadas)</v>
      </c>
      <c r="U12" s="54" t="str">
        <f t="shared" si="0"/>
        <v>08-Infraestructura física, mantenimiento y dotación (Sedes construidas, mantenidas reforzadas)</v>
      </c>
      <c r="V12" s="144" t="s">
        <v>239</v>
      </c>
      <c r="W12" s="149" t="str">
        <f>IFERROR(VLOOKUP(V12,TD!$N$33:$O$45,2,0)," ")</f>
        <v>Sedes mantenidas</v>
      </c>
      <c r="X12" s="54" t="str">
        <f t="shared" si="1"/>
        <v>016_Sedes mantenidas</v>
      </c>
      <c r="Y12" s="54" t="str">
        <f t="shared" si="2"/>
        <v>08-Infraestructura física, mantenimiento y dotación (Sedes construidas, mantenidas reforzadas) 016_Sedes mantenidas</v>
      </c>
      <c r="Z12" s="149" t="str">
        <f t="shared" si="3"/>
        <v>O23011745992024020708016</v>
      </c>
      <c r="AA12" s="149" t="str">
        <f>IFERROR(VLOOKUP(Y12,TD!$K$46:$L$64,2,0)," ")</f>
        <v>PM/0131/0108/45990160207</v>
      </c>
      <c r="AB12" s="148" t="s">
        <v>139</v>
      </c>
      <c r="AC12" s="178" t="s">
        <v>205</v>
      </c>
    </row>
    <row r="13" spans="2:29" s="28" customFormat="1" ht="57">
      <c r="B13" s="195">
        <v>20240781</v>
      </c>
      <c r="C13" s="142" t="s">
        <v>209</v>
      </c>
      <c r="D13" s="143" t="s">
        <v>46</v>
      </c>
      <c r="E13" s="144" t="s">
        <v>364</v>
      </c>
      <c r="F13" s="143" t="s">
        <v>749</v>
      </c>
      <c r="G13" s="143" t="s">
        <v>156</v>
      </c>
      <c r="H13" s="187">
        <v>80111600</v>
      </c>
      <c r="I13" s="188">
        <v>8</v>
      </c>
      <c r="J13" s="146">
        <v>5</v>
      </c>
      <c r="K13" s="147">
        <v>0</v>
      </c>
      <c r="L13" s="148">
        <f>46375000-18550000</f>
        <v>27825000</v>
      </c>
      <c r="M13" s="143" t="s">
        <v>173</v>
      </c>
      <c r="N13" s="148" t="s">
        <v>114</v>
      </c>
      <c r="O13" s="144" t="s">
        <v>220</v>
      </c>
      <c r="P13" s="149" t="str">
        <f>IFERROR(VLOOKUP(C13,TD!$B$32:$F$36,2,0)," ")</f>
        <v>O230117</v>
      </c>
      <c r="Q13" s="149" t="str">
        <f>IFERROR(VLOOKUP(C13,TD!$B$32:$F$36,3,0)," ")</f>
        <v>4599</v>
      </c>
      <c r="R13" s="149">
        <f>IFERROR(VLOOKUP(C13,TD!$B$32:$F$36,4,0)," ")</f>
        <v>20240207</v>
      </c>
      <c r="S13" s="144" t="s">
        <v>186</v>
      </c>
      <c r="T13" s="149" t="str">
        <f>IFERROR(VLOOKUP(S13,TD!$J$33:$K$43,2,0)," ")</f>
        <v>Infraestructura física, mantenimiento y dotación (Sedes construidas, mantenidas reforzadas)</v>
      </c>
      <c r="U13" s="54" t="str">
        <f t="shared" si="0"/>
        <v>08-Infraestructura física, mantenimiento y dotación (Sedes construidas, mantenidas reforzadas)</v>
      </c>
      <c r="V13" s="144" t="s">
        <v>239</v>
      </c>
      <c r="W13" s="149" t="str">
        <f>IFERROR(VLOOKUP(V13,TD!$N$33:$O$45,2,0)," ")</f>
        <v>Sedes mantenidas</v>
      </c>
      <c r="X13" s="54" t="str">
        <f t="shared" si="1"/>
        <v>016_Sedes mantenidas</v>
      </c>
      <c r="Y13" s="54" t="str">
        <f t="shared" si="2"/>
        <v>08-Infraestructura física, mantenimiento y dotación (Sedes construidas, mantenidas reforzadas) 016_Sedes mantenidas</v>
      </c>
      <c r="Z13" s="149" t="str">
        <f t="shared" si="3"/>
        <v>O23011745992024020708016</v>
      </c>
      <c r="AA13" s="149" t="str">
        <f>IFERROR(VLOOKUP(Y13,TD!$K$46:$L$64,2,0)," ")</f>
        <v>PM/0131/0108/45990160207</v>
      </c>
      <c r="AB13" s="148" t="s">
        <v>139</v>
      </c>
      <c r="AC13" s="178" t="s">
        <v>206</v>
      </c>
    </row>
    <row r="14" spans="2:29" s="28" customFormat="1" ht="57">
      <c r="B14" s="196">
        <v>20240784</v>
      </c>
      <c r="C14" s="142" t="s">
        <v>209</v>
      </c>
      <c r="D14" s="143" t="s">
        <v>46</v>
      </c>
      <c r="E14" s="144" t="s">
        <v>364</v>
      </c>
      <c r="F14" s="143" t="s">
        <v>843</v>
      </c>
      <c r="G14" s="143" t="s">
        <v>156</v>
      </c>
      <c r="H14" s="187">
        <v>80111600</v>
      </c>
      <c r="I14" s="188">
        <v>10</v>
      </c>
      <c r="J14" s="146">
        <v>4</v>
      </c>
      <c r="K14" s="147">
        <v>0</v>
      </c>
      <c r="L14" s="148">
        <f>109095960+44000000-25000000-25000000-25000000-15835000-59403440+20000000+27300160-17695180</f>
        <v>32462500</v>
      </c>
      <c r="M14" s="143" t="s">
        <v>173</v>
      </c>
      <c r="N14" s="148" t="s">
        <v>114</v>
      </c>
      <c r="O14" s="144" t="s">
        <v>220</v>
      </c>
      <c r="P14" s="149" t="str">
        <f>IFERROR(VLOOKUP(C14,TD!$B$32:$F$36,2,0)," ")</f>
        <v>O230117</v>
      </c>
      <c r="Q14" s="149" t="str">
        <f>IFERROR(VLOOKUP(C14,TD!$B$32:$F$36,3,0)," ")</f>
        <v>4599</v>
      </c>
      <c r="R14" s="149">
        <f>IFERROR(VLOOKUP(C14,TD!$B$32:$F$36,4,0)," ")</f>
        <v>20240207</v>
      </c>
      <c r="S14" s="144" t="s">
        <v>186</v>
      </c>
      <c r="T14" s="149" t="str">
        <f>IFERROR(VLOOKUP(S14,TD!$J$33:$K$43,2,0)," ")</f>
        <v>Infraestructura física, mantenimiento y dotación (Sedes construidas, mantenidas reforzadas)</v>
      </c>
      <c r="U14" s="54" t="str">
        <f t="shared" si="0"/>
        <v>08-Infraestructura física, mantenimiento y dotación (Sedes construidas, mantenidas reforzadas)</v>
      </c>
      <c r="V14" s="144" t="s">
        <v>239</v>
      </c>
      <c r="W14" s="149" t="str">
        <f>IFERROR(VLOOKUP(V14,TD!$N$33:$O$45,2,0)," ")</f>
        <v>Sedes mantenidas</v>
      </c>
      <c r="X14" s="54" t="str">
        <f t="shared" si="1"/>
        <v>016_Sedes mantenidas</v>
      </c>
      <c r="Y14" s="54" t="str">
        <f t="shared" si="2"/>
        <v>08-Infraestructura física, mantenimiento y dotación (Sedes construidas, mantenidas reforzadas) 016_Sedes mantenidas</v>
      </c>
      <c r="Z14" s="149" t="str">
        <f t="shared" si="3"/>
        <v>O23011745992024020708016</v>
      </c>
      <c r="AA14" s="149" t="str">
        <f>IFERROR(VLOOKUP(Y14,TD!$K$46:$L$64,2,0)," ")</f>
        <v>PM/0131/0108/45990160207</v>
      </c>
      <c r="AB14" s="148" t="s">
        <v>139</v>
      </c>
      <c r="AC14" s="178" t="s">
        <v>205</v>
      </c>
    </row>
    <row r="15" spans="2:29" s="28" customFormat="1" ht="57">
      <c r="B15" s="195">
        <v>20240802</v>
      </c>
      <c r="C15" s="142" t="s">
        <v>210</v>
      </c>
      <c r="D15" s="143" t="s">
        <v>168</v>
      </c>
      <c r="E15" s="144" t="s">
        <v>380</v>
      </c>
      <c r="F15" s="143" t="s">
        <v>382</v>
      </c>
      <c r="G15" s="143" t="s">
        <v>156</v>
      </c>
      <c r="H15" s="145">
        <v>80111600</v>
      </c>
      <c r="I15" s="146">
        <v>8</v>
      </c>
      <c r="J15" s="146">
        <v>6</v>
      </c>
      <c r="K15" s="147">
        <v>0</v>
      </c>
      <c r="L15" s="148">
        <f>36000000-12000000</f>
        <v>24000000</v>
      </c>
      <c r="M15" s="143" t="s">
        <v>173</v>
      </c>
      <c r="N15" s="148" t="s">
        <v>114</v>
      </c>
      <c r="O15" s="144" t="s">
        <v>222</v>
      </c>
      <c r="P15" s="149" t="str">
        <f>IFERROR(VLOOKUP(C15,TD!$B$32:$F$36,2,0)," ")</f>
        <v>O230117</v>
      </c>
      <c r="Q15" s="149" t="str">
        <f>IFERROR(VLOOKUP(C15,TD!$B$32:$F$36,3,0)," ")</f>
        <v>4503</v>
      </c>
      <c r="R15" s="149">
        <f>IFERROR(VLOOKUP(C15,TD!$B$32:$F$36,4,0)," ")</f>
        <v>20240255</v>
      </c>
      <c r="S15" s="144" t="s">
        <v>178</v>
      </c>
      <c r="T15" s="149" t="str">
        <f>IFERROR(VLOOKUP(S15,TD!$J$33:$K$43,2,0)," ")</f>
        <v>Servicio de capacitaciones en gestión del riesgo de incendios  a la ciudadania.</v>
      </c>
      <c r="U15" s="54" t="str">
        <f t="shared" si="0"/>
        <v>05-Servicio de capacitaciones en gestión del riesgo de incendios  a la ciudadania.</v>
      </c>
      <c r="V15" s="144" t="s">
        <v>235</v>
      </c>
      <c r="W15" s="149" t="str">
        <f>IFERROR(VLOOKUP(V15,TD!$N$33:$O$45,2,0)," ")</f>
        <v>Servicio prevención y control de incendios</v>
      </c>
      <c r="X15" s="54" t="str">
        <f t="shared" si="1"/>
        <v>035_Servicio prevención y control de incendios</v>
      </c>
      <c r="Y15" s="54" t="str">
        <f t="shared" si="2"/>
        <v>05-Servicio de capacitaciones en gestión del riesgo de incendios  a la ciudadania. 035_Servicio prevención y control de incendios</v>
      </c>
      <c r="Z15" s="149" t="str">
        <f t="shared" si="3"/>
        <v>O23011745032024025505035</v>
      </c>
      <c r="AA15" s="149" t="str">
        <f>IFERROR(VLOOKUP(Y15,TD!$K$46:$L$64,2,0)," ")</f>
        <v>PM/0131/0105/45030350255</v>
      </c>
      <c r="AB15" s="148" t="s">
        <v>139</v>
      </c>
      <c r="AC15" s="178" t="s">
        <v>205</v>
      </c>
    </row>
    <row r="16" spans="2:29" s="28" customFormat="1" ht="57">
      <c r="B16" s="195">
        <v>20240803</v>
      </c>
      <c r="C16" s="142" t="s">
        <v>210</v>
      </c>
      <c r="D16" s="143" t="s">
        <v>168</v>
      </c>
      <c r="E16" s="144" t="s">
        <v>380</v>
      </c>
      <c r="F16" s="143" t="s">
        <v>383</v>
      </c>
      <c r="G16" s="143" t="s">
        <v>157</v>
      </c>
      <c r="H16" s="145">
        <v>80111600</v>
      </c>
      <c r="I16" s="146">
        <v>8</v>
      </c>
      <c r="J16" s="146">
        <v>6</v>
      </c>
      <c r="K16" s="147">
        <v>0</v>
      </c>
      <c r="L16" s="148">
        <f>15000000-5000000</f>
        <v>10000000</v>
      </c>
      <c r="M16" s="143" t="s">
        <v>173</v>
      </c>
      <c r="N16" s="148" t="s">
        <v>114</v>
      </c>
      <c r="O16" s="144" t="s">
        <v>222</v>
      </c>
      <c r="P16" s="149" t="str">
        <f>IFERROR(VLOOKUP(C16,TD!$B$32:$F$36,2,0)," ")</f>
        <v>O230117</v>
      </c>
      <c r="Q16" s="149" t="str">
        <f>IFERROR(VLOOKUP(C16,TD!$B$32:$F$36,3,0)," ")</f>
        <v>4503</v>
      </c>
      <c r="R16" s="149">
        <f>IFERROR(VLOOKUP(C16,TD!$B$32:$F$36,4,0)," ")</f>
        <v>20240255</v>
      </c>
      <c r="S16" s="144" t="s">
        <v>178</v>
      </c>
      <c r="T16" s="149" t="str">
        <f>IFERROR(VLOOKUP(S16,TD!$J$33:$K$43,2,0)," ")</f>
        <v>Servicio de capacitaciones en gestión del riesgo de incendios  a la ciudadania.</v>
      </c>
      <c r="U16" s="54" t="str">
        <f t="shared" si="0"/>
        <v>05-Servicio de capacitaciones en gestión del riesgo de incendios  a la ciudadania.</v>
      </c>
      <c r="V16" s="144" t="s">
        <v>235</v>
      </c>
      <c r="W16" s="149" t="str">
        <f>IFERROR(VLOOKUP(V16,TD!$N$33:$O$45,2,0)," ")</f>
        <v>Servicio prevención y control de incendios</v>
      </c>
      <c r="X16" s="54" t="str">
        <f t="shared" si="1"/>
        <v>035_Servicio prevención y control de incendios</v>
      </c>
      <c r="Y16" s="54" t="str">
        <f t="shared" si="2"/>
        <v>05-Servicio de capacitaciones en gestión del riesgo de incendios  a la ciudadania. 035_Servicio prevención y control de incendios</v>
      </c>
      <c r="Z16" s="149" t="str">
        <f t="shared" si="3"/>
        <v>O23011745032024025505035</v>
      </c>
      <c r="AA16" s="149" t="str">
        <f>IFERROR(VLOOKUP(Y16,TD!$K$46:$L$64,2,0)," ")</f>
        <v>PM/0131/0105/45030350255</v>
      </c>
      <c r="AB16" s="148" t="s">
        <v>139</v>
      </c>
      <c r="AC16" s="178" t="s">
        <v>205</v>
      </c>
    </row>
    <row r="17" spans="2:29" s="28" customFormat="1" ht="57">
      <c r="B17" s="196">
        <v>20240806</v>
      </c>
      <c r="C17" s="142" t="s">
        <v>210</v>
      </c>
      <c r="D17" s="143" t="s">
        <v>168</v>
      </c>
      <c r="E17" s="144" t="s">
        <v>380</v>
      </c>
      <c r="F17" s="143" t="s">
        <v>384</v>
      </c>
      <c r="G17" s="143" t="s">
        <v>157</v>
      </c>
      <c r="H17" s="145">
        <v>80111600</v>
      </c>
      <c r="I17" s="146">
        <v>8</v>
      </c>
      <c r="J17" s="146">
        <v>5</v>
      </c>
      <c r="K17" s="147">
        <v>0</v>
      </c>
      <c r="L17" s="148">
        <f>13052475+1947525-6000000</f>
        <v>9000000</v>
      </c>
      <c r="M17" s="143" t="s">
        <v>173</v>
      </c>
      <c r="N17" s="148" t="s">
        <v>114</v>
      </c>
      <c r="O17" s="144" t="s">
        <v>222</v>
      </c>
      <c r="P17" s="149" t="str">
        <f>IFERROR(VLOOKUP(C17,TD!$B$32:$F$36,2,0)," ")</f>
        <v>O230117</v>
      </c>
      <c r="Q17" s="149" t="str">
        <f>IFERROR(VLOOKUP(C17,TD!$B$32:$F$36,3,0)," ")</f>
        <v>4503</v>
      </c>
      <c r="R17" s="149">
        <f>IFERROR(VLOOKUP(C17,TD!$B$32:$F$36,4,0)," ")</f>
        <v>20240255</v>
      </c>
      <c r="S17" s="144" t="s">
        <v>178</v>
      </c>
      <c r="T17" s="149" t="str">
        <f>IFERROR(VLOOKUP(S17,TD!$J$33:$K$43,2,0)," ")</f>
        <v>Servicio de capacitaciones en gestión del riesgo de incendios  a la ciudadania.</v>
      </c>
      <c r="U17" s="54" t="str">
        <f t="shared" si="0"/>
        <v>05-Servicio de capacitaciones en gestión del riesgo de incendios  a la ciudadania.</v>
      </c>
      <c r="V17" s="144" t="s">
        <v>235</v>
      </c>
      <c r="W17" s="149" t="str">
        <f>IFERROR(VLOOKUP(V17,TD!$N$33:$O$45,2,0)," ")</f>
        <v>Servicio prevención y control de incendios</v>
      </c>
      <c r="X17" s="54" t="str">
        <f t="shared" si="1"/>
        <v>035_Servicio prevención y control de incendios</v>
      </c>
      <c r="Y17" s="54" t="str">
        <f t="shared" si="2"/>
        <v>05-Servicio de capacitaciones en gestión del riesgo de incendios  a la ciudadania. 035_Servicio prevención y control de incendios</v>
      </c>
      <c r="Z17" s="149" t="str">
        <f t="shared" si="3"/>
        <v>O23011745032024025505035</v>
      </c>
      <c r="AA17" s="149" t="str">
        <f>IFERROR(VLOOKUP(Y17,TD!$K$46:$L$64,2,0)," ")</f>
        <v>PM/0131/0105/45030350255</v>
      </c>
      <c r="AB17" s="148" t="s">
        <v>139</v>
      </c>
      <c r="AC17" s="178" t="s">
        <v>205</v>
      </c>
    </row>
    <row r="18" spans="2:29" s="28" customFormat="1" ht="57">
      <c r="B18" s="195">
        <v>20240807</v>
      </c>
      <c r="C18" s="142" t="s">
        <v>210</v>
      </c>
      <c r="D18" s="143" t="s">
        <v>168</v>
      </c>
      <c r="E18" s="144" t="s">
        <v>380</v>
      </c>
      <c r="F18" s="143" t="s">
        <v>385</v>
      </c>
      <c r="G18" s="143" t="s">
        <v>156</v>
      </c>
      <c r="H18" s="145">
        <v>80111600</v>
      </c>
      <c r="I18" s="146">
        <v>8</v>
      </c>
      <c r="J18" s="146">
        <v>7</v>
      </c>
      <c r="K18" s="147">
        <v>0</v>
      </c>
      <c r="L18" s="148">
        <f>50400000-21600000</f>
        <v>28800000</v>
      </c>
      <c r="M18" s="143" t="s">
        <v>173</v>
      </c>
      <c r="N18" s="148" t="s">
        <v>114</v>
      </c>
      <c r="O18" s="144" t="s">
        <v>222</v>
      </c>
      <c r="P18" s="149" t="str">
        <f>IFERROR(VLOOKUP(C18,TD!$B$32:$F$36,2,0)," ")</f>
        <v>O230117</v>
      </c>
      <c r="Q18" s="149" t="str">
        <f>IFERROR(VLOOKUP(C18,TD!$B$32:$F$36,3,0)," ")</f>
        <v>4503</v>
      </c>
      <c r="R18" s="149">
        <f>IFERROR(VLOOKUP(C18,TD!$B$32:$F$36,4,0)," ")</f>
        <v>20240255</v>
      </c>
      <c r="S18" s="144" t="s">
        <v>182</v>
      </c>
      <c r="T18" s="149" t="str">
        <f>IFERROR(VLOOKUP(S18,TD!$J$33:$K$43,2,0)," ")</f>
        <v>Servicio de inspecciones técnicas realizadas</v>
      </c>
      <c r="U18" s="54" t="str">
        <f t="shared" si="0"/>
        <v>06-Servicio de inspecciones técnicas realizadas</v>
      </c>
      <c r="V18" s="144" t="s">
        <v>235</v>
      </c>
      <c r="W18" s="149" t="str">
        <f>IFERROR(VLOOKUP(V18,TD!$N$33:$O$45,2,0)," ")</f>
        <v>Servicio prevención y control de incendios</v>
      </c>
      <c r="X18" s="54" t="str">
        <f t="shared" si="1"/>
        <v>035_Servicio prevención y control de incendios</v>
      </c>
      <c r="Y18" s="54" t="str">
        <f t="shared" si="2"/>
        <v>06-Servicio de inspecciones técnicas realizadas 035_Servicio prevención y control de incendios</v>
      </c>
      <c r="Z18" s="149" t="str">
        <f t="shared" si="3"/>
        <v>O23011745032024025506035</v>
      </c>
      <c r="AA18" s="149" t="str">
        <f>IFERROR(VLOOKUP(Y18,TD!$K$46:$L$64,2,0)," ")</f>
        <v>PM/0131/0106/45030350255</v>
      </c>
      <c r="AB18" s="148" t="s">
        <v>139</v>
      </c>
      <c r="AC18" s="178" t="s">
        <v>205</v>
      </c>
    </row>
    <row r="19" spans="2:29" s="28" customFormat="1" ht="71.25">
      <c r="B19" s="196">
        <v>20240809</v>
      </c>
      <c r="C19" s="142" t="s">
        <v>210</v>
      </c>
      <c r="D19" s="143" t="s">
        <v>168</v>
      </c>
      <c r="E19" s="144" t="s">
        <v>380</v>
      </c>
      <c r="F19" s="143" t="s">
        <v>386</v>
      </c>
      <c r="G19" s="143" t="s">
        <v>120</v>
      </c>
      <c r="H19" s="145" t="s">
        <v>835</v>
      </c>
      <c r="I19" s="146">
        <v>10</v>
      </c>
      <c r="J19" s="146">
        <v>3</v>
      </c>
      <c r="K19" s="147">
        <v>0</v>
      </c>
      <c r="L19" s="148">
        <f>20000000+31000000</f>
        <v>51000000</v>
      </c>
      <c r="M19" s="143" t="s">
        <v>173</v>
      </c>
      <c r="N19" s="148" t="s">
        <v>101</v>
      </c>
      <c r="O19" s="144" t="s">
        <v>222</v>
      </c>
      <c r="P19" s="149" t="str">
        <f>IFERROR(VLOOKUP(C19,TD!$B$32:$F$36,2,0)," ")</f>
        <v>O230117</v>
      </c>
      <c r="Q19" s="149" t="str">
        <f>IFERROR(VLOOKUP(C19,TD!$B$32:$F$36,3,0)," ")</f>
        <v>4503</v>
      </c>
      <c r="R19" s="149">
        <f>IFERROR(VLOOKUP(C19,TD!$B$32:$F$36,4,0)," ")</f>
        <v>20240255</v>
      </c>
      <c r="S19" s="144" t="s">
        <v>182</v>
      </c>
      <c r="T19" s="149" t="str">
        <f>IFERROR(VLOOKUP(S19,TD!$J$33:$K$43,2,0)," ")</f>
        <v>Servicio de inspecciones técnicas realizadas</v>
      </c>
      <c r="U19" s="54" t="str">
        <f t="shared" si="0"/>
        <v>06-Servicio de inspecciones técnicas realizadas</v>
      </c>
      <c r="V19" s="144" t="s">
        <v>235</v>
      </c>
      <c r="W19" s="149" t="str">
        <f>IFERROR(VLOOKUP(V19,TD!$N$33:$O$45,2,0)," ")</f>
        <v>Servicio prevención y control de incendios</v>
      </c>
      <c r="X19" s="54" t="str">
        <f t="shared" si="1"/>
        <v>035_Servicio prevención y control de incendios</v>
      </c>
      <c r="Y19" s="54" t="str">
        <f t="shared" si="2"/>
        <v>06-Servicio de inspecciones técnicas realizadas 035_Servicio prevención y control de incendios</v>
      </c>
      <c r="Z19" s="149" t="str">
        <f t="shared" si="3"/>
        <v>O23011745032024025506035</v>
      </c>
      <c r="AA19" s="149" t="str">
        <f>IFERROR(VLOOKUP(Y19,TD!$K$46:$L$64,2,0)," ")</f>
        <v>PM/0131/0106/45030350255</v>
      </c>
      <c r="AB19" s="148" t="s">
        <v>139</v>
      </c>
      <c r="AC19" s="178" t="s">
        <v>205</v>
      </c>
    </row>
    <row r="20" spans="2:29" s="28" customFormat="1" ht="57">
      <c r="B20" s="195">
        <v>20240815</v>
      </c>
      <c r="C20" s="142" t="s">
        <v>210</v>
      </c>
      <c r="D20" s="143" t="s">
        <v>168</v>
      </c>
      <c r="E20" s="144" t="s">
        <v>380</v>
      </c>
      <c r="F20" s="143" t="s">
        <v>390</v>
      </c>
      <c r="G20" s="143" t="s">
        <v>156</v>
      </c>
      <c r="H20" s="145">
        <v>80111600</v>
      </c>
      <c r="I20" s="146">
        <v>8</v>
      </c>
      <c r="J20" s="146">
        <v>6</v>
      </c>
      <c r="K20" s="147">
        <v>0</v>
      </c>
      <c r="L20" s="148">
        <f>33000000-11000000</f>
        <v>22000000</v>
      </c>
      <c r="M20" s="143" t="s">
        <v>173</v>
      </c>
      <c r="N20" s="148" t="s">
        <v>114</v>
      </c>
      <c r="O20" s="144" t="s">
        <v>222</v>
      </c>
      <c r="P20" s="149" t="str">
        <f>IFERROR(VLOOKUP(C20,TD!$B$32:$F$36,2,0)," ")</f>
        <v>O230117</v>
      </c>
      <c r="Q20" s="149" t="str">
        <f>IFERROR(VLOOKUP(C20,TD!$B$32:$F$36,3,0)," ")</f>
        <v>4503</v>
      </c>
      <c r="R20" s="149">
        <f>IFERROR(VLOOKUP(C20,TD!$B$32:$F$36,4,0)," ")</f>
        <v>20240255</v>
      </c>
      <c r="S20" s="144" t="s">
        <v>178</v>
      </c>
      <c r="T20" s="149" t="str">
        <f>IFERROR(VLOOKUP(S20,TD!$J$33:$K$43,2,0)," ")</f>
        <v>Servicio de capacitaciones en gestión del riesgo de incendios  a la ciudadania.</v>
      </c>
      <c r="U20" s="54" t="str">
        <f t="shared" si="0"/>
        <v>05-Servicio de capacitaciones en gestión del riesgo de incendios  a la ciudadania.</v>
      </c>
      <c r="V20" s="144" t="s">
        <v>235</v>
      </c>
      <c r="W20" s="149" t="str">
        <f>IFERROR(VLOOKUP(V20,TD!$N$33:$O$45,2,0)," ")</f>
        <v>Servicio prevención y control de incendios</v>
      </c>
      <c r="X20" s="134" t="str">
        <f t="shared" si="1"/>
        <v>035_Servicio prevención y control de incendios</v>
      </c>
      <c r="Y20" s="134" t="str">
        <f t="shared" si="2"/>
        <v>05-Servicio de capacitaciones en gestión del riesgo de incendios  a la ciudadania. 035_Servicio prevención y control de incendios</v>
      </c>
      <c r="Z20" s="149" t="str">
        <f t="shared" si="3"/>
        <v>O23011745032024025505035</v>
      </c>
      <c r="AA20" s="149" t="str">
        <f>IFERROR(VLOOKUP(Y20,TD!$K$46:$L$64,2,0)," ")</f>
        <v>PM/0131/0105/45030350255</v>
      </c>
      <c r="AB20" s="148" t="s">
        <v>139</v>
      </c>
      <c r="AC20" s="178" t="s">
        <v>205</v>
      </c>
    </row>
    <row r="21" spans="2:29" s="28" customFormat="1" ht="57">
      <c r="B21" s="195">
        <v>20240816</v>
      </c>
      <c r="C21" s="142" t="s">
        <v>210</v>
      </c>
      <c r="D21" s="143" t="s">
        <v>168</v>
      </c>
      <c r="E21" s="144" t="s">
        <v>380</v>
      </c>
      <c r="F21" s="143" t="s">
        <v>390</v>
      </c>
      <c r="G21" s="143" t="s">
        <v>156</v>
      </c>
      <c r="H21" s="145">
        <v>80111600</v>
      </c>
      <c r="I21" s="146">
        <v>8</v>
      </c>
      <c r="J21" s="146">
        <v>6</v>
      </c>
      <c r="K21" s="147">
        <v>0</v>
      </c>
      <c r="L21" s="148">
        <f>33000000-11000000</f>
        <v>22000000</v>
      </c>
      <c r="M21" s="143" t="s">
        <v>173</v>
      </c>
      <c r="N21" s="148" t="s">
        <v>114</v>
      </c>
      <c r="O21" s="144" t="s">
        <v>222</v>
      </c>
      <c r="P21" s="149" t="str">
        <f>IFERROR(VLOOKUP(C21,TD!$B$32:$F$36,2,0)," ")</f>
        <v>O230117</v>
      </c>
      <c r="Q21" s="149" t="str">
        <f>IFERROR(VLOOKUP(C21,TD!$B$32:$F$36,3,0)," ")</f>
        <v>4503</v>
      </c>
      <c r="R21" s="149">
        <f>IFERROR(VLOOKUP(C21,TD!$B$32:$F$36,4,0)," ")</f>
        <v>20240255</v>
      </c>
      <c r="S21" s="144" t="s">
        <v>182</v>
      </c>
      <c r="T21" s="149" t="str">
        <f>IFERROR(VLOOKUP(S21,TD!$J$33:$K$43,2,0)," ")</f>
        <v>Servicio de inspecciones técnicas realizadas</v>
      </c>
      <c r="U21" s="54" t="str">
        <f t="shared" si="0"/>
        <v>06-Servicio de inspecciones técnicas realizadas</v>
      </c>
      <c r="V21" s="144" t="s">
        <v>235</v>
      </c>
      <c r="W21" s="149" t="str">
        <f>IFERROR(VLOOKUP(V21,TD!$N$33:$O$45,2,0)," ")</f>
        <v>Servicio prevención y control de incendios</v>
      </c>
      <c r="X21" s="54" t="str">
        <f t="shared" si="1"/>
        <v>035_Servicio prevención y control de incendios</v>
      </c>
      <c r="Y21" s="54" t="str">
        <f t="shared" si="2"/>
        <v>06-Servicio de inspecciones técnicas realizadas 035_Servicio prevención y control de incendios</v>
      </c>
      <c r="Z21" s="149" t="str">
        <f t="shared" si="3"/>
        <v>O23011745032024025506035</v>
      </c>
      <c r="AA21" s="149" t="str">
        <f>IFERROR(VLOOKUP(Y21,TD!$K$46:$L$64,2,0)," ")</f>
        <v>PM/0131/0106/45030350255</v>
      </c>
      <c r="AB21" s="148" t="s">
        <v>139</v>
      </c>
      <c r="AC21" s="178" t="s">
        <v>205</v>
      </c>
    </row>
    <row r="22" spans="2:29" s="28" customFormat="1" ht="57">
      <c r="B22" s="195">
        <v>20240817</v>
      </c>
      <c r="C22" s="142" t="s">
        <v>210</v>
      </c>
      <c r="D22" s="143" t="s">
        <v>168</v>
      </c>
      <c r="E22" s="144" t="s">
        <v>380</v>
      </c>
      <c r="F22" s="143" t="s">
        <v>391</v>
      </c>
      <c r="G22" s="143" t="s">
        <v>156</v>
      </c>
      <c r="H22" s="145">
        <v>80111600</v>
      </c>
      <c r="I22" s="146">
        <v>8</v>
      </c>
      <c r="J22" s="146">
        <v>5</v>
      </c>
      <c r="K22" s="147">
        <v>15</v>
      </c>
      <c r="L22" s="148">
        <f>33000000-9000000</f>
        <v>24000000</v>
      </c>
      <c r="M22" s="143" t="s">
        <v>173</v>
      </c>
      <c r="N22" s="148" t="s">
        <v>114</v>
      </c>
      <c r="O22" s="144" t="s">
        <v>222</v>
      </c>
      <c r="P22" s="149" t="str">
        <f>IFERROR(VLOOKUP(C22,TD!$B$32:$F$36,2,0)," ")</f>
        <v>O230117</v>
      </c>
      <c r="Q22" s="149" t="str">
        <f>IFERROR(VLOOKUP(C22,TD!$B$32:$F$36,3,0)," ")</f>
        <v>4503</v>
      </c>
      <c r="R22" s="149">
        <f>IFERROR(VLOOKUP(C22,TD!$B$32:$F$36,4,0)," ")</f>
        <v>20240255</v>
      </c>
      <c r="S22" s="144" t="s">
        <v>182</v>
      </c>
      <c r="T22" s="149" t="str">
        <f>IFERROR(VLOOKUP(S22,TD!$J$33:$K$43,2,0)," ")</f>
        <v>Servicio de inspecciones técnicas realizadas</v>
      </c>
      <c r="U22" s="54" t="str">
        <f t="shared" si="0"/>
        <v>06-Servicio de inspecciones técnicas realizadas</v>
      </c>
      <c r="V22" s="144" t="s">
        <v>235</v>
      </c>
      <c r="W22" s="149" t="str">
        <f>IFERROR(VLOOKUP(V22,TD!$N$33:$O$45,2,0)," ")</f>
        <v>Servicio prevención y control de incendios</v>
      </c>
      <c r="X22" s="54" t="str">
        <f t="shared" si="1"/>
        <v>035_Servicio prevención y control de incendios</v>
      </c>
      <c r="Y22" s="54" t="str">
        <f t="shared" si="2"/>
        <v>06-Servicio de inspecciones técnicas realizadas 035_Servicio prevención y control de incendios</v>
      </c>
      <c r="Z22" s="149" t="str">
        <f t="shared" si="3"/>
        <v>O23011745032024025506035</v>
      </c>
      <c r="AA22" s="149" t="str">
        <f>IFERROR(VLOOKUP(Y22,TD!$K$46:$L$64,2,0)," ")</f>
        <v>PM/0131/0106/45030350255</v>
      </c>
      <c r="AB22" s="148" t="s">
        <v>139</v>
      </c>
      <c r="AC22" s="178" t="s">
        <v>205</v>
      </c>
    </row>
    <row r="23" spans="2:29" s="28" customFormat="1" ht="57">
      <c r="B23" s="195">
        <v>20240818</v>
      </c>
      <c r="C23" s="142" t="s">
        <v>210</v>
      </c>
      <c r="D23" s="143" t="s">
        <v>168</v>
      </c>
      <c r="E23" s="144" t="s">
        <v>380</v>
      </c>
      <c r="F23" s="143" t="s">
        <v>389</v>
      </c>
      <c r="G23" s="143" t="s">
        <v>157</v>
      </c>
      <c r="H23" s="145">
        <v>80111600</v>
      </c>
      <c r="I23" s="146">
        <v>8</v>
      </c>
      <c r="J23" s="146">
        <v>5</v>
      </c>
      <c r="K23" s="147">
        <v>0</v>
      </c>
      <c r="L23" s="148">
        <f>15000000-3000000</f>
        <v>12000000</v>
      </c>
      <c r="M23" s="143" t="s">
        <v>173</v>
      </c>
      <c r="N23" s="148" t="s">
        <v>114</v>
      </c>
      <c r="O23" s="144" t="s">
        <v>222</v>
      </c>
      <c r="P23" s="149" t="str">
        <f>IFERROR(VLOOKUP(C23,TD!$B$32:$F$36,2,0)," ")</f>
        <v>O230117</v>
      </c>
      <c r="Q23" s="149" t="str">
        <f>IFERROR(VLOOKUP(C23,TD!$B$32:$F$36,3,0)," ")</f>
        <v>4503</v>
      </c>
      <c r="R23" s="149">
        <f>IFERROR(VLOOKUP(C23,TD!$B$32:$F$36,4,0)," ")</f>
        <v>20240255</v>
      </c>
      <c r="S23" s="144" t="s">
        <v>182</v>
      </c>
      <c r="T23" s="149" t="str">
        <f>IFERROR(VLOOKUP(S23,TD!$J$33:$K$43,2,0)," ")</f>
        <v>Servicio de inspecciones técnicas realizadas</v>
      </c>
      <c r="U23" s="54" t="str">
        <f t="shared" si="0"/>
        <v>06-Servicio de inspecciones técnicas realizadas</v>
      </c>
      <c r="V23" s="144" t="s">
        <v>235</v>
      </c>
      <c r="W23" s="149" t="str">
        <f>IFERROR(VLOOKUP(V23,TD!$N$33:$O$45,2,0)," ")</f>
        <v>Servicio prevención y control de incendios</v>
      </c>
      <c r="X23" s="54" t="str">
        <f t="shared" si="1"/>
        <v>035_Servicio prevención y control de incendios</v>
      </c>
      <c r="Y23" s="54" t="str">
        <f t="shared" si="2"/>
        <v>06-Servicio de inspecciones técnicas realizadas 035_Servicio prevención y control de incendios</v>
      </c>
      <c r="Z23" s="149" t="str">
        <f t="shared" si="3"/>
        <v>O23011745032024025506035</v>
      </c>
      <c r="AA23" s="149" t="str">
        <f>IFERROR(VLOOKUP(Y23,TD!$K$46:$L$64,2,0)," ")</f>
        <v>PM/0131/0106/45030350255</v>
      </c>
      <c r="AB23" s="148" t="s">
        <v>139</v>
      </c>
      <c r="AC23" s="178" t="s">
        <v>205</v>
      </c>
    </row>
    <row r="24" spans="2:29" s="28" customFormat="1" ht="57">
      <c r="B24" s="195">
        <v>20240819</v>
      </c>
      <c r="C24" s="142" t="s">
        <v>210</v>
      </c>
      <c r="D24" s="143" t="s">
        <v>168</v>
      </c>
      <c r="E24" s="144" t="s">
        <v>380</v>
      </c>
      <c r="F24" s="143" t="s">
        <v>389</v>
      </c>
      <c r="G24" s="143" t="s">
        <v>157</v>
      </c>
      <c r="H24" s="145">
        <v>80111600</v>
      </c>
      <c r="I24" s="146">
        <v>8</v>
      </c>
      <c r="J24" s="146">
        <v>5</v>
      </c>
      <c r="K24" s="147">
        <v>0</v>
      </c>
      <c r="L24" s="148">
        <f>15000000-3000000</f>
        <v>12000000</v>
      </c>
      <c r="M24" s="143" t="s">
        <v>173</v>
      </c>
      <c r="N24" s="148" t="s">
        <v>114</v>
      </c>
      <c r="O24" s="144" t="s">
        <v>222</v>
      </c>
      <c r="P24" s="149" t="str">
        <f>IFERROR(VLOOKUP(C24,TD!$B$32:$F$36,2,0)," ")</f>
        <v>O230117</v>
      </c>
      <c r="Q24" s="149" t="str">
        <f>IFERROR(VLOOKUP(C24,TD!$B$32:$F$36,3,0)," ")</f>
        <v>4503</v>
      </c>
      <c r="R24" s="149">
        <f>IFERROR(VLOOKUP(C24,TD!$B$32:$F$36,4,0)," ")</f>
        <v>20240255</v>
      </c>
      <c r="S24" s="144" t="s">
        <v>182</v>
      </c>
      <c r="T24" s="149" t="str">
        <f>IFERROR(VLOOKUP(S24,TD!$J$33:$K$43,2,0)," ")</f>
        <v>Servicio de inspecciones técnicas realizadas</v>
      </c>
      <c r="U24" s="54" t="str">
        <f t="shared" si="0"/>
        <v>06-Servicio de inspecciones técnicas realizadas</v>
      </c>
      <c r="V24" s="144" t="s">
        <v>235</v>
      </c>
      <c r="W24" s="149" t="str">
        <f>IFERROR(VLOOKUP(V24,TD!$N$33:$O$45,2,0)," ")</f>
        <v>Servicio prevención y control de incendios</v>
      </c>
      <c r="X24" s="54" t="str">
        <f t="shared" si="1"/>
        <v>035_Servicio prevención y control de incendios</v>
      </c>
      <c r="Y24" s="54" t="str">
        <f t="shared" si="2"/>
        <v>06-Servicio de inspecciones técnicas realizadas 035_Servicio prevención y control de incendios</v>
      </c>
      <c r="Z24" s="149" t="str">
        <f t="shared" si="3"/>
        <v>O23011745032024025506035</v>
      </c>
      <c r="AA24" s="149" t="str">
        <f>IFERROR(VLOOKUP(Y24,TD!$K$46:$L$64,2,0)," ")</f>
        <v>PM/0131/0106/45030350255</v>
      </c>
      <c r="AB24" s="148" t="s">
        <v>139</v>
      </c>
      <c r="AC24" s="178" t="s">
        <v>205</v>
      </c>
    </row>
    <row r="25" spans="2:29" s="28" customFormat="1" ht="57">
      <c r="B25" s="195">
        <v>20240820</v>
      </c>
      <c r="C25" s="142" t="s">
        <v>210</v>
      </c>
      <c r="D25" s="143" t="s">
        <v>168</v>
      </c>
      <c r="E25" s="144" t="s">
        <v>380</v>
      </c>
      <c r="F25" s="143" t="s">
        <v>389</v>
      </c>
      <c r="G25" s="143" t="s">
        <v>157</v>
      </c>
      <c r="H25" s="145">
        <v>80111600</v>
      </c>
      <c r="I25" s="146">
        <v>8</v>
      </c>
      <c r="J25" s="146">
        <v>5</v>
      </c>
      <c r="K25" s="147">
        <v>0</v>
      </c>
      <c r="L25" s="148">
        <f>15000000-3000000</f>
        <v>12000000</v>
      </c>
      <c r="M25" s="143" t="s">
        <v>173</v>
      </c>
      <c r="N25" s="148" t="s">
        <v>114</v>
      </c>
      <c r="O25" s="144" t="s">
        <v>222</v>
      </c>
      <c r="P25" s="149" t="str">
        <f>IFERROR(VLOOKUP(C25,TD!$B$32:$F$36,2,0)," ")</f>
        <v>O230117</v>
      </c>
      <c r="Q25" s="149" t="str">
        <f>IFERROR(VLOOKUP(C25,TD!$B$32:$F$36,3,0)," ")</f>
        <v>4503</v>
      </c>
      <c r="R25" s="149">
        <f>IFERROR(VLOOKUP(C25,TD!$B$32:$F$36,4,0)," ")</f>
        <v>20240255</v>
      </c>
      <c r="S25" s="144" t="s">
        <v>182</v>
      </c>
      <c r="T25" s="149" t="str">
        <f>IFERROR(VLOOKUP(S25,TD!$J$33:$K$43,2,0)," ")</f>
        <v>Servicio de inspecciones técnicas realizadas</v>
      </c>
      <c r="U25" s="54" t="str">
        <f t="shared" si="0"/>
        <v>06-Servicio de inspecciones técnicas realizadas</v>
      </c>
      <c r="V25" s="144" t="s">
        <v>235</v>
      </c>
      <c r="W25" s="149" t="str">
        <f>IFERROR(VLOOKUP(V25,TD!$N$33:$O$45,2,0)," ")</f>
        <v>Servicio prevención y control de incendios</v>
      </c>
      <c r="X25" s="54" t="str">
        <f t="shared" si="1"/>
        <v>035_Servicio prevención y control de incendios</v>
      </c>
      <c r="Y25" s="54" t="str">
        <f t="shared" si="2"/>
        <v>06-Servicio de inspecciones técnicas realizadas 035_Servicio prevención y control de incendios</v>
      </c>
      <c r="Z25" s="149" t="str">
        <f t="shared" si="3"/>
        <v>O23011745032024025506035</v>
      </c>
      <c r="AA25" s="149" t="str">
        <f>IFERROR(VLOOKUP(Y25,TD!$K$46:$L$64,2,0)," ")</f>
        <v>PM/0131/0106/45030350255</v>
      </c>
      <c r="AB25" s="148" t="s">
        <v>139</v>
      </c>
      <c r="AC25" s="178" t="s">
        <v>205</v>
      </c>
    </row>
    <row r="26" spans="2:29" s="28" customFormat="1" ht="57">
      <c r="B26" s="195">
        <v>20240829</v>
      </c>
      <c r="C26" s="142" t="s">
        <v>210</v>
      </c>
      <c r="D26" s="143" t="s">
        <v>168</v>
      </c>
      <c r="E26" s="144" t="s">
        <v>380</v>
      </c>
      <c r="F26" s="143" t="s">
        <v>394</v>
      </c>
      <c r="G26" s="143" t="s">
        <v>157</v>
      </c>
      <c r="H26" s="145">
        <v>80111600</v>
      </c>
      <c r="I26" s="146">
        <v>8</v>
      </c>
      <c r="J26" s="146">
        <v>5</v>
      </c>
      <c r="K26" s="147">
        <v>0</v>
      </c>
      <c r="L26" s="148">
        <f>15000000-3000000</f>
        <v>12000000</v>
      </c>
      <c r="M26" s="143" t="s">
        <v>173</v>
      </c>
      <c r="N26" s="148" t="s">
        <v>114</v>
      </c>
      <c r="O26" s="144" t="s">
        <v>226</v>
      </c>
      <c r="P26" s="149" t="str">
        <f>IFERROR(VLOOKUP(C26,TD!$B$32:$F$36,2,0)," ")</f>
        <v>O230117</v>
      </c>
      <c r="Q26" s="149" t="str">
        <f>IFERROR(VLOOKUP(C26,TD!$B$32:$F$36,3,0)," ")</f>
        <v>4503</v>
      </c>
      <c r="R26" s="149">
        <f>IFERROR(VLOOKUP(C26,TD!$B$32:$F$36,4,0)," ")</f>
        <v>20240255</v>
      </c>
      <c r="S26" s="144" t="s">
        <v>180</v>
      </c>
      <c r="T26" s="149" t="str">
        <f>IFERROR(VLOOKUP(S26,TD!$J$33:$K$43,2,0)," ")</f>
        <v>Infraestructura Tecnológica   (Sistemas de Información y Tecnologia)</v>
      </c>
      <c r="U26" s="54" t="str">
        <f t="shared" si="0"/>
        <v>11-Infraestructura Tecnológica   (Sistemas de Información y Tecnologia)</v>
      </c>
      <c r="V26" s="144" t="s">
        <v>236</v>
      </c>
      <c r="W26" s="149" t="str">
        <f>IFERROR(VLOOKUP(V26,TD!$N$33:$O$45,2,0)," ")</f>
        <v>"Servicio de monitoreo y seguimiento para la gestión del riesgo"</v>
      </c>
      <c r="X26" s="54" t="str">
        <f t="shared" si="1"/>
        <v>018_"Servicio de monitoreo y seguimiento para la gestión del riesgo"</v>
      </c>
      <c r="Y26" s="54" t="str">
        <f t="shared" si="2"/>
        <v>11-Infraestructura Tecnológica   (Sistemas de Información y Tecnologia) 018_"Servicio de monitoreo y seguimiento para la gestión del riesgo"</v>
      </c>
      <c r="Z26" s="149" t="str">
        <f t="shared" si="3"/>
        <v>O23011745032024025511018</v>
      </c>
      <c r="AA26" s="149" t="str">
        <f>IFERROR(VLOOKUP(Y26,TD!$K$46:$L$64,2,0)," ")</f>
        <v>PM/0131/0111/45030180255</v>
      </c>
      <c r="AB26" s="148" t="s">
        <v>139</v>
      </c>
      <c r="AC26" s="178" t="s">
        <v>205</v>
      </c>
    </row>
    <row r="27" spans="2:29" s="28" customFormat="1" ht="57">
      <c r="B27" s="196">
        <v>20240830</v>
      </c>
      <c r="C27" s="142" t="s">
        <v>210</v>
      </c>
      <c r="D27" s="143" t="s">
        <v>168</v>
      </c>
      <c r="E27" s="144" t="s">
        <v>380</v>
      </c>
      <c r="F27" s="143" t="s">
        <v>393</v>
      </c>
      <c r="G27" s="143" t="s">
        <v>157</v>
      </c>
      <c r="H27" s="145">
        <v>80111600</v>
      </c>
      <c r="I27" s="146">
        <v>8</v>
      </c>
      <c r="J27" s="146">
        <v>6</v>
      </c>
      <c r="K27" s="147">
        <v>0</v>
      </c>
      <c r="L27" s="148">
        <f>7500000+7500000-7500000</f>
        <v>7500000</v>
      </c>
      <c r="M27" s="143" t="s">
        <v>173</v>
      </c>
      <c r="N27" s="148" t="s">
        <v>114</v>
      </c>
      <c r="O27" s="144" t="s">
        <v>227</v>
      </c>
      <c r="P27" s="149" t="str">
        <f>IFERROR(VLOOKUP(C27,TD!$B$32:$F$36,2,0)," ")</f>
        <v>O230117</v>
      </c>
      <c r="Q27" s="149" t="str">
        <f>IFERROR(VLOOKUP(C27,TD!$B$32:$F$36,3,0)," ")</f>
        <v>4503</v>
      </c>
      <c r="R27" s="149">
        <f>IFERROR(VLOOKUP(C27,TD!$B$32:$F$36,4,0)," ")</f>
        <v>20240255</v>
      </c>
      <c r="S27" s="144" t="s">
        <v>180</v>
      </c>
      <c r="T27" s="149" t="str">
        <f>IFERROR(VLOOKUP(S27,TD!$J$33:$K$43,2,0)," ")</f>
        <v>Infraestructura Tecnológica   (Sistemas de Información y Tecnologia)</v>
      </c>
      <c r="U27" s="54" t="str">
        <f t="shared" si="0"/>
        <v>11-Infraestructura Tecnológica   (Sistemas de Información y Tecnologia)</v>
      </c>
      <c r="V27" s="144" t="s">
        <v>236</v>
      </c>
      <c r="W27" s="149" t="str">
        <f>IFERROR(VLOOKUP(V27,TD!$N$33:$O$45,2,0)," ")</f>
        <v>"Servicio de monitoreo y seguimiento para la gestión del riesgo"</v>
      </c>
      <c r="X27" s="54" t="str">
        <f t="shared" si="1"/>
        <v>018_"Servicio de monitoreo y seguimiento para la gestión del riesgo"</v>
      </c>
      <c r="Y27" s="54" t="str">
        <f t="shared" si="2"/>
        <v>11-Infraestructura Tecnológica   (Sistemas de Información y Tecnologia) 018_"Servicio de monitoreo y seguimiento para la gestión del riesgo"</v>
      </c>
      <c r="Z27" s="149" t="str">
        <f t="shared" si="3"/>
        <v>O23011745032024025511018</v>
      </c>
      <c r="AA27" s="149" t="str">
        <f>IFERROR(VLOOKUP(Y27,TD!$K$46:$L$64,2,0)," ")</f>
        <v>PM/0131/0111/45030180255</v>
      </c>
      <c r="AB27" s="148" t="s">
        <v>139</v>
      </c>
      <c r="AC27" s="178" t="s">
        <v>205</v>
      </c>
    </row>
    <row r="28" spans="2:29" s="28" customFormat="1" ht="57">
      <c r="B28" s="195">
        <v>20240832</v>
      </c>
      <c r="C28" s="142" t="s">
        <v>210</v>
      </c>
      <c r="D28" s="143" t="s">
        <v>168</v>
      </c>
      <c r="E28" s="144" t="s">
        <v>380</v>
      </c>
      <c r="F28" s="143" t="s">
        <v>393</v>
      </c>
      <c r="G28" s="143" t="s">
        <v>157</v>
      </c>
      <c r="H28" s="145">
        <v>80111600</v>
      </c>
      <c r="I28" s="146">
        <v>8</v>
      </c>
      <c r="J28" s="146">
        <v>6</v>
      </c>
      <c r="K28" s="147">
        <v>0</v>
      </c>
      <c r="L28" s="148">
        <f>7500000+7500000-5000000</f>
        <v>10000000</v>
      </c>
      <c r="M28" s="143" t="s">
        <v>173</v>
      </c>
      <c r="N28" s="148" t="s">
        <v>114</v>
      </c>
      <c r="O28" s="144" t="s">
        <v>227</v>
      </c>
      <c r="P28" s="149" t="str">
        <f>IFERROR(VLOOKUP(C28,TD!$B$32:$F$36,2,0)," ")</f>
        <v>O230117</v>
      </c>
      <c r="Q28" s="149" t="str">
        <f>IFERROR(VLOOKUP(C28,TD!$B$32:$F$36,3,0)," ")</f>
        <v>4503</v>
      </c>
      <c r="R28" s="149">
        <f>IFERROR(VLOOKUP(C28,TD!$B$32:$F$36,4,0)," ")</f>
        <v>20240255</v>
      </c>
      <c r="S28" s="144" t="s">
        <v>180</v>
      </c>
      <c r="T28" s="149" t="str">
        <f>IFERROR(VLOOKUP(S28,TD!$J$33:$K$43,2,0)," ")</f>
        <v>Infraestructura Tecnológica   (Sistemas de Información y Tecnologia)</v>
      </c>
      <c r="U28" s="54" t="str">
        <f t="shared" si="0"/>
        <v>11-Infraestructura Tecnológica   (Sistemas de Información y Tecnologia)</v>
      </c>
      <c r="V28" s="144" t="s">
        <v>236</v>
      </c>
      <c r="W28" s="149" t="str">
        <f>IFERROR(VLOOKUP(V28,TD!$N$33:$O$45,2,0)," ")</f>
        <v>"Servicio de monitoreo y seguimiento para la gestión del riesgo"</v>
      </c>
      <c r="X28" s="54" t="str">
        <f t="shared" si="1"/>
        <v>018_"Servicio de monitoreo y seguimiento para la gestión del riesgo"</v>
      </c>
      <c r="Y28" s="54" t="str">
        <f t="shared" si="2"/>
        <v>11-Infraestructura Tecnológica   (Sistemas de Información y Tecnologia) 018_"Servicio de monitoreo y seguimiento para la gestión del riesgo"</v>
      </c>
      <c r="Z28" s="149" t="str">
        <f t="shared" si="3"/>
        <v>O23011745032024025511018</v>
      </c>
      <c r="AA28" s="149" t="str">
        <f>IFERROR(VLOOKUP(Y28,TD!$K$46:$L$64,2,0)," ")</f>
        <v>PM/0131/0111/45030180255</v>
      </c>
      <c r="AB28" s="148" t="s">
        <v>139</v>
      </c>
      <c r="AC28" s="178" t="s">
        <v>205</v>
      </c>
    </row>
    <row r="29" spans="2:29" s="28" customFormat="1" ht="57">
      <c r="B29" s="195">
        <v>20240833</v>
      </c>
      <c r="C29" s="142" t="s">
        <v>210</v>
      </c>
      <c r="D29" s="143" t="s">
        <v>168</v>
      </c>
      <c r="E29" s="144" t="s">
        <v>380</v>
      </c>
      <c r="F29" s="143" t="s">
        <v>393</v>
      </c>
      <c r="G29" s="143" t="s">
        <v>157</v>
      </c>
      <c r="H29" s="145">
        <v>80111600</v>
      </c>
      <c r="I29" s="146">
        <v>8</v>
      </c>
      <c r="J29" s="146">
        <v>6</v>
      </c>
      <c r="K29" s="147">
        <v>0</v>
      </c>
      <c r="L29" s="148">
        <f>7500000+7500000-5000000</f>
        <v>10000000</v>
      </c>
      <c r="M29" s="143" t="s">
        <v>173</v>
      </c>
      <c r="N29" s="148" t="s">
        <v>114</v>
      </c>
      <c r="O29" s="144" t="s">
        <v>227</v>
      </c>
      <c r="P29" s="149" t="str">
        <f>IFERROR(VLOOKUP(C29,TD!$B$32:$F$36,2,0)," ")</f>
        <v>O230117</v>
      </c>
      <c r="Q29" s="149" t="str">
        <f>IFERROR(VLOOKUP(C29,TD!$B$32:$F$36,3,0)," ")</f>
        <v>4503</v>
      </c>
      <c r="R29" s="149">
        <f>IFERROR(VLOOKUP(C29,TD!$B$32:$F$36,4,0)," ")</f>
        <v>20240255</v>
      </c>
      <c r="S29" s="144" t="s">
        <v>180</v>
      </c>
      <c r="T29" s="149" t="str">
        <f>IFERROR(VLOOKUP(S29,TD!$J$33:$K$43,2,0)," ")</f>
        <v>Infraestructura Tecnológica   (Sistemas de Información y Tecnologia)</v>
      </c>
      <c r="U29" s="54" t="str">
        <f t="shared" si="0"/>
        <v>11-Infraestructura Tecnológica   (Sistemas de Información y Tecnologia)</v>
      </c>
      <c r="V29" s="144" t="s">
        <v>236</v>
      </c>
      <c r="W29" s="149" t="str">
        <f>IFERROR(VLOOKUP(V29,TD!$N$33:$O$45,2,0)," ")</f>
        <v>"Servicio de monitoreo y seguimiento para la gestión del riesgo"</v>
      </c>
      <c r="X29" s="54" t="str">
        <f t="shared" si="1"/>
        <v>018_"Servicio de monitoreo y seguimiento para la gestión del riesgo"</v>
      </c>
      <c r="Y29" s="54" t="str">
        <f t="shared" si="2"/>
        <v>11-Infraestructura Tecnológica   (Sistemas de Información y Tecnologia) 018_"Servicio de monitoreo y seguimiento para la gestión del riesgo"</v>
      </c>
      <c r="Z29" s="149" t="str">
        <f t="shared" si="3"/>
        <v>O23011745032024025511018</v>
      </c>
      <c r="AA29" s="149" t="str">
        <f>IFERROR(VLOOKUP(Y29,TD!$K$46:$L$64,2,0)," ")</f>
        <v>PM/0131/0111/45030180255</v>
      </c>
      <c r="AB29" s="148" t="s">
        <v>139</v>
      </c>
      <c r="AC29" s="178" t="s">
        <v>205</v>
      </c>
    </row>
    <row r="30" spans="2:29" s="28" customFormat="1" ht="57">
      <c r="B30" s="195">
        <v>20240839</v>
      </c>
      <c r="C30" s="142" t="s">
        <v>210</v>
      </c>
      <c r="D30" s="143" t="s">
        <v>168</v>
      </c>
      <c r="E30" s="144" t="s">
        <v>380</v>
      </c>
      <c r="F30" s="143" t="s">
        <v>402</v>
      </c>
      <c r="G30" s="143" t="s">
        <v>156</v>
      </c>
      <c r="H30" s="145" t="s">
        <v>752</v>
      </c>
      <c r="I30" s="146">
        <v>9</v>
      </c>
      <c r="J30" s="146">
        <v>3</v>
      </c>
      <c r="K30" s="147">
        <v>12</v>
      </c>
      <c r="L30" s="148">
        <f>32004303-10892065-912238</f>
        <v>20200000</v>
      </c>
      <c r="M30" s="143" t="s">
        <v>173</v>
      </c>
      <c r="N30" s="148" t="s">
        <v>114</v>
      </c>
      <c r="O30" s="144" t="s">
        <v>226</v>
      </c>
      <c r="P30" s="149" t="str">
        <f>IFERROR(VLOOKUP(C30,TD!$B$32:$F$36,2,0)," ")</f>
        <v>O230117</v>
      </c>
      <c r="Q30" s="149" t="str">
        <f>IFERROR(VLOOKUP(C30,TD!$B$32:$F$36,3,0)," ")</f>
        <v>4503</v>
      </c>
      <c r="R30" s="149">
        <f>IFERROR(VLOOKUP(C30,TD!$B$32:$F$36,4,0)," ")</f>
        <v>20240255</v>
      </c>
      <c r="S30" s="144" t="s">
        <v>180</v>
      </c>
      <c r="T30" s="149" t="str">
        <f>IFERROR(VLOOKUP(S30,TD!$J$33:$K$43,2,0)," ")</f>
        <v>Infraestructura Tecnológica   (Sistemas de Información y Tecnologia)</v>
      </c>
      <c r="U30" s="54" t="str">
        <f t="shared" si="0"/>
        <v>11-Infraestructura Tecnológica   (Sistemas de Información y Tecnologia)</v>
      </c>
      <c r="V30" s="144" t="s">
        <v>236</v>
      </c>
      <c r="W30" s="149" t="str">
        <f>IFERROR(VLOOKUP(V30,TD!$N$33:$O$45,2,0)," ")</f>
        <v>"Servicio de monitoreo y seguimiento para la gestión del riesgo"</v>
      </c>
      <c r="X30" s="54" t="str">
        <f t="shared" si="1"/>
        <v>018_"Servicio de monitoreo y seguimiento para la gestión del riesgo"</v>
      </c>
      <c r="Y30" s="54" t="str">
        <f t="shared" si="2"/>
        <v>11-Infraestructura Tecnológica   (Sistemas de Información y Tecnologia) 018_"Servicio de monitoreo y seguimiento para la gestión del riesgo"</v>
      </c>
      <c r="Z30" s="149" t="str">
        <f t="shared" si="3"/>
        <v>O23011745032024025511018</v>
      </c>
      <c r="AA30" s="149" t="str">
        <f>IFERROR(VLOOKUP(Y30,TD!$K$46:$L$64,2,0)," ")</f>
        <v>PM/0131/0111/45030180255</v>
      </c>
      <c r="AB30" s="148" t="s">
        <v>139</v>
      </c>
      <c r="AC30" s="178" t="s">
        <v>206</v>
      </c>
    </row>
    <row r="31" spans="2:29" s="28" customFormat="1" ht="57">
      <c r="B31" s="195">
        <v>20240840</v>
      </c>
      <c r="C31" s="142" t="s">
        <v>210</v>
      </c>
      <c r="D31" s="143" t="s">
        <v>168</v>
      </c>
      <c r="E31" s="144" t="s">
        <v>380</v>
      </c>
      <c r="F31" s="143" t="s">
        <v>397</v>
      </c>
      <c r="G31" s="143" t="s">
        <v>156</v>
      </c>
      <c r="H31" s="145">
        <v>80111600</v>
      </c>
      <c r="I31" s="146">
        <v>8</v>
      </c>
      <c r="J31" s="146">
        <v>6</v>
      </c>
      <c r="K31" s="147">
        <v>0</v>
      </c>
      <c r="L31" s="148">
        <f>54000000+6000000-20000000-4000000</f>
        <v>36000000</v>
      </c>
      <c r="M31" s="143" t="s">
        <v>173</v>
      </c>
      <c r="N31" s="148" t="s">
        <v>114</v>
      </c>
      <c r="O31" s="144" t="s">
        <v>226</v>
      </c>
      <c r="P31" s="149" t="str">
        <f>IFERROR(VLOOKUP(C31,TD!$B$32:$F$36,2,0)," ")</f>
        <v>O230117</v>
      </c>
      <c r="Q31" s="149" t="str">
        <f>IFERROR(VLOOKUP(C31,TD!$B$32:$F$36,3,0)," ")</f>
        <v>4503</v>
      </c>
      <c r="R31" s="149">
        <f>IFERROR(VLOOKUP(C31,TD!$B$32:$F$36,4,0)," ")</f>
        <v>20240255</v>
      </c>
      <c r="S31" s="144" t="s">
        <v>180</v>
      </c>
      <c r="T31" s="149" t="str">
        <f>IFERROR(VLOOKUP(S31,TD!$J$33:$K$43,2,0)," ")</f>
        <v>Infraestructura Tecnológica   (Sistemas de Información y Tecnologia)</v>
      </c>
      <c r="U31" s="54" t="str">
        <f t="shared" si="0"/>
        <v>11-Infraestructura Tecnológica   (Sistemas de Información y Tecnologia)</v>
      </c>
      <c r="V31" s="144" t="s">
        <v>236</v>
      </c>
      <c r="W31" s="149" t="str">
        <f>IFERROR(VLOOKUP(V31,TD!$N$33:$O$45,2,0)," ")</f>
        <v>"Servicio de monitoreo y seguimiento para la gestión del riesgo"</v>
      </c>
      <c r="X31" s="54" t="str">
        <f t="shared" si="1"/>
        <v>018_"Servicio de monitoreo y seguimiento para la gestión del riesgo"</v>
      </c>
      <c r="Y31" s="54" t="str">
        <f t="shared" si="2"/>
        <v>11-Infraestructura Tecnológica   (Sistemas de Información y Tecnologia) 018_"Servicio de monitoreo y seguimiento para la gestión del riesgo"</v>
      </c>
      <c r="Z31" s="149" t="str">
        <f t="shared" si="3"/>
        <v>O23011745032024025511018</v>
      </c>
      <c r="AA31" s="149" t="str">
        <f>IFERROR(VLOOKUP(Y31,TD!$K$46:$L$64,2,0)," ")</f>
        <v>PM/0131/0111/45030180255</v>
      </c>
      <c r="AB31" s="148" t="s">
        <v>139</v>
      </c>
      <c r="AC31" s="178" t="s">
        <v>205</v>
      </c>
    </row>
    <row r="32" spans="2:29" s="28" customFormat="1" ht="57">
      <c r="B32" s="195">
        <v>20240841</v>
      </c>
      <c r="C32" s="142" t="s">
        <v>210</v>
      </c>
      <c r="D32" s="143" t="s">
        <v>168</v>
      </c>
      <c r="E32" s="144" t="s">
        <v>380</v>
      </c>
      <c r="F32" s="143" t="s">
        <v>397</v>
      </c>
      <c r="G32" s="143" t="s">
        <v>156</v>
      </c>
      <c r="H32" s="145">
        <v>80111600</v>
      </c>
      <c r="I32" s="146">
        <v>8</v>
      </c>
      <c r="J32" s="146">
        <v>5</v>
      </c>
      <c r="K32" s="147">
        <v>0</v>
      </c>
      <c r="L32" s="148">
        <f>25000000-5000000-5000000</f>
        <v>15000000</v>
      </c>
      <c r="M32" s="143" t="s">
        <v>173</v>
      </c>
      <c r="N32" s="148" t="s">
        <v>114</v>
      </c>
      <c r="O32" s="144" t="s">
        <v>226</v>
      </c>
      <c r="P32" s="149" t="str">
        <f>IFERROR(VLOOKUP(C32,TD!$B$32:$F$36,2,0)," ")</f>
        <v>O230117</v>
      </c>
      <c r="Q32" s="149" t="str">
        <f>IFERROR(VLOOKUP(C32,TD!$B$32:$F$36,3,0)," ")</f>
        <v>4503</v>
      </c>
      <c r="R32" s="149">
        <f>IFERROR(VLOOKUP(C32,TD!$B$32:$F$36,4,0)," ")</f>
        <v>20240255</v>
      </c>
      <c r="S32" s="144" t="s">
        <v>180</v>
      </c>
      <c r="T32" s="149" t="str">
        <f>IFERROR(VLOOKUP(S32,TD!$J$33:$K$43,2,0)," ")</f>
        <v>Infraestructura Tecnológica   (Sistemas de Información y Tecnologia)</v>
      </c>
      <c r="U32" s="54" t="str">
        <f t="shared" si="0"/>
        <v>11-Infraestructura Tecnológica   (Sistemas de Información y Tecnologia)</v>
      </c>
      <c r="V32" s="144" t="s">
        <v>236</v>
      </c>
      <c r="W32" s="149" t="str">
        <f>IFERROR(VLOOKUP(V32,TD!$N$33:$O$45,2,0)," ")</f>
        <v>"Servicio de monitoreo y seguimiento para la gestión del riesgo"</v>
      </c>
      <c r="X32" s="54" t="str">
        <f t="shared" si="1"/>
        <v>018_"Servicio de monitoreo y seguimiento para la gestión del riesgo"</v>
      </c>
      <c r="Y32" s="54" t="str">
        <f t="shared" si="2"/>
        <v>11-Infraestructura Tecnológica   (Sistemas de Información y Tecnologia) 018_"Servicio de monitoreo y seguimiento para la gestión del riesgo"</v>
      </c>
      <c r="Z32" s="149" t="str">
        <f t="shared" si="3"/>
        <v>O23011745032024025511018</v>
      </c>
      <c r="AA32" s="149" t="str">
        <f>IFERROR(VLOOKUP(Y32,TD!$K$46:$L$64,2,0)," ")</f>
        <v>PM/0131/0111/45030180255</v>
      </c>
      <c r="AB32" s="148" t="s">
        <v>139</v>
      </c>
      <c r="AC32" s="178" t="s">
        <v>205</v>
      </c>
    </row>
    <row r="33" spans="2:29" s="28" customFormat="1" ht="57">
      <c r="B33" s="195">
        <v>20240846</v>
      </c>
      <c r="C33" s="142" t="s">
        <v>210</v>
      </c>
      <c r="D33" s="143" t="s">
        <v>168</v>
      </c>
      <c r="E33" s="144" t="s">
        <v>380</v>
      </c>
      <c r="F33" s="143" t="s">
        <v>397</v>
      </c>
      <c r="G33" s="143" t="s">
        <v>156</v>
      </c>
      <c r="H33" s="145">
        <v>80111600</v>
      </c>
      <c r="I33" s="146">
        <v>8</v>
      </c>
      <c r="J33" s="146">
        <v>6</v>
      </c>
      <c r="K33" s="147">
        <v>0</v>
      </c>
      <c r="L33" s="148">
        <f>36000000-16000000</f>
        <v>20000000</v>
      </c>
      <c r="M33" s="143" t="s">
        <v>173</v>
      </c>
      <c r="N33" s="148" t="s">
        <v>114</v>
      </c>
      <c r="O33" s="144" t="s">
        <v>226</v>
      </c>
      <c r="P33" s="149" t="str">
        <f>IFERROR(VLOOKUP(C33,TD!$B$32:$F$36,2,0)," ")</f>
        <v>O230117</v>
      </c>
      <c r="Q33" s="149" t="str">
        <f>IFERROR(VLOOKUP(C33,TD!$B$32:$F$36,3,0)," ")</f>
        <v>4503</v>
      </c>
      <c r="R33" s="149">
        <f>IFERROR(VLOOKUP(C33,TD!$B$32:$F$36,4,0)," ")</f>
        <v>20240255</v>
      </c>
      <c r="S33" s="144" t="s">
        <v>180</v>
      </c>
      <c r="T33" s="149" t="str">
        <f>IFERROR(VLOOKUP(S33,TD!$J$33:$K$43,2,0)," ")</f>
        <v>Infraestructura Tecnológica   (Sistemas de Información y Tecnologia)</v>
      </c>
      <c r="U33" s="54" t="str">
        <f t="shared" si="0"/>
        <v>11-Infraestructura Tecnológica   (Sistemas de Información y Tecnologia)</v>
      </c>
      <c r="V33" s="144" t="s">
        <v>236</v>
      </c>
      <c r="W33" s="149" t="str">
        <f>IFERROR(VLOOKUP(V33,TD!$N$33:$O$45,2,0)," ")</f>
        <v>"Servicio de monitoreo y seguimiento para la gestión del riesgo"</v>
      </c>
      <c r="X33" s="54" t="str">
        <f t="shared" si="1"/>
        <v>018_"Servicio de monitoreo y seguimiento para la gestión del riesgo"</v>
      </c>
      <c r="Y33" s="54" t="str">
        <f t="shared" si="2"/>
        <v>11-Infraestructura Tecnológica   (Sistemas de Información y Tecnologia) 018_"Servicio de monitoreo y seguimiento para la gestión del riesgo"</v>
      </c>
      <c r="Z33" s="149" t="str">
        <f t="shared" si="3"/>
        <v>O23011745032024025511018</v>
      </c>
      <c r="AA33" s="149" t="str">
        <f>IFERROR(VLOOKUP(Y33,TD!$K$46:$L$64,2,0)," ")</f>
        <v>PM/0131/0111/45030180255</v>
      </c>
      <c r="AB33" s="148" t="s">
        <v>139</v>
      </c>
      <c r="AC33" s="178" t="s">
        <v>205</v>
      </c>
    </row>
    <row r="34" spans="2:29" s="28" customFormat="1" ht="57">
      <c r="B34" s="195">
        <v>20240847</v>
      </c>
      <c r="C34" s="142" t="s">
        <v>210</v>
      </c>
      <c r="D34" s="143" t="s">
        <v>168</v>
      </c>
      <c r="E34" s="144" t="s">
        <v>380</v>
      </c>
      <c r="F34" s="143" t="s">
        <v>399</v>
      </c>
      <c r="G34" s="143" t="s">
        <v>156</v>
      </c>
      <c r="H34" s="145">
        <v>80111600</v>
      </c>
      <c r="I34" s="146">
        <v>8</v>
      </c>
      <c r="J34" s="146">
        <v>5</v>
      </c>
      <c r="K34" s="147">
        <v>0</v>
      </c>
      <c r="L34" s="148">
        <f>25000000-7000000-600000</f>
        <v>17400000</v>
      </c>
      <c r="M34" s="143" t="s">
        <v>173</v>
      </c>
      <c r="N34" s="148" t="s">
        <v>114</v>
      </c>
      <c r="O34" s="144" t="s">
        <v>226</v>
      </c>
      <c r="P34" s="149" t="str">
        <f>IFERROR(VLOOKUP(C34,TD!$B$32:$F$36,2,0)," ")</f>
        <v>O230117</v>
      </c>
      <c r="Q34" s="149" t="str">
        <f>IFERROR(VLOOKUP(C34,TD!$B$32:$F$36,3,0)," ")</f>
        <v>4503</v>
      </c>
      <c r="R34" s="149">
        <f>IFERROR(VLOOKUP(C34,TD!$B$32:$F$36,4,0)," ")</f>
        <v>20240255</v>
      </c>
      <c r="S34" s="144" t="s">
        <v>180</v>
      </c>
      <c r="T34" s="149" t="str">
        <f>IFERROR(VLOOKUP(S34,TD!$J$33:$K$43,2,0)," ")</f>
        <v>Infraestructura Tecnológica   (Sistemas de Información y Tecnologia)</v>
      </c>
      <c r="U34" s="54" t="str">
        <f t="shared" si="0"/>
        <v>11-Infraestructura Tecnológica   (Sistemas de Información y Tecnologia)</v>
      </c>
      <c r="V34" s="144" t="s">
        <v>236</v>
      </c>
      <c r="W34" s="149" t="str">
        <f>IFERROR(VLOOKUP(V34,TD!$N$33:$O$45,2,0)," ")</f>
        <v>"Servicio de monitoreo y seguimiento para la gestión del riesgo"</v>
      </c>
      <c r="X34" s="54" t="str">
        <f t="shared" si="1"/>
        <v>018_"Servicio de monitoreo y seguimiento para la gestión del riesgo"</v>
      </c>
      <c r="Y34" s="54" t="str">
        <f t="shared" si="2"/>
        <v>11-Infraestructura Tecnológica   (Sistemas de Información y Tecnologia) 018_"Servicio de monitoreo y seguimiento para la gestión del riesgo"</v>
      </c>
      <c r="Z34" s="149" t="str">
        <f t="shared" si="3"/>
        <v>O23011745032024025511018</v>
      </c>
      <c r="AA34" s="149" t="str">
        <f>IFERROR(VLOOKUP(Y34,TD!$K$46:$L$64,2,0)," ")</f>
        <v>PM/0131/0111/45030180255</v>
      </c>
      <c r="AB34" s="148" t="s">
        <v>139</v>
      </c>
      <c r="AC34" s="178" t="s">
        <v>205</v>
      </c>
    </row>
    <row r="35" spans="2:29" s="28" customFormat="1" ht="57">
      <c r="B35" s="195">
        <v>20240848</v>
      </c>
      <c r="C35" s="142" t="s">
        <v>210</v>
      </c>
      <c r="D35" s="143" t="s">
        <v>168</v>
      </c>
      <c r="E35" s="144" t="s">
        <v>380</v>
      </c>
      <c r="F35" s="143" t="s">
        <v>658</v>
      </c>
      <c r="G35" s="143" t="s">
        <v>157</v>
      </c>
      <c r="H35" s="145">
        <v>80111600</v>
      </c>
      <c r="I35" s="146">
        <v>8</v>
      </c>
      <c r="J35" s="146">
        <v>6</v>
      </c>
      <c r="K35" s="147">
        <v>0</v>
      </c>
      <c r="L35" s="148">
        <f>18000000-6000000</f>
        <v>12000000</v>
      </c>
      <c r="M35" s="143" t="s">
        <v>173</v>
      </c>
      <c r="N35" s="148" t="s">
        <v>114</v>
      </c>
      <c r="O35" s="144" t="s">
        <v>222</v>
      </c>
      <c r="P35" s="149" t="str">
        <f>IFERROR(VLOOKUP(C35,TD!$B$32:$F$36,2,0)," ")</f>
        <v>O230117</v>
      </c>
      <c r="Q35" s="149" t="str">
        <f>IFERROR(VLOOKUP(C35,TD!$B$32:$F$36,3,0)," ")</f>
        <v>4503</v>
      </c>
      <c r="R35" s="149">
        <f>IFERROR(VLOOKUP(C35,TD!$B$32:$F$36,4,0)," ")</f>
        <v>20240255</v>
      </c>
      <c r="S35" s="144" t="s">
        <v>178</v>
      </c>
      <c r="T35" s="149" t="str">
        <f>IFERROR(VLOOKUP(S35,TD!$J$33:$K$43,2,0)," ")</f>
        <v>Servicio de capacitaciones en gestión del riesgo de incendios  a la ciudadania.</v>
      </c>
      <c r="U35" s="54" t="str">
        <f t="shared" si="0"/>
        <v>05-Servicio de capacitaciones en gestión del riesgo de incendios  a la ciudadania.</v>
      </c>
      <c r="V35" s="144" t="s">
        <v>234</v>
      </c>
      <c r="W35" s="149" t="str">
        <f>IFERROR(VLOOKUP(V35,TD!$N$33:$O$45,2,0)," ")</f>
        <v>Servicio de educación informal</v>
      </c>
      <c r="X35" s="54" t="str">
        <f t="shared" si="1"/>
        <v>002_Servicio de educación informal</v>
      </c>
      <c r="Y35" s="54" t="str">
        <f t="shared" si="2"/>
        <v>05-Servicio de capacitaciones en gestión del riesgo de incendios  a la ciudadania. 002_Servicio de educación informal</v>
      </c>
      <c r="Z35" s="149" t="str">
        <f t="shared" si="3"/>
        <v>O23011745032024025505002</v>
      </c>
      <c r="AA35" s="149" t="str">
        <f>IFERROR(VLOOKUP(Y35,TD!$K$46:$L$64,2,0)," ")</f>
        <v>PM/0131/0105/45030020255</v>
      </c>
      <c r="AB35" s="148" t="s">
        <v>139</v>
      </c>
      <c r="AC35" s="178" t="s">
        <v>205</v>
      </c>
    </row>
    <row r="36" spans="2:29" s="28" customFormat="1" ht="57">
      <c r="B36" s="195">
        <v>20240849</v>
      </c>
      <c r="C36" s="142" t="s">
        <v>210</v>
      </c>
      <c r="D36" s="143" t="s">
        <v>168</v>
      </c>
      <c r="E36" s="144" t="s">
        <v>380</v>
      </c>
      <c r="F36" s="143" t="s">
        <v>403</v>
      </c>
      <c r="G36" s="143" t="s">
        <v>156</v>
      </c>
      <c r="H36" s="145">
        <v>80111600</v>
      </c>
      <c r="I36" s="146">
        <v>8</v>
      </c>
      <c r="J36" s="146">
        <v>6</v>
      </c>
      <c r="K36" s="147">
        <v>0</v>
      </c>
      <c r="L36" s="148">
        <f>24000000-8000000</f>
        <v>16000000</v>
      </c>
      <c r="M36" s="143" t="s">
        <v>173</v>
      </c>
      <c r="N36" s="148" t="s">
        <v>114</v>
      </c>
      <c r="O36" s="144" t="s">
        <v>222</v>
      </c>
      <c r="P36" s="149" t="str">
        <f>IFERROR(VLOOKUP(C36,TD!$B$32:$F$36,2,0)," ")</f>
        <v>O230117</v>
      </c>
      <c r="Q36" s="149" t="str">
        <f>IFERROR(VLOOKUP(C36,TD!$B$32:$F$36,3,0)," ")</f>
        <v>4503</v>
      </c>
      <c r="R36" s="149">
        <f>IFERROR(VLOOKUP(C36,TD!$B$32:$F$36,4,0)," ")</f>
        <v>20240255</v>
      </c>
      <c r="S36" s="144" t="s">
        <v>178</v>
      </c>
      <c r="T36" s="149" t="str">
        <f>IFERROR(VLOOKUP(S36,TD!$J$33:$K$43,2,0)," ")</f>
        <v>Servicio de capacitaciones en gestión del riesgo de incendios  a la ciudadania.</v>
      </c>
      <c r="U36" s="54" t="str">
        <f t="shared" si="0"/>
        <v>05-Servicio de capacitaciones en gestión del riesgo de incendios  a la ciudadania.</v>
      </c>
      <c r="V36" s="144" t="s">
        <v>234</v>
      </c>
      <c r="W36" s="149" t="str">
        <f>IFERROR(VLOOKUP(V36,TD!$N$33:$O$45,2,0)," ")</f>
        <v>Servicio de educación informal</v>
      </c>
      <c r="X36" s="54" t="str">
        <f t="shared" si="1"/>
        <v>002_Servicio de educación informal</v>
      </c>
      <c r="Y36" s="54" t="str">
        <f t="shared" si="2"/>
        <v>05-Servicio de capacitaciones en gestión del riesgo de incendios  a la ciudadania. 002_Servicio de educación informal</v>
      </c>
      <c r="Z36" s="149" t="str">
        <f t="shared" si="3"/>
        <v>O23011745032024025505002</v>
      </c>
      <c r="AA36" s="149" t="str">
        <f>IFERROR(VLOOKUP(Y36,TD!$K$46:$L$64,2,0)," ")</f>
        <v>PM/0131/0105/45030020255</v>
      </c>
      <c r="AB36" s="148" t="s">
        <v>139</v>
      </c>
      <c r="AC36" s="178" t="s">
        <v>205</v>
      </c>
    </row>
    <row r="37" spans="2:29" s="28" customFormat="1" ht="57">
      <c r="B37" s="195">
        <v>20240851</v>
      </c>
      <c r="C37" s="142" t="s">
        <v>210</v>
      </c>
      <c r="D37" s="143" t="s">
        <v>168</v>
      </c>
      <c r="E37" s="144" t="s">
        <v>380</v>
      </c>
      <c r="F37" s="143" t="s">
        <v>405</v>
      </c>
      <c r="G37" s="143" t="s">
        <v>156</v>
      </c>
      <c r="H37" s="145">
        <v>80111600</v>
      </c>
      <c r="I37" s="146">
        <v>8</v>
      </c>
      <c r="J37" s="146">
        <v>6</v>
      </c>
      <c r="K37" s="147">
        <v>0</v>
      </c>
      <c r="L37" s="148">
        <f>26100000-8700000</f>
        <v>17400000</v>
      </c>
      <c r="M37" s="143" t="s">
        <v>173</v>
      </c>
      <c r="N37" s="148" t="s">
        <v>114</v>
      </c>
      <c r="O37" s="144" t="s">
        <v>222</v>
      </c>
      <c r="P37" s="149" t="str">
        <f>IFERROR(VLOOKUP(C37,TD!$B$32:$F$36,2,0)," ")</f>
        <v>O230117</v>
      </c>
      <c r="Q37" s="149" t="str">
        <f>IFERROR(VLOOKUP(C37,TD!$B$32:$F$36,3,0)," ")</f>
        <v>4503</v>
      </c>
      <c r="R37" s="149">
        <f>IFERROR(VLOOKUP(C37,TD!$B$32:$F$36,4,0)," ")</f>
        <v>20240255</v>
      </c>
      <c r="S37" s="144" t="s">
        <v>178</v>
      </c>
      <c r="T37" s="149" t="str">
        <f>IFERROR(VLOOKUP(S37,TD!$J$33:$K$43,2,0)," ")</f>
        <v>Servicio de capacitaciones en gestión del riesgo de incendios  a la ciudadania.</v>
      </c>
      <c r="U37" s="54" t="str">
        <f t="shared" si="0"/>
        <v>05-Servicio de capacitaciones en gestión del riesgo de incendios  a la ciudadania.</v>
      </c>
      <c r="V37" s="144" t="s">
        <v>234</v>
      </c>
      <c r="W37" s="149" t="str">
        <f>IFERROR(VLOOKUP(V37,TD!$N$33:$O$45,2,0)," ")</f>
        <v>Servicio de educación informal</v>
      </c>
      <c r="X37" s="54" t="str">
        <f t="shared" si="1"/>
        <v>002_Servicio de educación informal</v>
      </c>
      <c r="Y37" s="54" t="str">
        <f t="shared" si="2"/>
        <v>05-Servicio de capacitaciones en gestión del riesgo de incendios  a la ciudadania. 002_Servicio de educación informal</v>
      </c>
      <c r="Z37" s="149" t="str">
        <f t="shared" si="3"/>
        <v>O23011745032024025505002</v>
      </c>
      <c r="AA37" s="149" t="str">
        <f>IFERROR(VLOOKUP(Y37,TD!$K$46:$L$64,2,0)," ")</f>
        <v>PM/0131/0105/45030020255</v>
      </c>
      <c r="AB37" s="148" t="s">
        <v>139</v>
      </c>
      <c r="AC37" s="178" t="s">
        <v>205</v>
      </c>
    </row>
    <row r="38" spans="2:29" s="28" customFormat="1" ht="57">
      <c r="B38" s="195">
        <v>20240854</v>
      </c>
      <c r="C38" s="142" t="s">
        <v>210</v>
      </c>
      <c r="D38" s="143" t="s">
        <v>168</v>
      </c>
      <c r="E38" s="144" t="s">
        <v>380</v>
      </c>
      <c r="F38" s="143" t="s">
        <v>400</v>
      </c>
      <c r="G38" s="143" t="s">
        <v>157</v>
      </c>
      <c r="H38" s="145">
        <v>80111600</v>
      </c>
      <c r="I38" s="146">
        <v>8</v>
      </c>
      <c r="J38" s="146">
        <v>6</v>
      </c>
      <c r="K38" s="147">
        <v>0</v>
      </c>
      <c r="L38" s="148">
        <f>18000000-3000000</f>
        <v>15000000</v>
      </c>
      <c r="M38" s="143" t="s">
        <v>173</v>
      </c>
      <c r="N38" s="148" t="s">
        <v>114</v>
      </c>
      <c r="O38" s="144" t="s">
        <v>222</v>
      </c>
      <c r="P38" s="149" t="str">
        <f>IFERROR(VLOOKUP(C38,TD!$B$32:$F$36,2,0)," ")</f>
        <v>O230117</v>
      </c>
      <c r="Q38" s="149" t="str">
        <f>IFERROR(VLOOKUP(C38,TD!$B$32:$F$36,3,0)," ")</f>
        <v>4503</v>
      </c>
      <c r="R38" s="149">
        <f>IFERROR(VLOOKUP(C38,TD!$B$32:$F$36,4,0)," ")</f>
        <v>20240255</v>
      </c>
      <c r="S38" s="144" t="s">
        <v>178</v>
      </c>
      <c r="T38" s="149" t="str">
        <f>IFERROR(VLOOKUP(S38,TD!$J$33:$K$43,2,0)," ")</f>
        <v>Servicio de capacitaciones en gestión del riesgo de incendios  a la ciudadania.</v>
      </c>
      <c r="U38" s="54" t="str">
        <f t="shared" si="0"/>
        <v>05-Servicio de capacitaciones en gestión del riesgo de incendios  a la ciudadania.</v>
      </c>
      <c r="V38" s="144" t="s">
        <v>234</v>
      </c>
      <c r="W38" s="149" t="str">
        <f>IFERROR(VLOOKUP(V38,TD!$N$33:$O$45,2,0)," ")</f>
        <v>Servicio de educación informal</v>
      </c>
      <c r="X38" s="54" t="str">
        <f t="shared" si="1"/>
        <v>002_Servicio de educación informal</v>
      </c>
      <c r="Y38" s="54" t="str">
        <f t="shared" si="2"/>
        <v>05-Servicio de capacitaciones en gestión del riesgo de incendios  a la ciudadania. 002_Servicio de educación informal</v>
      </c>
      <c r="Z38" s="149" t="str">
        <f t="shared" si="3"/>
        <v>O23011745032024025505002</v>
      </c>
      <c r="AA38" s="149" t="str">
        <f>IFERROR(VLOOKUP(Y38,TD!$K$46:$L$64,2,0)," ")</f>
        <v>PM/0131/0105/45030020255</v>
      </c>
      <c r="AB38" s="148" t="s">
        <v>139</v>
      </c>
      <c r="AC38" s="178" t="s">
        <v>205</v>
      </c>
    </row>
    <row r="39" spans="2:29" s="28" customFormat="1" ht="57">
      <c r="B39" s="195">
        <v>20240921</v>
      </c>
      <c r="C39" s="142" t="s">
        <v>209</v>
      </c>
      <c r="D39" s="143" t="s">
        <v>165</v>
      </c>
      <c r="E39" s="144" t="s">
        <v>517</v>
      </c>
      <c r="F39" s="143" t="s">
        <v>498</v>
      </c>
      <c r="G39" s="143" t="s">
        <v>156</v>
      </c>
      <c r="H39" s="145">
        <v>80111600</v>
      </c>
      <c r="I39" s="146">
        <v>11</v>
      </c>
      <c r="J39" s="146">
        <v>2</v>
      </c>
      <c r="K39" s="147">
        <v>25</v>
      </c>
      <c r="L39" s="148">
        <f>7883333+4300000</f>
        <v>12183333</v>
      </c>
      <c r="M39" s="143" t="s">
        <v>173</v>
      </c>
      <c r="N39" s="148" t="s">
        <v>114</v>
      </c>
      <c r="O39" s="144" t="s">
        <v>220</v>
      </c>
      <c r="P39" s="149" t="str">
        <f>IFERROR(VLOOKUP(C39,TD!$B$32:$F$36,2,0)," ")</f>
        <v>O230117</v>
      </c>
      <c r="Q39" s="149" t="str">
        <f>IFERROR(VLOOKUP(C39,TD!$B$32:$F$36,3,0)," ")</f>
        <v>4599</v>
      </c>
      <c r="R39" s="149">
        <f>IFERROR(VLOOKUP(C39,TD!$B$32:$F$36,4,0)," ")</f>
        <v>20240207</v>
      </c>
      <c r="S39" s="144" t="s">
        <v>186</v>
      </c>
      <c r="T39" s="149" t="str">
        <f>IFERROR(VLOOKUP(S39,TD!$J$33:$K$43,2,0)," ")</f>
        <v>Infraestructura física, mantenimiento y dotación (Sedes construidas, mantenidas reforzadas)</v>
      </c>
      <c r="U39" s="54" t="str">
        <f t="shared" si="0"/>
        <v>08-Infraestructura física, mantenimiento y dotación (Sedes construidas, mantenidas reforzadas)</v>
      </c>
      <c r="V39" s="144" t="s">
        <v>239</v>
      </c>
      <c r="W39" s="149" t="str">
        <f>IFERROR(VLOOKUP(V39,TD!$N$33:$O$45,2,0)," ")</f>
        <v>Sedes mantenidas</v>
      </c>
      <c r="X39" s="54" t="str">
        <f t="shared" si="1"/>
        <v>016_Sedes mantenidas</v>
      </c>
      <c r="Y39" s="54" t="str">
        <f t="shared" si="2"/>
        <v>08-Infraestructura física, mantenimiento y dotación (Sedes construidas, mantenidas reforzadas) 016_Sedes mantenidas</v>
      </c>
      <c r="Z39" s="149" t="str">
        <f t="shared" si="3"/>
        <v>O23011745992024020708016</v>
      </c>
      <c r="AA39" s="149" t="str">
        <f>IFERROR(VLOOKUP(Y39,TD!$K$46:$L$64,2,0)," ")</f>
        <v>PM/0131/0108/45990160207</v>
      </c>
      <c r="AB39" s="148" t="s">
        <v>121</v>
      </c>
      <c r="AC39" s="178" t="s">
        <v>206</v>
      </c>
    </row>
    <row r="40" spans="2:29" s="28" customFormat="1" ht="57">
      <c r="B40" s="195">
        <v>20240922</v>
      </c>
      <c r="C40" s="142" t="s">
        <v>209</v>
      </c>
      <c r="D40" s="143" t="s">
        <v>165</v>
      </c>
      <c r="E40" s="144" t="s">
        <v>517</v>
      </c>
      <c r="F40" s="143" t="s">
        <v>499</v>
      </c>
      <c r="G40" s="143" t="s">
        <v>156</v>
      </c>
      <c r="H40" s="145">
        <v>80111600</v>
      </c>
      <c r="I40" s="146">
        <v>8</v>
      </c>
      <c r="J40" s="146">
        <v>4</v>
      </c>
      <c r="K40" s="147">
        <v>0</v>
      </c>
      <c r="L40" s="148">
        <f>28000000+9400000-2630000-6770000</f>
        <v>28000000</v>
      </c>
      <c r="M40" s="143" t="s">
        <v>173</v>
      </c>
      <c r="N40" s="148" t="s">
        <v>114</v>
      </c>
      <c r="O40" s="144" t="s">
        <v>220</v>
      </c>
      <c r="P40" s="149" t="str">
        <f>IFERROR(VLOOKUP(C40,TD!$B$32:$F$36,2,0)," ")</f>
        <v>O230117</v>
      </c>
      <c r="Q40" s="149" t="str">
        <f>IFERROR(VLOOKUP(C40,TD!$B$32:$F$36,3,0)," ")</f>
        <v>4599</v>
      </c>
      <c r="R40" s="149">
        <f>IFERROR(VLOOKUP(C40,TD!$B$32:$F$36,4,0)," ")</f>
        <v>20240207</v>
      </c>
      <c r="S40" s="144" t="s">
        <v>186</v>
      </c>
      <c r="T40" s="149" t="str">
        <f>IFERROR(VLOOKUP(S40,TD!$J$33:$K$43,2,0)," ")</f>
        <v>Infraestructura física, mantenimiento y dotación (Sedes construidas, mantenidas reforzadas)</v>
      </c>
      <c r="U40" s="54" t="str">
        <f t="shared" si="0"/>
        <v>08-Infraestructura física, mantenimiento y dotación (Sedes construidas, mantenidas reforzadas)</v>
      </c>
      <c r="V40" s="144" t="s">
        <v>239</v>
      </c>
      <c r="W40" s="149" t="str">
        <f>IFERROR(VLOOKUP(V40,TD!$N$33:$O$45,2,0)," ")</f>
        <v>Sedes mantenidas</v>
      </c>
      <c r="X40" s="54" t="str">
        <f t="shared" si="1"/>
        <v>016_Sedes mantenidas</v>
      </c>
      <c r="Y40" s="54" t="str">
        <f t="shared" si="2"/>
        <v>08-Infraestructura física, mantenimiento y dotación (Sedes construidas, mantenidas reforzadas) 016_Sedes mantenidas</v>
      </c>
      <c r="Z40" s="149" t="str">
        <f t="shared" si="3"/>
        <v>O23011745992024020708016</v>
      </c>
      <c r="AA40" s="149" t="str">
        <f>IFERROR(VLOOKUP(Y40,TD!$K$46:$L$64,2,0)," ")</f>
        <v>PM/0131/0108/45990160207</v>
      </c>
      <c r="AB40" s="148" t="s">
        <v>139</v>
      </c>
      <c r="AC40" s="178" t="s">
        <v>205</v>
      </c>
    </row>
    <row r="41" spans="2:29" s="28" customFormat="1" ht="57">
      <c r="B41" s="195">
        <v>20240923</v>
      </c>
      <c r="C41" s="142" t="s">
        <v>209</v>
      </c>
      <c r="D41" s="143" t="s">
        <v>165</v>
      </c>
      <c r="E41" s="144" t="s">
        <v>517</v>
      </c>
      <c r="F41" s="143" t="s">
        <v>500</v>
      </c>
      <c r="G41" s="143" t="s">
        <v>156</v>
      </c>
      <c r="H41" s="145">
        <v>80111600</v>
      </c>
      <c r="I41" s="146">
        <v>11</v>
      </c>
      <c r="J41" s="146">
        <v>2</v>
      </c>
      <c r="K41" s="147">
        <v>10</v>
      </c>
      <c r="L41" s="148">
        <f>9600000+7200000</f>
        <v>16800000</v>
      </c>
      <c r="M41" s="143" t="s">
        <v>173</v>
      </c>
      <c r="N41" s="148" t="s">
        <v>114</v>
      </c>
      <c r="O41" s="144" t="s">
        <v>220</v>
      </c>
      <c r="P41" s="149" t="str">
        <f>IFERROR(VLOOKUP(C41,TD!$B$32:$F$36,2,0)," ")</f>
        <v>O230117</v>
      </c>
      <c r="Q41" s="149" t="str">
        <f>IFERROR(VLOOKUP(C41,TD!$B$32:$F$36,3,0)," ")</f>
        <v>4599</v>
      </c>
      <c r="R41" s="149">
        <f>IFERROR(VLOOKUP(C41,TD!$B$32:$F$36,4,0)," ")</f>
        <v>20240207</v>
      </c>
      <c r="S41" s="144" t="s">
        <v>186</v>
      </c>
      <c r="T41" s="149" t="str">
        <f>IFERROR(VLOOKUP(S41,TD!$J$33:$K$43,2,0)," ")</f>
        <v>Infraestructura física, mantenimiento y dotación (Sedes construidas, mantenidas reforzadas)</v>
      </c>
      <c r="U41" s="54" t="str">
        <f t="shared" si="0"/>
        <v>08-Infraestructura física, mantenimiento y dotación (Sedes construidas, mantenidas reforzadas)</v>
      </c>
      <c r="V41" s="144" t="s">
        <v>239</v>
      </c>
      <c r="W41" s="149" t="str">
        <f>IFERROR(VLOOKUP(V41,TD!$N$33:$O$45,2,0)," ")</f>
        <v>Sedes mantenidas</v>
      </c>
      <c r="X41" s="54" t="str">
        <f t="shared" si="1"/>
        <v>016_Sedes mantenidas</v>
      </c>
      <c r="Y41" s="54" t="str">
        <f t="shared" si="2"/>
        <v>08-Infraestructura física, mantenimiento y dotación (Sedes construidas, mantenidas reforzadas) 016_Sedes mantenidas</v>
      </c>
      <c r="Z41" s="149" t="str">
        <f t="shared" si="3"/>
        <v>O23011745992024020708016</v>
      </c>
      <c r="AA41" s="149" t="str">
        <f>IFERROR(VLOOKUP(Y41,TD!$K$46:$L$64,2,0)," ")</f>
        <v>PM/0131/0108/45990160207</v>
      </c>
      <c r="AB41" s="148" t="s">
        <v>139</v>
      </c>
      <c r="AC41" s="178" t="s">
        <v>206</v>
      </c>
    </row>
    <row r="42" spans="2:29" s="28" customFormat="1" ht="57">
      <c r="B42" s="195">
        <v>20240925</v>
      </c>
      <c r="C42" s="142" t="s">
        <v>209</v>
      </c>
      <c r="D42" s="143" t="s">
        <v>165</v>
      </c>
      <c r="E42" s="144" t="s">
        <v>517</v>
      </c>
      <c r="F42" s="143" t="s">
        <v>502</v>
      </c>
      <c r="G42" s="143" t="s">
        <v>156</v>
      </c>
      <c r="H42" s="145">
        <v>80111600</v>
      </c>
      <c r="I42" s="146">
        <v>10</v>
      </c>
      <c r="J42" s="146">
        <v>2</v>
      </c>
      <c r="K42" s="147">
        <v>22</v>
      </c>
      <c r="L42" s="148">
        <f>8800000+4000000-1866694</f>
        <v>10933306</v>
      </c>
      <c r="M42" s="143" t="s">
        <v>173</v>
      </c>
      <c r="N42" s="148" t="s">
        <v>114</v>
      </c>
      <c r="O42" s="144" t="s">
        <v>220</v>
      </c>
      <c r="P42" s="149" t="str">
        <f>IFERROR(VLOOKUP(C42,TD!$B$32:$F$36,2,0)," ")</f>
        <v>O230117</v>
      </c>
      <c r="Q42" s="149" t="str">
        <f>IFERROR(VLOOKUP(C42,TD!$B$32:$F$36,3,0)," ")</f>
        <v>4599</v>
      </c>
      <c r="R42" s="149">
        <f>IFERROR(VLOOKUP(C42,TD!$B$32:$F$36,4,0)," ")</f>
        <v>20240207</v>
      </c>
      <c r="S42" s="144" t="s">
        <v>186</v>
      </c>
      <c r="T42" s="149" t="str">
        <f>IFERROR(VLOOKUP(S42,TD!$J$33:$K$43,2,0)," ")</f>
        <v>Infraestructura física, mantenimiento y dotación (Sedes construidas, mantenidas reforzadas)</v>
      </c>
      <c r="U42" s="54" t="str">
        <f t="shared" si="0"/>
        <v>08-Infraestructura física, mantenimiento y dotación (Sedes construidas, mantenidas reforzadas)</v>
      </c>
      <c r="V42" s="144" t="s">
        <v>239</v>
      </c>
      <c r="W42" s="149" t="str">
        <f>IFERROR(VLOOKUP(V42,TD!$N$33:$O$45,2,0)," ")</f>
        <v>Sedes mantenidas</v>
      </c>
      <c r="X42" s="54" t="str">
        <f t="shared" si="1"/>
        <v>016_Sedes mantenidas</v>
      </c>
      <c r="Y42" s="54" t="str">
        <f t="shared" si="2"/>
        <v>08-Infraestructura física, mantenimiento y dotación (Sedes construidas, mantenidas reforzadas) 016_Sedes mantenidas</v>
      </c>
      <c r="Z42" s="149" t="str">
        <f t="shared" si="3"/>
        <v>O23011745992024020708016</v>
      </c>
      <c r="AA42" s="149" t="str">
        <f>IFERROR(VLOOKUP(Y42,TD!$K$46:$L$64,2,0)," ")</f>
        <v>PM/0131/0108/45990160207</v>
      </c>
      <c r="AB42" s="148" t="s">
        <v>121</v>
      </c>
      <c r="AC42" s="178" t="s">
        <v>206</v>
      </c>
    </row>
    <row r="43" spans="2:29" s="28" customFormat="1" ht="57">
      <c r="B43" s="195">
        <v>20240926</v>
      </c>
      <c r="C43" s="142" t="s">
        <v>209</v>
      </c>
      <c r="D43" s="143" t="s">
        <v>165</v>
      </c>
      <c r="E43" s="144" t="s">
        <v>517</v>
      </c>
      <c r="F43" s="143" t="s">
        <v>503</v>
      </c>
      <c r="G43" s="143" t="s">
        <v>156</v>
      </c>
      <c r="H43" s="145">
        <v>80111600</v>
      </c>
      <c r="I43" s="146">
        <v>10</v>
      </c>
      <c r="J43" s="146">
        <v>3</v>
      </c>
      <c r="K43" s="147">
        <v>2</v>
      </c>
      <c r="L43" s="148">
        <f>8233333+3800000</f>
        <v>12033333</v>
      </c>
      <c r="M43" s="143" t="s">
        <v>173</v>
      </c>
      <c r="N43" s="148" t="s">
        <v>114</v>
      </c>
      <c r="O43" s="144" t="s">
        <v>220</v>
      </c>
      <c r="P43" s="149" t="str">
        <f>IFERROR(VLOOKUP(C43,TD!$B$32:$F$36,2,0)," ")</f>
        <v>O230117</v>
      </c>
      <c r="Q43" s="149" t="str">
        <f>IFERROR(VLOOKUP(C43,TD!$B$32:$F$36,3,0)," ")</f>
        <v>4599</v>
      </c>
      <c r="R43" s="149">
        <f>IFERROR(VLOOKUP(C43,TD!$B$32:$F$36,4,0)," ")</f>
        <v>20240207</v>
      </c>
      <c r="S43" s="144" t="s">
        <v>186</v>
      </c>
      <c r="T43" s="149" t="str">
        <f>IFERROR(VLOOKUP(S43,TD!$J$33:$K$43,2,0)," ")</f>
        <v>Infraestructura física, mantenimiento y dotación (Sedes construidas, mantenidas reforzadas)</v>
      </c>
      <c r="U43" s="54" t="str">
        <f t="shared" si="0"/>
        <v>08-Infraestructura física, mantenimiento y dotación (Sedes construidas, mantenidas reforzadas)</v>
      </c>
      <c r="V43" s="144" t="s">
        <v>239</v>
      </c>
      <c r="W43" s="149" t="str">
        <f>IFERROR(VLOOKUP(V43,TD!$N$33:$O$45,2,0)," ")</f>
        <v>Sedes mantenidas</v>
      </c>
      <c r="X43" s="54" t="str">
        <f t="shared" si="1"/>
        <v>016_Sedes mantenidas</v>
      </c>
      <c r="Y43" s="54" t="str">
        <f t="shared" si="2"/>
        <v>08-Infraestructura física, mantenimiento y dotación (Sedes construidas, mantenidas reforzadas) 016_Sedes mantenidas</v>
      </c>
      <c r="Z43" s="149" t="str">
        <f t="shared" si="3"/>
        <v>O23011745992024020708016</v>
      </c>
      <c r="AA43" s="149" t="str">
        <f>IFERROR(VLOOKUP(Y43,TD!$K$46:$L$64,2,0)," ")</f>
        <v>PM/0131/0108/45990160207</v>
      </c>
      <c r="AB43" s="148" t="s">
        <v>139</v>
      </c>
      <c r="AC43" s="178" t="s">
        <v>205</v>
      </c>
    </row>
    <row r="44" spans="2:29" s="28" customFormat="1" ht="57">
      <c r="B44" s="195">
        <v>20240929</v>
      </c>
      <c r="C44" s="142" t="s">
        <v>209</v>
      </c>
      <c r="D44" s="143" t="s">
        <v>165</v>
      </c>
      <c r="E44" s="144" t="s">
        <v>517</v>
      </c>
      <c r="F44" s="143" t="s">
        <v>506</v>
      </c>
      <c r="G44" s="143" t="s">
        <v>156</v>
      </c>
      <c r="H44" s="145">
        <v>80111600</v>
      </c>
      <c r="I44" s="146">
        <v>11</v>
      </c>
      <c r="J44" s="146">
        <v>2</v>
      </c>
      <c r="K44" s="147">
        <v>20</v>
      </c>
      <c r="L44" s="148">
        <f>7833333+4700000</f>
        <v>12533333</v>
      </c>
      <c r="M44" s="143" t="s">
        <v>173</v>
      </c>
      <c r="N44" s="148" t="s">
        <v>114</v>
      </c>
      <c r="O44" s="144" t="s">
        <v>220</v>
      </c>
      <c r="P44" s="149" t="str">
        <f>IFERROR(VLOOKUP(C44,TD!$B$32:$F$36,2,0)," ")</f>
        <v>O230117</v>
      </c>
      <c r="Q44" s="149" t="str">
        <f>IFERROR(VLOOKUP(C44,TD!$B$32:$F$36,3,0)," ")</f>
        <v>4599</v>
      </c>
      <c r="R44" s="149">
        <f>IFERROR(VLOOKUP(C44,TD!$B$32:$F$36,4,0)," ")</f>
        <v>20240207</v>
      </c>
      <c r="S44" s="144" t="s">
        <v>186</v>
      </c>
      <c r="T44" s="149" t="str">
        <f>IFERROR(VLOOKUP(S44,TD!$J$33:$K$43,2,0)," ")</f>
        <v>Infraestructura física, mantenimiento y dotación (Sedes construidas, mantenidas reforzadas)</v>
      </c>
      <c r="U44" s="54" t="str">
        <f t="shared" si="0"/>
        <v>08-Infraestructura física, mantenimiento y dotación (Sedes construidas, mantenidas reforzadas)</v>
      </c>
      <c r="V44" s="144" t="s">
        <v>239</v>
      </c>
      <c r="W44" s="149" t="str">
        <f>IFERROR(VLOOKUP(V44,TD!$N$33:$O$45,2,0)," ")</f>
        <v>Sedes mantenidas</v>
      </c>
      <c r="X44" s="54" t="str">
        <f t="shared" si="1"/>
        <v>016_Sedes mantenidas</v>
      </c>
      <c r="Y44" s="54" t="str">
        <f t="shared" si="2"/>
        <v>08-Infraestructura física, mantenimiento y dotación (Sedes construidas, mantenidas reforzadas) 016_Sedes mantenidas</v>
      </c>
      <c r="Z44" s="149" t="str">
        <f t="shared" si="3"/>
        <v>O23011745992024020708016</v>
      </c>
      <c r="AA44" s="149" t="str">
        <f>IFERROR(VLOOKUP(Y44,TD!$K$46:$L$64,2,0)," ")</f>
        <v>PM/0131/0108/45990160207</v>
      </c>
      <c r="AB44" s="148" t="s">
        <v>121</v>
      </c>
      <c r="AC44" s="178" t="s">
        <v>206</v>
      </c>
    </row>
    <row r="45" spans="2:29" s="28" customFormat="1" ht="57">
      <c r="B45" s="195">
        <v>20240930</v>
      </c>
      <c r="C45" s="142" t="s">
        <v>209</v>
      </c>
      <c r="D45" s="143" t="s">
        <v>165</v>
      </c>
      <c r="E45" s="144" t="s">
        <v>517</v>
      </c>
      <c r="F45" s="143" t="s">
        <v>663</v>
      </c>
      <c r="G45" s="143" t="s">
        <v>156</v>
      </c>
      <c r="H45" s="145">
        <v>80111600</v>
      </c>
      <c r="I45" s="146">
        <v>8</v>
      </c>
      <c r="J45" s="146">
        <v>5</v>
      </c>
      <c r="K45" s="147">
        <v>19</v>
      </c>
      <c r="L45" s="148">
        <f>10200000+11400000-1836667+1925000</f>
        <v>21688333</v>
      </c>
      <c r="M45" s="143" t="s">
        <v>173</v>
      </c>
      <c r="N45" s="148" t="s">
        <v>114</v>
      </c>
      <c r="O45" s="144" t="s">
        <v>220</v>
      </c>
      <c r="P45" s="149" t="str">
        <f>IFERROR(VLOOKUP(C45,TD!$B$32:$F$36,2,0)," ")</f>
        <v>O230117</v>
      </c>
      <c r="Q45" s="149" t="str">
        <f>IFERROR(VLOOKUP(C45,TD!$B$32:$F$36,3,0)," ")</f>
        <v>4599</v>
      </c>
      <c r="R45" s="149">
        <f>IFERROR(VLOOKUP(C45,TD!$B$32:$F$36,4,0)," ")</f>
        <v>20240207</v>
      </c>
      <c r="S45" s="144" t="s">
        <v>186</v>
      </c>
      <c r="T45" s="149" t="str">
        <f>IFERROR(VLOOKUP(S45,TD!$J$33:$K$43,2,0)," ")</f>
        <v>Infraestructura física, mantenimiento y dotación (Sedes construidas, mantenidas reforzadas)</v>
      </c>
      <c r="U45" s="54" t="str">
        <f t="shared" si="0"/>
        <v>08-Infraestructura física, mantenimiento y dotación (Sedes construidas, mantenidas reforzadas)</v>
      </c>
      <c r="V45" s="144" t="s">
        <v>239</v>
      </c>
      <c r="W45" s="149" t="str">
        <f>IFERROR(VLOOKUP(V45,TD!$N$33:$O$45,2,0)," ")</f>
        <v>Sedes mantenidas</v>
      </c>
      <c r="X45" s="54" t="str">
        <f t="shared" si="1"/>
        <v>016_Sedes mantenidas</v>
      </c>
      <c r="Y45" s="54" t="str">
        <f t="shared" si="2"/>
        <v>08-Infraestructura física, mantenimiento y dotación (Sedes construidas, mantenidas reforzadas) 016_Sedes mantenidas</v>
      </c>
      <c r="Z45" s="149" t="str">
        <f t="shared" si="3"/>
        <v>O23011745992024020708016</v>
      </c>
      <c r="AA45" s="149" t="str">
        <f>IFERROR(VLOOKUP(Y45,TD!$K$46:$L$64,2,0)," ")</f>
        <v>PM/0131/0108/45990160207</v>
      </c>
      <c r="AB45" s="148" t="s">
        <v>139</v>
      </c>
      <c r="AC45" s="178" t="s">
        <v>205</v>
      </c>
    </row>
    <row r="46" spans="2:29" s="28" customFormat="1" ht="57">
      <c r="B46" s="195">
        <v>20240933</v>
      </c>
      <c r="C46" s="142" t="s">
        <v>209</v>
      </c>
      <c r="D46" s="143" t="s">
        <v>165</v>
      </c>
      <c r="E46" s="144" t="s">
        <v>517</v>
      </c>
      <c r="F46" s="143" t="s">
        <v>510</v>
      </c>
      <c r="G46" s="143" t="s">
        <v>156</v>
      </c>
      <c r="H46" s="145">
        <v>80111600</v>
      </c>
      <c r="I46" s="146">
        <v>11</v>
      </c>
      <c r="J46" s="146">
        <v>2</v>
      </c>
      <c r="K46" s="147">
        <v>17</v>
      </c>
      <c r="L46" s="148">
        <f>8288293+5300000</f>
        <v>13588293</v>
      </c>
      <c r="M46" s="143" t="s">
        <v>173</v>
      </c>
      <c r="N46" s="148" t="s">
        <v>114</v>
      </c>
      <c r="O46" s="144" t="s">
        <v>220</v>
      </c>
      <c r="P46" s="149" t="str">
        <f>IFERROR(VLOOKUP(C46,TD!$B$32:$F$36,2,0)," ")</f>
        <v>O230117</v>
      </c>
      <c r="Q46" s="149" t="str">
        <f>IFERROR(VLOOKUP(C46,TD!$B$32:$F$36,3,0)," ")</f>
        <v>4599</v>
      </c>
      <c r="R46" s="149">
        <f>IFERROR(VLOOKUP(C46,TD!$B$32:$F$36,4,0)," ")</f>
        <v>20240207</v>
      </c>
      <c r="S46" s="144" t="s">
        <v>186</v>
      </c>
      <c r="T46" s="149" t="str">
        <f>IFERROR(VLOOKUP(S46,TD!$J$33:$K$43,2,0)," ")</f>
        <v>Infraestructura física, mantenimiento y dotación (Sedes construidas, mantenidas reforzadas)</v>
      </c>
      <c r="U46" s="54" t="str">
        <f t="shared" si="0"/>
        <v>08-Infraestructura física, mantenimiento y dotación (Sedes construidas, mantenidas reforzadas)</v>
      </c>
      <c r="V46" s="144" t="s">
        <v>239</v>
      </c>
      <c r="W46" s="149" t="str">
        <f>IFERROR(VLOOKUP(V46,TD!$N$33:$O$45,2,0)," ")</f>
        <v>Sedes mantenidas</v>
      </c>
      <c r="X46" s="54" t="str">
        <f t="shared" si="1"/>
        <v>016_Sedes mantenidas</v>
      </c>
      <c r="Y46" s="54" t="str">
        <f t="shared" si="2"/>
        <v>08-Infraestructura física, mantenimiento y dotación (Sedes construidas, mantenidas reforzadas) 016_Sedes mantenidas</v>
      </c>
      <c r="Z46" s="149" t="str">
        <f t="shared" si="3"/>
        <v>O23011745992024020708016</v>
      </c>
      <c r="AA46" s="149" t="str">
        <f>IFERROR(VLOOKUP(Y46,TD!$K$46:$L$64,2,0)," ")</f>
        <v>PM/0131/0108/45990160207</v>
      </c>
      <c r="AB46" s="148" t="s">
        <v>121</v>
      </c>
      <c r="AC46" s="178" t="s">
        <v>206</v>
      </c>
    </row>
    <row r="47" spans="2:29" s="28" customFormat="1" ht="57">
      <c r="B47" s="195">
        <v>20240934</v>
      </c>
      <c r="C47" s="142" t="s">
        <v>209</v>
      </c>
      <c r="D47" s="143" t="s">
        <v>165</v>
      </c>
      <c r="E47" s="144" t="s">
        <v>517</v>
      </c>
      <c r="F47" s="143" t="s">
        <v>511</v>
      </c>
      <c r="G47" s="143" t="s">
        <v>156</v>
      </c>
      <c r="H47" s="145">
        <v>80111600</v>
      </c>
      <c r="I47" s="146">
        <v>12</v>
      </c>
      <c r="J47" s="146">
        <v>1</v>
      </c>
      <c r="K47" s="147">
        <v>20</v>
      </c>
      <c r="L47" s="148">
        <f>5661285+33626285+728361</f>
        <v>40015931</v>
      </c>
      <c r="M47" s="143" t="s">
        <v>173</v>
      </c>
      <c r="N47" s="148" t="s">
        <v>114</v>
      </c>
      <c r="O47" s="144" t="s">
        <v>220</v>
      </c>
      <c r="P47" s="149" t="str">
        <f>IFERROR(VLOOKUP(C47,TD!$B$32:$F$36,2,0)," ")</f>
        <v>O230117</v>
      </c>
      <c r="Q47" s="149" t="str">
        <f>IFERROR(VLOOKUP(C47,TD!$B$32:$F$36,3,0)," ")</f>
        <v>4599</v>
      </c>
      <c r="R47" s="149">
        <f>IFERROR(VLOOKUP(C47,TD!$B$32:$F$36,4,0)," ")</f>
        <v>20240207</v>
      </c>
      <c r="S47" s="144" t="s">
        <v>186</v>
      </c>
      <c r="T47" s="149" t="str">
        <f>IFERROR(VLOOKUP(S47,TD!$J$33:$K$43,2,0)," ")</f>
        <v>Infraestructura física, mantenimiento y dotación (Sedes construidas, mantenidas reforzadas)</v>
      </c>
      <c r="U47" s="54" t="str">
        <f t="shared" si="0"/>
        <v>08-Infraestructura física, mantenimiento y dotación (Sedes construidas, mantenidas reforzadas)</v>
      </c>
      <c r="V47" s="144" t="s">
        <v>239</v>
      </c>
      <c r="W47" s="149" t="str">
        <f>IFERROR(VLOOKUP(V47,TD!$N$33:$O$45,2,0)," ")</f>
        <v>Sedes mantenidas</v>
      </c>
      <c r="X47" s="54" t="str">
        <f t="shared" si="1"/>
        <v>016_Sedes mantenidas</v>
      </c>
      <c r="Y47" s="54" t="str">
        <f t="shared" si="2"/>
        <v>08-Infraestructura física, mantenimiento y dotación (Sedes construidas, mantenidas reforzadas) 016_Sedes mantenidas</v>
      </c>
      <c r="Z47" s="149" t="str">
        <f t="shared" si="3"/>
        <v>O23011745992024020708016</v>
      </c>
      <c r="AA47" s="149" t="str">
        <f>IFERROR(VLOOKUP(Y47,TD!$K$46:$L$64,2,0)," ")</f>
        <v>PM/0131/0108/45990160207</v>
      </c>
      <c r="AB47" s="148" t="s">
        <v>139</v>
      </c>
      <c r="AC47" s="178" t="s">
        <v>206</v>
      </c>
    </row>
    <row r="48" spans="2:29" s="28" customFormat="1" ht="57">
      <c r="B48" s="195">
        <v>20240935</v>
      </c>
      <c r="C48" s="142" t="s">
        <v>209</v>
      </c>
      <c r="D48" s="143" t="s">
        <v>165</v>
      </c>
      <c r="E48" s="144" t="s">
        <v>517</v>
      </c>
      <c r="F48" s="143" t="s">
        <v>512</v>
      </c>
      <c r="G48" s="143" t="s">
        <v>156</v>
      </c>
      <c r="H48" s="145">
        <v>80111600</v>
      </c>
      <c r="I48" s="146">
        <v>8</v>
      </c>
      <c r="J48" s="146">
        <v>3</v>
      </c>
      <c r="K48" s="147">
        <v>20</v>
      </c>
      <c r="L48" s="148">
        <f>14116667+7700000-7650000</f>
        <v>14166667</v>
      </c>
      <c r="M48" s="143" t="s">
        <v>173</v>
      </c>
      <c r="N48" s="148" t="s">
        <v>114</v>
      </c>
      <c r="O48" s="144" t="s">
        <v>220</v>
      </c>
      <c r="P48" s="149" t="str">
        <f>IFERROR(VLOOKUP(C48,TD!$B$32:$F$36,2,0)," ")</f>
        <v>O230117</v>
      </c>
      <c r="Q48" s="149" t="str">
        <f>IFERROR(VLOOKUP(C48,TD!$B$32:$F$36,3,0)," ")</f>
        <v>4599</v>
      </c>
      <c r="R48" s="149">
        <f>IFERROR(VLOOKUP(C48,TD!$B$32:$F$36,4,0)," ")</f>
        <v>20240207</v>
      </c>
      <c r="S48" s="144" t="s">
        <v>186</v>
      </c>
      <c r="T48" s="149" t="str">
        <f>IFERROR(VLOOKUP(S48,TD!$J$33:$K$43,2,0)," ")</f>
        <v>Infraestructura física, mantenimiento y dotación (Sedes construidas, mantenidas reforzadas)</v>
      </c>
      <c r="U48" s="54" t="str">
        <f t="shared" si="0"/>
        <v>08-Infraestructura física, mantenimiento y dotación (Sedes construidas, mantenidas reforzadas)</v>
      </c>
      <c r="V48" s="144" t="s">
        <v>239</v>
      </c>
      <c r="W48" s="149" t="str">
        <f>IFERROR(VLOOKUP(V48,TD!$N$33:$O$45,2,0)," ")</f>
        <v>Sedes mantenidas</v>
      </c>
      <c r="X48" s="54" t="str">
        <f t="shared" si="1"/>
        <v>016_Sedes mantenidas</v>
      </c>
      <c r="Y48" s="54" t="str">
        <f t="shared" si="2"/>
        <v>08-Infraestructura física, mantenimiento y dotación (Sedes construidas, mantenidas reforzadas) 016_Sedes mantenidas</v>
      </c>
      <c r="Z48" s="149" t="str">
        <f t="shared" si="3"/>
        <v>O23011745992024020708016</v>
      </c>
      <c r="AA48" s="149" t="str">
        <f>IFERROR(VLOOKUP(Y48,TD!$K$46:$L$64,2,0)," ")</f>
        <v>PM/0131/0108/45990160207</v>
      </c>
      <c r="AB48" s="148" t="s">
        <v>139</v>
      </c>
      <c r="AC48" s="178" t="s">
        <v>205</v>
      </c>
    </row>
    <row r="49" spans="2:29" s="28" customFormat="1" ht="57">
      <c r="B49" s="195">
        <v>20240936</v>
      </c>
      <c r="C49" s="142" t="s">
        <v>209</v>
      </c>
      <c r="D49" s="143" t="s">
        <v>165</v>
      </c>
      <c r="E49" s="144" t="s">
        <v>517</v>
      </c>
      <c r="F49" s="143" t="s">
        <v>513</v>
      </c>
      <c r="G49" s="143" t="s">
        <v>156</v>
      </c>
      <c r="H49" s="145">
        <v>80111600</v>
      </c>
      <c r="I49" s="146">
        <v>9</v>
      </c>
      <c r="J49" s="146">
        <v>3</v>
      </c>
      <c r="K49" s="147">
        <v>0</v>
      </c>
      <c r="L49" s="148">
        <f>23550000+15700000-15700000</f>
        <v>23550000</v>
      </c>
      <c r="M49" s="143" t="s">
        <v>173</v>
      </c>
      <c r="N49" s="148" t="s">
        <v>114</v>
      </c>
      <c r="O49" s="144" t="s">
        <v>220</v>
      </c>
      <c r="P49" s="149" t="str">
        <f>IFERROR(VLOOKUP(C49,TD!$B$32:$F$36,2,0)," ")</f>
        <v>O230117</v>
      </c>
      <c r="Q49" s="149" t="str">
        <f>IFERROR(VLOOKUP(C49,TD!$B$32:$F$36,3,0)," ")</f>
        <v>4599</v>
      </c>
      <c r="R49" s="149">
        <f>IFERROR(VLOOKUP(C49,TD!$B$32:$F$36,4,0)," ")</f>
        <v>20240207</v>
      </c>
      <c r="S49" s="144" t="s">
        <v>186</v>
      </c>
      <c r="T49" s="149" t="str">
        <f>IFERROR(VLOOKUP(S49,TD!$J$33:$K$43,2,0)," ")</f>
        <v>Infraestructura física, mantenimiento y dotación (Sedes construidas, mantenidas reforzadas)</v>
      </c>
      <c r="U49" s="54" t="str">
        <f t="shared" si="0"/>
        <v>08-Infraestructura física, mantenimiento y dotación (Sedes construidas, mantenidas reforzadas)</v>
      </c>
      <c r="V49" s="144" t="s">
        <v>239</v>
      </c>
      <c r="W49" s="149" t="str">
        <f>IFERROR(VLOOKUP(V49,TD!$N$33:$O$45,2,0)," ")</f>
        <v>Sedes mantenidas</v>
      </c>
      <c r="X49" s="54" t="str">
        <f t="shared" si="1"/>
        <v>016_Sedes mantenidas</v>
      </c>
      <c r="Y49" s="54" t="str">
        <f t="shared" si="2"/>
        <v>08-Infraestructura física, mantenimiento y dotación (Sedes construidas, mantenidas reforzadas) 016_Sedes mantenidas</v>
      </c>
      <c r="Z49" s="149" t="str">
        <f t="shared" si="3"/>
        <v>O23011745992024020708016</v>
      </c>
      <c r="AA49" s="149" t="str">
        <f>IFERROR(VLOOKUP(Y49,TD!$K$46:$L$64,2,0)," ")</f>
        <v>PM/0131/0108/45990160207</v>
      </c>
      <c r="AB49" s="148" t="s">
        <v>139</v>
      </c>
      <c r="AC49" s="178" t="s">
        <v>205</v>
      </c>
    </row>
    <row r="50" spans="2:29" s="28" customFormat="1" ht="57">
      <c r="B50" s="195">
        <v>20240937</v>
      </c>
      <c r="C50" s="142" t="s">
        <v>209</v>
      </c>
      <c r="D50" s="143" t="s">
        <v>165</v>
      </c>
      <c r="E50" s="144" t="s">
        <v>517</v>
      </c>
      <c r="F50" s="143" t="s">
        <v>880</v>
      </c>
      <c r="G50" s="143" t="s">
        <v>156</v>
      </c>
      <c r="H50" s="145">
        <v>80111600</v>
      </c>
      <c r="I50" s="146">
        <v>12</v>
      </c>
      <c r="J50" s="146">
        <v>1</v>
      </c>
      <c r="K50" s="147">
        <v>27</v>
      </c>
      <c r="L50" s="148">
        <f>4680000+5200000</f>
        <v>9880000</v>
      </c>
      <c r="M50" s="143" t="s">
        <v>173</v>
      </c>
      <c r="N50" s="148" t="s">
        <v>114</v>
      </c>
      <c r="O50" s="144" t="s">
        <v>220</v>
      </c>
      <c r="P50" s="149" t="str">
        <f>IFERROR(VLOOKUP(C50,TD!$B$32:$F$36,2,0)," ")</f>
        <v>O230117</v>
      </c>
      <c r="Q50" s="149" t="str">
        <f>IFERROR(VLOOKUP(C50,TD!$B$32:$F$36,3,0)," ")</f>
        <v>4599</v>
      </c>
      <c r="R50" s="149">
        <f>IFERROR(VLOOKUP(C50,TD!$B$32:$F$36,4,0)," ")</f>
        <v>20240207</v>
      </c>
      <c r="S50" s="144" t="s">
        <v>186</v>
      </c>
      <c r="T50" s="149" t="str">
        <f>IFERROR(VLOOKUP(S50,TD!$J$33:$K$43,2,0)," ")</f>
        <v>Infraestructura física, mantenimiento y dotación (Sedes construidas, mantenidas reforzadas)</v>
      </c>
      <c r="U50" s="54" t="str">
        <f t="shared" si="0"/>
        <v>08-Infraestructura física, mantenimiento y dotación (Sedes construidas, mantenidas reforzadas)</v>
      </c>
      <c r="V50" s="144" t="s">
        <v>239</v>
      </c>
      <c r="W50" s="149" t="str">
        <f>IFERROR(VLOOKUP(V50,TD!$N$33:$O$45,2,0)," ")</f>
        <v>Sedes mantenidas</v>
      </c>
      <c r="X50" s="54" t="str">
        <f t="shared" si="1"/>
        <v>016_Sedes mantenidas</v>
      </c>
      <c r="Y50" s="54" t="str">
        <f t="shared" si="2"/>
        <v>08-Infraestructura física, mantenimiento y dotación (Sedes construidas, mantenidas reforzadas) 016_Sedes mantenidas</v>
      </c>
      <c r="Z50" s="149" t="str">
        <f t="shared" si="3"/>
        <v>O23011745992024020708016</v>
      </c>
      <c r="AA50" s="149" t="str">
        <f>IFERROR(VLOOKUP(Y50,TD!$K$46:$L$64,2,0)," ")</f>
        <v>PM/0131/0108/45990160207</v>
      </c>
      <c r="AB50" s="148" t="s">
        <v>121</v>
      </c>
      <c r="AC50" s="178" t="s">
        <v>206</v>
      </c>
    </row>
    <row r="51" spans="2:29" s="28" customFormat="1" ht="57">
      <c r="B51" s="195">
        <v>20240938</v>
      </c>
      <c r="C51" s="142" t="s">
        <v>209</v>
      </c>
      <c r="D51" s="143" t="s">
        <v>165</v>
      </c>
      <c r="E51" s="144" t="s">
        <v>517</v>
      </c>
      <c r="F51" s="143" t="s">
        <v>514</v>
      </c>
      <c r="G51" s="143" t="s">
        <v>156</v>
      </c>
      <c r="H51" s="145">
        <v>80111600</v>
      </c>
      <c r="I51" s="146">
        <v>10</v>
      </c>
      <c r="J51" s="146">
        <v>4</v>
      </c>
      <c r="K51" s="147">
        <v>0</v>
      </c>
      <c r="L51" s="148">
        <f>36000000+15000000-15000000</f>
        <v>36000000</v>
      </c>
      <c r="M51" s="143" t="s">
        <v>173</v>
      </c>
      <c r="N51" s="148" t="s">
        <v>114</v>
      </c>
      <c r="O51" s="144" t="s">
        <v>220</v>
      </c>
      <c r="P51" s="149" t="str">
        <f>IFERROR(VLOOKUP(C51,TD!$B$32:$F$36,2,0)," ")</f>
        <v>O230117</v>
      </c>
      <c r="Q51" s="149" t="str">
        <f>IFERROR(VLOOKUP(C51,TD!$B$32:$F$36,3,0)," ")</f>
        <v>4599</v>
      </c>
      <c r="R51" s="149">
        <f>IFERROR(VLOOKUP(C51,TD!$B$32:$F$36,4,0)," ")</f>
        <v>20240207</v>
      </c>
      <c r="S51" s="144" t="s">
        <v>186</v>
      </c>
      <c r="T51" s="149" t="str">
        <f>IFERROR(VLOOKUP(S51,TD!$J$33:$K$43,2,0)," ")</f>
        <v>Infraestructura física, mantenimiento y dotación (Sedes construidas, mantenidas reforzadas)</v>
      </c>
      <c r="U51" s="54" t="str">
        <f t="shared" si="0"/>
        <v>08-Infraestructura física, mantenimiento y dotación (Sedes construidas, mantenidas reforzadas)</v>
      </c>
      <c r="V51" s="144" t="s">
        <v>239</v>
      </c>
      <c r="W51" s="149" t="str">
        <f>IFERROR(VLOOKUP(V51,TD!$N$33:$O$45,2,0)," ")</f>
        <v>Sedes mantenidas</v>
      </c>
      <c r="X51" s="54" t="str">
        <f t="shared" si="1"/>
        <v>016_Sedes mantenidas</v>
      </c>
      <c r="Y51" s="54" t="str">
        <f t="shared" si="2"/>
        <v>08-Infraestructura física, mantenimiento y dotación (Sedes construidas, mantenidas reforzadas) 016_Sedes mantenidas</v>
      </c>
      <c r="Z51" s="149" t="str">
        <f t="shared" si="3"/>
        <v>O23011745992024020708016</v>
      </c>
      <c r="AA51" s="149" t="str">
        <f>IFERROR(VLOOKUP(Y51,TD!$K$46:$L$64,2,0)," ")</f>
        <v>PM/0131/0108/45990160207</v>
      </c>
      <c r="AB51" s="148" t="s">
        <v>139</v>
      </c>
      <c r="AC51" s="178" t="s">
        <v>205</v>
      </c>
    </row>
    <row r="52" spans="2:29" s="28" customFormat="1" ht="42.75">
      <c r="B52" s="196">
        <v>20240998</v>
      </c>
      <c r="C52" s="142" t="s">
        <v>210</v>
      </c>
      <c r="D52" s="143" t="s">
        <v>170</v>
      </c>
      <c r="E52" s="144" t="s">
        <v>456</v>
      </c>
      <c r="F52" s="143" t="s">
        <v>490</v>
      </c>
      <c r="G52" s="143" t="s">
        <v>110</v>
      </c>
      <c r="H52" s="145">
        <v>27112100</v>
      </c>
      <c r="I52" s="146">
        <v>8</v>
      </c>
      <c r="J52" s="146">
        <v>3</v>
      </c>
      <c r="K52" s="147">
        <v>0</v>
      </c>
      <c r="L52" s="148">
        <f>125711555-25000000-12669440-40000000</f>
        <v>48042115</v>
      </c>
      <c r="M52" s="143" t="s">
        <v>173</v>
      </c>
      <c r="N52" s="148" t="s">
        <v>101</v>
      </c>
      <c r="O52" s="144" t="s">
        <v>223</v>
      </c>
      <c r="P52" s="149" t="str">
        <f>IFERROR(VLOOKUP(C52,TD!$B$32:$F$36,2,0)," ")</f>
        <v>O230117</v>
      </c>
      <c r="Q52" s="149" t="str">
        <f>IFERROR(VLOOKUP(C52,TD!$B$32:$F$36,3,0)," ")</f>
        <v>4503</v>
      </c>
      <c r="R52" s="149">
        <f>IFERROR(VLOOKUP(C52,TD!$B$32:$F$36,4,0)," ")</f>
        <v>20240255</v>
      </c>
      <c r="S52" s="144" t="s">
        <v>190</v>
      </c>
      <c r="T52" s="149" t="str">
        <f>IFERROR(VLOOKUP(S52,TD!$J$33:$K$43,2,0)," ")</f>
        <v>Servicio de dotación y equipamento para el personal operativo</v>
      </c>
      <c r="U52" s="54" t="str">
        <f t="shared" si="0"/>
        <v>10-Servicio de dotación y equipamento para el personal operativo</v>
      </c>
      <c r="V52" s="144" t="s">
        <v>233</v>
      </c>
      <c r="W52" s="149" t="str">
        <f>IFERROR(VLOOKUP(V52,TD!$N$33:$O$45,2,0)," ")</f>
        <v>Servicio de atención a emergencias y desastres</v>
      </c>
      <c r="X52" s="54" t="str">
        <f t="shared" si="1"/>
        <v>004_Servicio de atención a emergencias y desastres</v>
      </c>
      <c r="Y52" s="54" t="str">
        <f t="shared" si="2"/>
        <v>10-Servicio de dotación y equipamento para el personal operativo 004_Servicio de atención a emergencias y desastres</v>
      </c>
      <c r="Z52" s="149" t="str">
        <f t="shared" si="3"/>
        <v>O23011745032024025510004</v>
      </c>
      <c r="AA52" s="149" t="str">
        <f>IFERROR(VLOOKUP(Y52,TD!$K$46:$L$64,2,0)," ")</f>
        <v>PM/0131/0110/45030040255</v>
      </c>
      <c r="AB52" s="148" t="s">
        <v>88</v>
      </c>
      <c r="AC52" s="178" t="s">
        <v>205</v>
      </c>
    </row>
    <row r="53" spans="2:29" s="28" customFormat="1" ht="57">
      <c r="B53" s="196">
        <v>20241006</v>
      </c>
      <c r="C53" s="142" t="s">
        <v>210</v>
      </c>
      <c r="D53" s="143" t="s">
        <v>166</v>
      </c>
      <c r="E53" s="144" t="s">
        <v>857</v>
      </c>
      <c r="F53" s="143" t="s">
        <v>519</v>
      </c>
      <c r="G53" s="143" t="s">
        <v>97</v>
      </c>
      <c r="H53" s="145">
        <v>90121800</v>
      </c>
      <c r="I53" s="146">
        <v>7</v>
      </c>
      <c r="J53" s="146">
        <v>6</v>
      </c>
      <c r="K53" s="147">
        <v>0</v>
      </c>
      <c r="L53" s="148">
        <f>22326269+25000000-25000000+88000000</f>
        <v>110326269</v>
      </c>
      <c r="M53" s="143" t="s">
        <v>173</v>
      </c>
      <c r="N53" s="148" t="s">
        <v>114</v>
      </c>
      <c r="O53" s="144" t="s">
        <v>230</v>
      </c>
      <c r="P53" s="149" t="str">
        <f>IFERROR(VLOOKUP(C53,TD!$B$32:$F$36,2,0)," ")</f>
        <v>O230117</v>
      </c>
      <c r="Q53" s="149" t="str">
        <f>IFERROR(VLOOKUP(C53,TD!$B$32:$F$36,3,0)," ")</f>
        <v>4503</v>
      </c>
      <c r="R53" s="149">
        <f>IFERROR(VLOOKUP(C53,TD!$B$32:$F$36,4,0)," ")</f>
        <v>20240255</v>
      </c>
      <c r="S53" s="144" t="s">
        <v>184</v>
      </c>
      <c r="T53" s="149" t="str">
        <f>IFERROR(VLOOKUP(S53,TD!$J$33:$K$43,2,0)," ")</f>
        <v>Servicio de formación en gestión del riesgo de incendios para el personal UAECOB</v>
      </c>
      <c r="U53" s="54" t="str">
        <f t="shared" si="0"/>
        <v>07-Servicio de formación en gestión del riesgo de incendios para el personal UAECOB</v>
      </c>
      <c r="V53" s="144" t="s">
        <v>234</v>
      </c>
      <c r="W53" s="149" t="str">
        <f>IFERROR(VLOOKUP(V53,TD!$N$33:$O$45,2,0)," ")</f>
        <v>Servicio de educación informal</v>
      </c>
      <c r="X53" s="54" t="str">
        <f t="shared" si="1"/>
        <v>002_Servicio de educación informal</v>
      </c>
      <c r="Y53" s="54" t="str">
        <f t="shared" si="2"/>
        <v>07-Servicio de formación en gestión del riesgo de incendios para el personal UAECOB 002_Servicio de educación informal</v>
      </c>
      <c r="Z53" s="149" t="str">
        <f t="shared" si="3"/>
        <v>O23011745032024025507002</v>
      </c>
      <c r="AA53" s="149" t="str">
        <f>IFERROR(VLOOKUP(Y53,TD!$K$46:$L$64,2,0)," ")</f>
        <v>PM/0131/0107/45030020255</v>
      </c>
      <c r="AB53" s="148" t="s">
        <v>139</v>
      </c>
      <c r="AC53" s="178" t="s">
        <v>205</v>
      </c>
    </row>
    <row r="54" spans="2:29" s="28" customFormat="1" ht="57">
      <c r="B54" s="195">
        <v>20241008</v>
      </c>
      <c r="C54" s="142" t="s">
        <v>210</v>
      </c>
      <c r="D54" s="143" t="s">
        <v>166</v>
      </c>
      <c r="E54" s="144" t="s">
        <v>857</v>
      </c>
      <c r="F54" s="143" t="s">
        <v>521</v>
      </c>
      <c r="G54" s="143" t="s">
        <v>156</v>
      </c>
      <c r="H54" s="145">
        <v>80111600</v>
      </c>
      <c r="I54" s="146">
        <v>8</v>
      </c>
      <c r="J54" s="146">
        <v>4</v>
      </c>
      <c r="K54" s="147">
        <v>15</v>
      </c>
      <c r="L54" s="148">
        <f>33750000-11250000</f>
        <v>22500000</v>
      </c>
      <c r="M54" s="143" t="s">
        <v>173</v>
      </c>
      <c r="N54" s="148" t="s">
        <v>114</v>
      </c>
      <c r="O54" s="144" t="s">
        <v>230</v>
      </c>
      <c r="P54" s="149" t="str">
        <f>IFERROR(VLOOKUP(C54,TD!$B$32:$F$36,2,0)," ")</f>
        <v>O230117</v>
      </c>
      <c r="Q54" s="149" t="str">
        <f>IFERROR(VLOOKUP(C54,TD!$B$32:$F$36,3,0)," ")</f>
        <v>4503</v>
      </c>
      <c r="R54" s="149">
        <f>IFERROR(VLOOKUP(C54,TD!$B$32:$F$36,4,0)," ")</f>
        <v>20240255</v>
      </c>
      <c r="S54" s="144" t="s">
        <v>184</v>
      </c>
      <c r="T54" s="149" t="str">
        <f>IFERROR(VLOOKUP(S54,TD!$J$33:$K$43,2,0)," ")</f>
        <v>Servicio de formación en gestión del riesgo de incendios para el personal UAECOB</v>
      </c>
      <c r="U54" s="54" t="str">
        <f t="shared" si="0"/>
        <v>07-Servicio de formación en gestión del riesgo de incendios para el personal UAECOB</v>
      </c>
      <c r="V54" s="144" t="s">
        <v>234</v>
      </c>
      <c r="W54" s="149" t="str">
        <f>IFERROR(VLOOKUP(V54,TD!$N$33:$O$45,2,0)," ")</f>
        <v>Servicio de educación informal</v>
      </c>
      <c r="X54" s="54" t="str">
        <f t="shared" si="1"/>
        <v>002_Servicio de educación informal</v>
      </c>
      <c r="Y54" s="54" t="str">
        <f t="shared" si="2"/>
        <v>07-Servicio de formación en gestión del riesgo de incendios para el personal UAECOB 002_Servicio de educación informal</v>
      </c>
      <c r="Z54" s="149" t="str">
        <f t="shared" si="3"/>
        <v>O23011745032024025507002</v>
      </c>
      <c r="AA54" s="149" t="str">
        <f>IFERROR(VLOOKUP(Y54,TD!$K$46:$L$64,2,0)," ")</f>
        <v>PM/0131/0107/45030020255</v>
      </c>
      <c r="AB54" s="148" t="s">
        <v>139</v>
      </c>
      <c r="AC54" s="178" t="s">
        <v>205</v>
      </c>
    </row>
    <row r="55" spans="2:29" s="28" customFormat="1" ht="57">
      <c r="B55" s="195">
        <v>20241013</v>
      </c>
      <c r="C55" s="142" t="s">
        <v>210</v>
      </c>
      <c r="D55" s="143" t="s">
        <v>166</v>
      </c>
      <c r="E55" s="144" t="s">
        <v>857</v>
      </c>
      <c r="F55" s="143" t="s">
        <v>524</v>
      </c>
      <c r="G55" s="143" t="s">
        <v>156</v>
      </c>
      <c r="H55" s="145">
        <v>80111600</v>
      </c>
      <c r="I55" s="146">
        <v>8</v>
      </c>
      <c r="J55" s="146">
        <v>5</v>
      </c>
      <c r="K55" s="147">
        <v>0</v>
      </c>
      <c r="L55" s="148">
        <f>13677500+13677500-2735500</f>
        <v>24619500</v>
      </c>
      <c r="M55" s="143" t="s">
        <v>173</v>
      </c>
      <c r="N55" s="148" t="s">
        <v>114</v>
      </c>
      <c r="O55" s="144" t="s">
        <v>230</v>
      </c>
      <c r="P55" s="149" t="str">
        <f>IFERROR(VLOOKUP(C55,TD!$B$32:$F$36,2,0)," ")</f>
        <v>O230117</v>
      </c>
      <c r="Q55" s="149" t="str">
        <f>IFERROR(VLOOKUP(C55,TD!$B$32:$F$36,3,0)," ")</f>
        <v>4503</v>
      </c>
      <c r="R55" s="149">
        <f>IFERROR(VLOOKUP(C55,TD!$B$32:$F$36,4,0)," ")</f>
        <v>20240255</v>
      </c>
      <c r="S55" s="144" t="s">
        <v>184</v>
      </c>
      <c r="T55" s="149" t="str">
        <f>IFERROR(VLOOKUP(S55,TD!$J$33:$K$43,2,0)," ")</f>
        <v>Servicio de formación en gestión del riesgo de incendios para el personal UAECOB</v>
      </c>
      <c r="U55" s="54" t="str">
        <f t="shared" si="0"/>
        <v>07-Servicio de formación en gestión del riesgo de incendios para el personal UAECOB</v>
      </c>
      <c r="V55" s="144" t="s">
        <v>234</v>
      </c>
      <c r="W55" s="149" t="str">
        <f>IFERROR(VLOOKUP(V55,TD!$N$33:$O$45,2,0)," ")</f>
        <v>Servicio de educación informal</v>
      </c>
      <c r="X55" s="54" t="str">
        <f t="shared" si="1"/>
        <v>002_Servicio de educación informal</v>
      </c>
      <c r="Y55" s="54" t="str">
        <f t="shared" si="2"/>
        <v>07-Servicio de formación en gestión del riesgo de incendios para el personal UAECOB 002_Servicio de educación informal</v>
      </c>
      <c r="Z55" s="149" t="str">
        <f t="shared" si="3"/>
        <v>O23011745032024025507002</v>
      </c>
      <c r="AA55" s="149" t="str">
        <f>IFERROR(VLOOKUP(Y55,TD!$K$46:$L$64,2,0)," ")</f>
        <v>PM/0131/0107/45030020255</v>
      </c>
      <c r="AB55" s="148" t="s">
        <v>139</v>
      </c>
      <c r="AC55" s="178" t="s">
        <v>205</v>
      </c>
    </row>
    <row r="56" spans="2:29" s="28" customFormat="1" ht="57">
      <c r="B56" s="195">
        <v>20241023</v>
      </c>
      <c r="C56" s="142" t="s">
        <v>210</v>
      </c>
      <c r="D56" s="143" t="s">
        <v>166</v>
      </c>
      <c r="E56" s="144" t="s">
        <v>857</v>
      </c>
      <c r="F56" s="143" t="s">
        <v>532</v>
      </c>
      <c r="G56" s="143" t="s">
        <v>156</v>
      </c>
      <c r="H56" s="145">
        <v>80111600</v>
      </c>
      <c r="I56" s="146">
        <v>7</v>
      </c>
      <c r="J56" s="146">
        <v>5</v>
      </c>
      <c r="K56" s="147">
        <v>5</v>
      </c>
      <c r="L56" s="148">
        <f>21775000-10887500</f>
        <v>10887500</v>
      </c>
      <c r="M56" s="143" t="s">
        <v>173</v>
      </c>
      <c r="N56" s="148" t="s">
        <v>114</v>
      </c>
      <c r="O56" s="144" t="s">
        <v>230</v>
      </c>
      <c r="P56" s="149" t="str">
        <f>IFERROR(VLOOKUP(C56,TD!$B$32:$F$36,2,0)," ")</f>
        <v>O230117</v>
      </c>
      <c r="Q56" s="149" t="str">
        <f>IFERROR(VLOOKUP(C56,TD!$B$32:$F$36,3,0)," ")</f>
        <v>4503</v>
      </c>
      <c r="R56" s="149">
        <f>IFERROR(VLOOKUP(C56,TD!$B$32:$F$36,4,0)," ")</f>
        <v>20240255</v>
      </c>
      <c r="S56" s="144" t="s">
        <v>184</v>
      </c>
      <c r="T56" s="149" t="str">
        <f>IFERROR(VLOOKUP(S56,TD!$J$33:$K$43,2,0)," ")</f>
        <v>Servicio de formación en gestión del riesgo de incendios para el personal UAECOB</v>
      </c>
      <c r="U56" s="54" t="str">
        <f t="shared" si="0"/>
        <v>07-Servicio de formación en gestión del riesgo de incendios para el personal UAECOB</v>
      </c>
      <c r="V56" s="144" t="s">
        <v>234</v>
      </c>
      <c r="W56" s="149" t="str">
        <f>IFERROR(VLOOKUP(V56,TD!$N$33:$O$45,2,0)," ")</f>
        <v>Servicio de educación informal</v>
      </c>
      <c r="X56" s="54" t="str">
        <f t="shared" si="1"/>
        <v>002_Servicio de educación informal</v>
      </c>
      <c r="Y56" s="54" t="str">
        <f t="shared" si="2"/>
        <v>07-Servicio de formación en gestión del riesgo de incendios para el personal UAECOB 002_Servicio de educación informal</v>
      </c>
      <c r="Z56" s="149" t="str">
        <f t="shared" si="3"/>
        <v>O23011745032024025507002</v>
      </c>
      <c r="AA56" s="149" t="str">
        <f>IFERROR(VLOOKUP(Y56,TD!$K$46:$L$64,2,0)," ")</f>
        <v>PM/0131/0107/45030020255</v>
      </c>
      <c r="AB56" s="148" t="s">
        <v>139</v>
      </c>
      <c r="AC56" s="178" t="s">
        <v>205</v>
      </c>
    </row>
    <row r="57" spans="2:29" s="28" customFormat="1" ht="57">
      <c r="B57" s="196">
        <v>20241039</v>
      </c>
      <c r="C57" s="142" t="s">
        <v>210</v>
      </c>
      <c r="D57" s="143" t="s">
        <v>166</v>
      </c>
      <c r="E57" s="144" t="s">
        <v>857</v>
      </c>
      <c r="F57" s="143" t="s">
        <v>544</v>
      </c>
      <c r="G57" s="143" t="s">
        <v>157</v>
      </c>
      <c r="H57" s="145">
        <v>80111600</v>
      </c>
      <c r="I57" s="146">
        <v>9</v>
      </c>
      <c r="J57" s="146">
        <v>5</v>
      </c>
      <c r="K57" s="147">
        <v>0</v>
      </c>
      <c r="L57" s="148">
        <f>26904555+70000000-2645000-13677500-12950000+206040000-100000000-6014000-5471000+696657-24500000-34000000-15000000-88000000</f>
        <v>1383712</v>
      </c>
      <c r="M57" s="143" t="s">
        <v>173</v>
      </c>
      <c r="N57" s="148" t="s">
        <v>114</v>
      </c>
      <c r="O57" s="144" t="s">
        <v>230</v>
      </c>
      <c r="P57" s="149" t="str">
        <f>IFERROR(VLOOKUP(C57,TD!$B$32:$F$36,2,0)," ")</f>
        <v>O230117</v>
      </c>
      <c r="Q57" s="149" t="str">
        <f>IFERROR(VLOOKUP(C57,TD!$B$32:$F$36,3,0)," ")</f>
        <v>4503</v>
      </c>
      <c r="R57" s="149">
        <f>IFERROR(VLOOKUP(C57,TD!$B$32:$F$36,4,0)," ")</f>
        <v>20240255</v>
      </c>
      <c r="S57" s="144" t="s">
        <v>184</v>
      </c>
      <c r="T57" s="149" t="str">
        <f>IFERROR(VLOOKUP(S57,TD!$J$33:$K$43,2,0)," ")</f>
        <v>Servicio de formación en gestión del riesgo de incendios para el personal UAECOB</v>
      </c>
      <c r="U57" s="54" t="str">
        <f t="shared" si="0"/>
        <v>07-Servicio de formación en gestión del riesgo de incendios para el personal UAECOB</v>
      </c>
      <c r="V57" s="144" t="s">
        <v>234</v>
      </c>
      <c r="W57" s="149" t="str">
        <f>IFERROR(VLOOKUP(V57,TD!$N$33:$O$45,2,0)," ")</f>
        <v>Servicio de educación informal</v>
      </c>
      <c r="X57" s="54" t="str">
        <f t="shared" si="1"/>
        <v>002_Servicio de educación informal</v>
      </c>
      <c r="Y57" s="54" t="str">
        <f t="shared" si="2"/>
        <v>07-Servicio de formación en gestión del riesgo de incendios para el personal UAECOB 002_Servicio de educación informal</v>
      </c>
      <c r="Z57" s="149" t="str">
        <f t="shared" si="3"/>
        <v>O23011745032024025507002</v>
      </c>
      <c r="AA57" s="149" t="str">
        <f>IFERROR(VLOOKUP(Y57,TD!$K$46:$L$64,2,0)," ")</f>
        <v>PM/0131/0107/45030020255</v>
      </c>
      <c r="AB57" s="148" t="s">
        <v>139</v>
      </c>
      <c r="AC57" s="178" t="s">
        <v>205</v>
      </c>
    </row>
    <row r="58" spans="2:29" s="28" customFormat="1" ht="57">
      <c r="B58" s="195">
        <v>20241041</v>
      </c>
      <c r="C58" s="142" t="s">
        <v>210</v>
      </c>
      <c r="D58" s="143" t="s">
        <v>167</v>
      </c>
      <c r="E58" s="144" t="s">
        <v>839</v>
      </c>
      <c r="F58" s="143" t="s">
        <v>547</v>
      </c>
      <c r="G58" s="143" t="s">
        <v>138</v>
      </c>
      <c r="H58" s="179" t="s">
        <v>546</v>
      </c>
      <c r="I58" s="146">
        <v>0</v>
      </c>
      <c r="J58" s="146">
        <v>0</v>
      </c>
      <c r="K58" s="147">
        <v>0</v>
      </c>
      <c r="L58" s="148">
        <f>41869949+51912253+6416666+10586886+41097840-40000000</f>
        <v>111883594</v>
      </c>
      <c r="M58" s="143" t="s">
        <v>174</v>
      </c>
      <c r="N58" s="148" t="s">
        <v>129</v>
      </c>
      <c r="O58" s="144" t="s">
        <v>228</v>
      </c>
      <c r="P58" s="149" t="str">
        <f>IFERROR(VLOOKUP(C58,TD!$B$32:$F$36,2,0)," ")</f>
        <v>O230117</v>
      </c>
      <c r="Q58" s="149" t="str">
        <f>IFERROR(VLOOKUP(C58,TD!$B$32:$F$36,3,0)," ")</f>
        <v>4503</v>
      </c>
      <c r="R58" s="149">
        <f>IFERROR(VLOOKUP(C58,TD!$B$32:$F$36,4,0)," ")</f>
        <v>20240255</v>
      </c>
      <c r="S58" s="144" t="s">
        <v>186</v>
      </c>
      <c r="T58" s="149" t="str">
        <f>IFERROR(VLOOKUP(S58,TD!$J$33:$K$43,2,0)," ")</f>
        <v>Infraestructura física, mantenimiento y dotación (Sedes construidas, mantenidas reforzadas)</v>
      </c>
      <c r="U58" s="54" t="str">
        <f t="shared" si="0"/>
        <v>08-Infraestructura física, mantenimiento y dotación (Sedes construidas, mantenidas reforzadas)</v>
      </c>
      <c r="V58" s="144" t="s">
        <v>237</v>
      </c>
      <c r="W58" s="149" t="str">
        <f>IFERROR(VLOOKUP(V58,TD!$N$33:$O$45,2,0)," ")</f>
        <v>Estaciones de bomberos adecuadas</v>
      </c>
      <c r="X58" s="54" t="str">
        <f t="shared" si="1"/>
        <v>014_Estaciones de bomberos adecuadas</v>
      </c>
      <c r="Y58" s="54" t="str">
        <f t="shared" si="2"/>
        <v>08-Infraestructura física, mantenimiento y dotación (Sedes construidas, mantenidas reforzadas) 014_Estaciones de bomberos adecuadas</v>
      </c>
      <c r="Z58" s="149" t="str">
        <f t="shared" si="3"/>
        <v>O23011745032024025508014</v>
      </c>
      <c r="AA58" s="149" t="str">
        <f>IFERROR(VLOOKUP(Y58,TD!$K$46:$L$64,2,0)," ")</f>
        <v>PM/0131/0108/45030140255</v>
      </c>
      <c r="AB58" s="148" t="s">
        <v>103</v>
      </c>
      <c r="AC58" s="178" t="s">
        <v>206</v>
      </c>
    </row>
    <row r="59" spans="2:29" s="28" customFormat="1" ht="57">
      <c r="B59" s="195">
        <v>20241069</v>
      </c>
      <c r="C59" s="142" t="s">
        <v>209</v>
      </c>
      <c r="D59" s="143" t="s">
        <v>167</v>
      </c>
      <c r="E59" s="144" t="s">
        <v>839</v>
      </c>
      <c r="F59" s="143" t="s">
        <v>569</v>
      </c>
      <c r="G59" s="143" t="s">
        <v>138</v>
      </c>
      <c r="H59" s="179" t="s">
        <v>546</v>
      </c>
      <c r="I59" s="146">
        <v>0</v>
      </c>
      <c r="J59" s="146">
        <v>0</v>
      </c>
      <c r="K59" s="147">
        <v>0</v>
      </c>
      <c r="L59" s="148">
        <f>388045+65451</f>
        <v>453496</v>
      </c>
      <c r="M59" s="143" t="s">
        <v>174</v>
      </c>
      <c r="N59" s="148" t="s">
        <v>129</v>
      </c>
      <c r="O59" s="144" t="s">
        <v>220</v>
      </c>
      <c r="P59" s="149" t="str">
        <f>IFERROR(VLOOKUP(C59,TD!$B$32:$F$36,2,0)," ")</f>
        <v>O230117</v>
      </c>
      <c r="Q59" s="149" t="str">
        <f>IFERROR(VLOOKUP(C59,TD!$B$32:$F$36,3,0)," ")</f>
        <v>4599</v>
      </c>
      <c r="R59" s="149">
        <f>IFERROR(VLOOKUP(C59,TD!$B$32:$F$36,4,0)," ")</f>
        <v>20240207</v>
      </c>
      <c r="S59" s="144" t="s">
        <v>186</v>
      </c>
      <c r="T59" s="149" t="str">
        <f>IFERROR(VLOOKUP(S59,TD!$J$33:$K$43,2,0)," ")</f>
        <v>Infraestructura física, mantenimiento y dotación (Sedes construidas, mantenidas reforzadas)</v>
      </c>
      <c r="U59" s="54" t="str">
        <f t="shared" si="0"/>
        <v>08-Infraestructura física, mantenimiento y dotación (Sedes construidas, mantenidas reforzadas)</v>
      </c>
      <c r="V59" s="144" t="s">
        <v>239</v>
      </c>
      <c r="W59" s="149" t="str">
        <f>IFERROR(VLOOKUP(V59,TD!$N$33:$O$45,2,0)," ")</f>
        <v>Sedes mantenidas</v>
      </c>
      <c r="X59" s="54" t="str">
        <f t="shared" si="1"/>
        <v>016_Sedes mantenidas</v>
      </c>
      <c r="Y59" s="54" t="str">
        <f t="shared" si="2"/>
        <v>08-Infraestructura física, mantenimiento y dotación (Sedes construidas, mantenidas reforzadas) 016_Sedes mantenidas</v>
      </c>
      <c r="Z59" s="149" t="str">
        <f t="shared" si="3"/>
        <v>O23011745992024020708016</v>
      </c>
      <c r="AA59" s="149" t="str">
        <f>IFERROR(VLOOKUP(Y59,TD!$K$46:$L$64,2,0)," ")</f>
        <v>PM/0131/0108/45990160207</v>
      </c>
      <c r="AB59" s="148" t="s">
        <v>139</v>
      </c>
      <c r="AC59" s="178" t="s">
        <v>206</v>
      </c>
    </row>
    <row r="60" spans="2:29" s="28" customFormat="1" ht="57">
      <c r="B60" s="196">
        <v>20241080</v>
      </c>
      <c r="C60" s="142" t="s">
        <v>209</v>
      </c>
      <c r="D60" s="143" t="s">
        <v>167</v>
      </c>
      <c r="E60" s="144" t="s">
        <v>839</v>
      </c>
      <c r="F60" s="143" t="s">
        <v>904</v>
      </c>
      <c r="G60" s="143" t="s">
        <v>110</v>
      </c>
      <c r="H60" s="179" t="s">
        <v>905</v>
      </c>
      <c r="I60" s="146">
        <v>11</v>
      </c>
      <c r="J60" s="146">
        <v>2</v>
      </c>
      <c r="K60" s="147">
        <v>0</v>
      </c>
      <c r="L60" s="148">
        <f>80000000-78042036+762022085</f>
        <v>763980049</v>
      </c>
      <c r="M60" s="143" t="s">
        <v>173</v>
      </c>
      <c r="N60" s="148" t="s">
        <v>96</v>
      </c>
      <c r="O60" s="144" t="s">
        <v>219</v>
      </c>
      <c r="P60" s="149" t="str">
        <f>IFERROR(VLOOKUP(C60,TD!$B$32:$F$36,2,0)," ")</f>
        <v>O230117</v>
      </c>
      <c r="Q60" s="149" t="str">
        <f>IFERROR(VLOOKUP(C60,TD!$B$32:$F$36,3,0)," ")</f>
        <v>4599</v>
      </c>
      <c r="R60" s="149">
        <f>IFERROR(VLOOKUP(C60,TD!$B$32:$F$36,4,0)," ")</f>
        <v>20240207</v>
      </c>
      <c r="S60" s="144" t="s">
        <v>186</v>
      </c>
      <c r="T60" s="149" t="str">
        <f>IFERROR(VLOOKUP(S60,TD!$J$33:$K$43,2,0)," ")</f>
        <v>Infraestructura física, mantenimiento y dotación (Sedes construidas, mantenidas reforzadas)</v>
      </c>
      <c r="U60" s="54" t="str">
        <f t="shared" si="0"/>
        <v>08-Infraestructura física, mantenimiento y dotación (Sedes construidas, mantenidas reforzadas)</v>
      </c>
      <c r="V60" s="144" t="s">
        <v>239</v>
      </c>
      <c r="W60" s="149" t="str">
        <f>IFERROR(VLOOKUP(V60,TD!$N$33:$O$45,2,0)," ")</f>
        <v>Sedes mantenidas</v>
      </c>
      <c r="X60" s="54" t="str">
        <f t="shared" si="1"/>
        <v>016_Sedes mantenidas</v>
      </c>
      <c r="Y60" s="54" t="str">
        <f t="shared" si="2"/>
        <v>08-Infraestructura física, mantenimiento y dotación (Sedes construidas, mantenidas reforzadas) 016_Sedes mantenidas</v>
      </c>
      <c r="Z60" s="149" t="str">
        <f t="shared" si="3"/>
        <v>O23011745992024020708016</v>
      </c>
      <c r="AA60" s="149" t="str">
        <f>IFERROR(VLOOKUP(Y60,TD!$K$46:$L$64,2,0)," ")</f>
        <v>PM/0131/0108/45990160207</v>
      </c>
      <c r="AB60" s="148" t="s">
        <v>139</v>
      </c>
      <c r="AC60" s="178" t="s">
        <v>205</v>
      </c>
    </row>
    <row r="61" spans="2:29" s="28" customFormat="1" ht="42.75">
      <c r="B61" s="195">
        <v>20241105</v>
      </c>
      <c r="C61" s="142" t="s">
        <v>347</v>
      </c>
      <c r="D61" s="143" t="s">
        <v>167</v>
      </c>
      <c r="E61" s="144" t="s">
        <v>839</v>
      </c>
      <c r="F61" s="143" t="s">
        <v>548</v>
      </c>
      <c r="G61" s="143" t="s">
        <v>97</v>
      </c>
      <c r="H61" s="179" t="s">
        <v>586</v>
      </c>
      <c r="I61" s="146">
        <v>8</v>
      </c>
      <c r="J61" s="146">
        <v>4</v>
      </c>
      <c r="K61" s="147">
        <v>0</v>
      </c>
      <c r="L61" s="148">
        <f>79836411-43836411</f>
        <v>36000000</v>
      </c>
      <c r="M61" s="143" t="s">
        <v>173</v>
      </c>
      <c r="N61" s="148" t="s">
        <v>124</v>
      </c>
      <c r="O61" s="144" t="s">
        <v>348</v>
      </c>
      <c r="P61" s="149" t="str">
        <f>IFERROR(VLOOKUP(C61,TD!$B$32:$F$36,2,0)," ")</f>
        <v>NA</v>
      </c>
      <c r="Q61" s="149" t="str">
        <f>IFERROR(VLOOKUP(C61,TD!$B$32:$F$36,3,0)," ")</f>
        <v>NA</v>
      </c>
      <c r="R61" s="149" t="str">
        <f>IFERROR(VLOOKUP(C61,TD!$B$32:$F$36,4,0)," ")</f>
        <v>NA</v>
      </c>
      <c r="S61" s="144" t="s">
        <v>546</v>
      </c>
      <c r="T61" s="149" t="str">
        <f>IFERROR(VLOOKUP(S61,TD!$J$33:$K$43,2,0)," ")</f>
        <v>N/A</v>
      </c>
      <c r="U61" s="54" t="str">
        <f t="shared" si="0"/>
        <v>N/A-N/A</v>
      </c>
      <c r="V61" s="144" t="s">
        <v>546</v>
      </c>
      <c r="W61" s="149" t="str">
        <f>IFERROR(VLOOKUP(V61,TD!$N$33:$O$45,2,0)," ")</f>
        <v>N/A</v>
      </c>
      <c r="X61" s="54" t="str">
        <f t="shared" si="1"/>
        <v>N/A_N/A</v>
      </c>
      <c r="Y61" s="54" t="str">
        <f t="shared" si="2"/>
        <v>N/A-N/A N/A_N/A</v>
      </c>
      <c r="Z61" s="149" t="str">
        <f t="shared" si="3"/>
        <v>NANANAN/AN/A</v>
      </c>
      <c r="AA61" s="149" t="str">
        <f>IFERROR(VLOOKUP(Y61,TD!$K$46:$L$64,2,0)," ")</f>
        <v>N/A</v>
      </c>
      <c r="AB61" s="148" t="s">
        <v>349</v>
      </c>
      <c r="AC61" s="178" t="s">
        <v>206</v>
      </c>
    </row>
    <row r="62" spans="2:29" s="28" customFormat="1" ht="57">
      <c r="B62" s="195">
        <v>20241109</v>
      </c>
      <c r="C62" s="142" t="s">
        <v>347</v>
      </c>
      <c r="D62" s="143" t="s">
        <v>167</v>
      </c>
      <c r="E62" s="144" t="s">
        <v>839</v>
      </c>
      <c r="F62" s="143" t="s">
        <v>583</v>
      </c>
      <c r="G62" s="143" t="s">
        <v>156</v>
      </c>
      <c r="H62" s="179" t="s">
        <v>587</v>
      </c>
      <c r="I62" s="146">
        <v>8</v>
      </c>
      <c r="J62" s="146">
        <v>5</v>
      </c>
      <c r="K62" s="147">
        <v>0</v>
      </c>
      <c r="L62" s="148">
        <f>21775600-182405-1231595</f>
        <v>20361600</v>
      </c>
      <c r="M62" s="143" t="s">
        <v>173</v>
      </c>
      <c r="N62" s="148" t="s">
        <v>114</v>
      </c>
      <c r="O62" s="144" t="s">
        <v>348</v>
      </c>
      <c r="P62" s="149" t="str">
        <f>IFERROR(VLOOKUP(C62,TD!$B$32:$F$36,2,0)," ")</f>
        <v>NA</v>
      </c>
      <c r="Q62" s="149" t="str">
        <f>IFERROR(VLOOKUP(C62,TD!$B$32:$F$36,3,0)," ")</f>
        <v>NA</v>
      </c>
      <c r="R62" s="149" t="str">
        <f>IFERROR(VLOOKUP(C62,TD!$B$32:$F$36,4,0)," ")</f>
        <v>NA</v>
      </c>
      <c r="S62" s="144" t="s">
        <v>546</v>
      </c>
      <c r="T62" s="149" t="str">
        <f>IFERROR(VLOOKUP(S62,TD!$J$33:$K$43,2,0)," ")</f>
        <v>N/A</v>
      </c>
      <c r="U62" s="54" t="str">
        <f t="shared" si="0"/>
        <v>N/A-N/A</v>
      </c>
      <c r="V62" s="144" t="s">
        <v>546</v>
      </c>
      <c r="W62" s="149" t="str">
        <f>IFERROR(VLOOKUP(V62,TD!$N$33:$O$45,2,0)," ")</f>
        <v>N/A</v>
      </c>
      <c r="X62" s="54" t="str">
        <f t="shared" si="1"/>
        <v>N/A_N/A</v>
      </c>
      <c r="Y62" s="54" t="str">
        <f t="shared" si="2"/>
        <v>N/A-N/A N/A_N/A</v>
      </c>
      <c r="Z62" s="149" t="str">
        <f t="shared" si="3"/>
        <v>NANANAN/AN/A</v>
      </c>
      <c r="AA62" s="149" t="str">
        <f>IFERROR(VLOOKUP(Y62,TD!$K$46:$L$64,2,0)," ")</f>
        <v>N/A</v>
      </c>
      <c r="AB62" s="148" t="s">
        <v>349</v>
      </c>
      <c r="AC62" s="178" t="s">
        <v>205</v>
      </c>
    </row>
    <row r="63" spans="2:29" s="28" customFormat="1" ht="57">
      <c r="B63" s="195">
        <v>20241110</v>
      </c>
      <c r="C63" s="142" t="s">
        <v>347</v>
      </c>
      <c r="D63" s="143" t="s">
        <v>167</v>
      </c>
      <c r="E63" s="144" t="s">
        <v>839</v>
      </c>
      <c r="F63" s="143" t="s">
        <v>583</v>
      </c>
      <c r="G63" s="143" t="s">
        <v>156</v>
      </c>
      <c r="H63" s="179" t="s">
        <v>587</v>
      </c>
      <c r="I63" s="146">
        <v>8</v>
      </c>
      <c r="J63" s="146">
        <v>5</v>
      </c>
      <c r="K63" s="147">
        <v>0</v>
      </c>
      <c r="L63" s="148">
        <f>25452000-4090400-1000000</f>
        <v>20361600</v>
      </c>
      <c r="M63" s="143" t="s">
        <v>173</v>
      </c>
      <c r="N63" s="148" t="s">
        <v>114</v>
      </c>
      <c r="O63" s="144" t="s">
        <v>348</v>
      </c>
      <c r="P63" s="149" t="str">
        <f>IFERROR(VLOOKUP(C63,TD!$B$32:$F$36,2,0)," ")</f>
        <v>NA</v>
      </c>
      <c r="Q63" s="149" t="str">
        <f>IFERROR(VLOOKUP(C63,TD!$B$32:$F$36,3,0)," ")</f>
        <v>NA</v>
      </c>
      <c r="R63" s="149" t="str">
        <f>IFERROR(VLOOKUP(C63,TD!$B$32:$F$36,4,0)," ")</f>
        <v>NA</v>
      </c>
      <c r="S63" s="144" t="s">
        <v>546</v>
      </c>
      <c r="T63" s="149" t="str">
        <f>IFERROR(VLOOKUP(S63,TD!$J$33:$K$43,2,0)," ")</f>
        <v>N/A</v>
      </c>
      <c r="U63" s="54" t="str">
        <f t="shared" si="0"/>
        <v>N/A-N/A</v>
      </c>
      <c r="V63" s="144" t="s">
        <v>546</v>
      </c>
      <c r="W63" s="149" t="str">
        <f>IFERROR(VLOOKUP(V63,TD!$N$33:$O$45,2,0)," ")</f>
        <v>N/A</v>
      </c>
      <c r="X63" s="54" t="str">
        <f t="shared" si="1"/>
        <v>N/A_N/A</v>
      </c>
      <c r="Y63" s="54" t="str">
        <f t="shared" si="2"/>
        <v>N/A-N/A N/A_N/A</v>
      </c>
      <c r="Z63" s="149" t="str">
        <f t="shared" si="3"/>
        <v>NANANAN/AN/A</v>
      </c>
      <c r="AA63" s="149" t="str">
        <f>IFERROR(VLOOKUP(Y63,TD!$K$46:$L$64,2,0)," ")</f>
        <v>N/A</v>
      </c>
      <c r="AB63" s="148" t="s">
        <v>349</v>
      </c>
      <c r="AC63" s="178" t="s">
        <v>205</v>
      </c>
    </row>
    <row r="64" spans="2:29" s="28" customFormat="1" ht="42.75">
      <c r="B64" s="196">
        <v>20241116</v>
      </c>
      <c r="C64" s="142" t="s">
        <v>209</v>
      </c>
      <c r="D64" s="143" t="s">
        <v>163</v>
      </c>
      <c r="E64" s="144" t="s">
        <v>364</v>
      </c>
      <c r="F64" s="143" t="s">
        <v>601</v>
      </c>
      <c r="G64" s="143" t="s">
        <v>155</v>
      </c>
      <c r="H64" s="145" t="s">
        <v>633</v>
      </c>
      <c r="I64" s="146">
        <v>11</v>
      </c>
      <c r="J64" s="146">
        <v>6</v>
      </c>
      <c r="K64" s="147">
        <v>0</v>
      </c>
      <c r="L64" s="148">
        <f>40000000+31795333+4833492-12855658-20000000-2400000-35139436-138332</f>
        <v>6095399</v>
      </c>
      <c r="M64" s="143" t="s">
        <v>173</v>
      </c>
      <c r="N64" s="148" t="s">
        <v>101</v>
      </c>
      <c r="O64" s="144" t="s">
        <v>217</v>
      </c>
      <c r="P64" s="149" t="str">
        <f>IFERROR(VLOOKUP(C64,TD!$B$32:$F$36,2,0)," ")</f>
        <v>O230117</v>
      </c>
      <c r="Q64" s="149" t="str">
        <f>IFERROR(VLOOKUP(C64,TD!$B$32:$F$36,3,0)," ")</f>
        <v>4599</v>
      </c>
      <c r="R64" s="149">
        <f>IFERROR(VLOOKUP(C64,TD!$B$32:$F$36,4,0)," ")</f>
        <v>20240207</v>
      </c>
      <c r="S64" s="144" t="s">
        <v>180</v>
      </c>
      <c r="T64" s="149" t="str">
        <f>IFERROR(VLOOKUP(S64,TD!$J$33:$K$43,2,0)," ")</f>
        <v>Infraestructura Tecnológica   (Sistemas de Información y Tecnologia)</v>
      </c>
      <c r="U64" s="54" t="str">
        <f t="shared" si="0"/>
        <v>11-Infraestructura Tecnológica   (Sistemas de Información y Tecnologia)</v>
      </c>
      <c r="V64" s="144" t="s">
        <v>240</v>
      </c>
      <c r="W64" s="149" t="str">
        <f>IFERROR(VLOOKUP(V64,TD!$N$33:$O$45,2,0)," ")</f>
        <v>Servicios tecnológicos</v>
      </c>
      <c r="X64" s="54" t="str">
        <f t="shared" si="1"/>
        <v>007_Servicios tecnológicos</v>
      </c>
      <c r="Y64" s="54" t="str">
        <f t="shared" si="2"/>
        <v>11-Infraestructura Tecnológica   (Sistemas de Información y Tecnologia) 007_Servicios tecnológicos</v>
      </c>
      <c r="Z64" s="149" t="str">
        <f t="shared" si="3"/>
        <v>O23011745992024020711007</v>
      </c>
      <c r="AA64" s="149" t="str">
        <f>IFERROR(VLOOKUP(Y64,TD!$K$46:$L$64,2,0)," ")</f>
        <v>PM/0131/0111/45990070207</v>
      </c>
      <c r="AB64" s="148" t="s">
        <v>126</v>
      </c>
      <c r="AC64" s="178" t="s">
        <v>205</v>
      </c>
    </row>
    <row r="65" spans="2:29" s="28" customFormat="1" ht="42.75">
      <c r="B65" s="195">
        <v>20241121</v>
      </c>
      <c r="C65" s="142" t="s">
        <v>209</v>
      </c>
      <c r="D65" s="143" t="s">
        <v>163</v>
      </c>
      <c r="E65" s="144" t="s">
        <v>364</v>
      </c>
      <c r="F65" s="143" t="s">
        <v>603</v>
      </c>
      <c r="G65" s="143" t="s">
        <v>140</v>
      </c>
      <c r="H65" s="145" t="s">
        <v>634</v>
      </c>
      <c r="I65" s="146">
        <v>11</v>
      </c>
      <c r="J65" s="146">
        <v>3</v>
      </c>
      <c r="K65" s="147">
        <v>15</v>
      </c>
      <c r="L65" s="148">
        <f>38336572+11663428-50000000+50000000</f>
        <v>50000000</v>
      </c>
      <c r="M65" s="143" t="s">
        <v>173</v>
      </c>
      <c r="N65" s="148" t="s">
        <v>114</v>
      </c>
      <c r="O65" s="144" t="s">
        <v>215</v>
      </c>
      <c r="P65" s="149" t="str">
        <f>IFERROR(VLOOKUP(C65,TD!$B$32:$F$36,2,0)," ")</f>
        <v>O230117</v>
      </c>
      <c r="Q65" s="149" t="str">
        <f>IFERROR(VLOOKUP(C65,TD!$B$32:$F$36,3,0)," ")</f>
        <v>4599</v>
      </c>
      <c r="R65" s="149">
        <f>IFERROR(VLOOKUP(C65,TD!$B$32:$F$36,4,0)," ")</f>
        <v>20240207</v>
      </c>
      <c r="S65" s="144" t="s">
        <v>180</v>
      </c>
      <c r="T65" s="149" t="str">
        <f>IFERROR(VLOOKUP(S65,TD!$J$33:$K$43,2,0)," ")</f>
        <v>Infraestructura Tecnológica   (Sistemas de Información y Tecnologia)</v>
      </c>
      <c r="U65" s="54" t="str">
        <f t="shared" si="0"/>
        <v>11-Infraestructura Tecnológica   (Sistemas de Información y Tecnologia)</v>
      </c>
      <c r="V65" s="144" t="s">
        <v>240</v>
      </c>
      <c r="W65" s="149" t="str">
        <f>IFERROR(VLOOKUP(V65,TD!$N$33:$O$45,2,0)," ")</f>
        <v>Servicios tecnológicos</v>
      </c>
      <c r="X65" s="54" t="str">
        <f t="shared" si="1"/>
        <v>007_Servicios tecnológicos</v>
      </c>
      <c r="Y65" s="54" t="str">
        <f t="shared" si="2"/>
        <v>11-Infraestructura Tecnológica   (Sistemas de Información y Tecnologia) 007_Servicios tecnológicos</v>
      </c>
      <c r="Z65" s="149" t="str">
        <f t="shared" si="3"/>
        <v>O23011745992024020711007</v>
      </c>
      <c r="AA65" s="149" t="str">
        <f>IFERROR(VLOOKUP(Y65,TD!$K$46:$L$64,2,0)," ")</f>
        <v>PM/0131/0111/45990070207</v>
      </c>
      <c r="AB65" s="148" t="s">
        <v>126</v>
      </c>
      <c r="AC65" s="178" t="s">
        <v>206</v>
      </c>
    </row>
    <row r="66" spans="2:29" s="28" customFormat="1" ht="57">
      <c r="B66" s="195">
        <v>20241126</v>
      </c>
      <c r="C66" s="142" t="s">
        <v>209</v>
      </c>
      <c r="D66" s="143" t="s">
        <v>163</v>
      </c>
      <c r="E66" s="144" t="s">
        <v>364</v>
      </c>
      <c r="F66" s="143" t="s">
        <v>606</v>
      </c>
      <c r="G66" s="143" t="s">
        <v>130</v>
      </c>
      <c r="H66" s="145" t="s">
        <v>637</v>
      </c>
      <c r="I66" s="146">
        <v>9</v>
      </c>
      <c r="J66" s="146">
        <v>5</v>
      </c>
      <c r="K66" s="147">
        <v>0</v>
      </c>
      <c r="L66" s="148">
        <f>30800000-30800000+71001317</f>
        <v>71001317</v>
      </c>
      <c r="M66" s="143" t="s">
        <v>173</v>
      </c>
      <c r="N66" s="148" t="s">
        <v>114</v>
      </c>
      <c r="O66" s="144" t="s">
        <v>216</v>
      </c>
      <c r="P66" s="149" t="str">
        <f>IFERROR(VLOOKUP(C66,TD!$B$32:$F$36,2,0)," ")</f>
        <v>O230117</v>
      </c>
      <c r="Q66" s="149" t="str">
        <f>IFERROR(VLOOKUP(C66,TD!$B$32:$F$36,3,0)," ")</f>
        <v>4599</v>
      </c>
      <c r="R66" s="149">
        <f>IFERROR(VLOOKUP(C66,TD!$B$32:$F$36,4,0)," ")</f>
        <v>20240207</v>
      </c>
      <c r="S66" s="144" t="s">
        <v>180</v>
      </c>
      <c r="T66" s="149" t="str">
        <f>IFERROR(VLOOKUP(S66,TD!$J$33:$K$43,2,0)," ")</f>
        <v>Infraestructura Tecnológica   (Sistemas de Información y Tecnologia)</v>
      </c>
      <c r="U66" s="54" t="str">
        <f t="shared" si="0"/>
        <v>11-Infraestructura Tecnológica   (Sistemas de Información y Tecnologia)</v>
      </c>
      <c r="V66" s="144" t="s">
        <v>240</v>
      </c>
      <c r="W66" s="149" t="str">
        <f>IFERROR(VLOOKUP(V66,TD!$N$33:$O$45,2,0)," ")</f>
        <v>Servicios tecnológicos</v>
      </c>
      <c r="X66" s="54" t="str">
        <f t="shared" si="1"/>
        <v>007_Servicios tecnológicos</v>
      </c>
      <c r="Y66" s="54" t="str">
        <f t="shared" si="2"/>
        <v>11-Infraestructura Tecnológica   (Sistemas de Información y Tecnologia) 007_Servicios tecnológicos</v>
      </c>
      <c r="Z66" s="149" t="str">
        <f t="shared" si="3"/>
        <v>O23011745992024020711007</v>
      </c>
      <c r="AA66" s="149" t="str">
        <f>IFERROR(VLOOKUP(Y66,TD!$K$46:$L$64,2,0)," ")</f>
        <v>PM/0131/0111/45990070207</v>
      </c>
      <c r="AB66" s="148" t="s">
        <v>126</v>
      </c>
      <c r="AC66" s="178" t="s">
        <v>206</v>
      </c>
    </row>
    <row r="67" spans="2:29" s="28" customFormat="1" ht="42.75">
      <c r="B67" s="196">
        <v>20241129</v>
      </c>
      <c r="C67" s="142" t="s">
        <v>209</v>
      </c>
      <c r="D67" s="143" t="s">
        <v>163</v>
      </c>
      <c r="E67" s="144" t="s">
        <v>364</v>
      </c>
      <c r="F67" s="143" t="s">
        <v>607</v>
      </c>
      <c r="G67" s="143" t="s">
        <v>150</v>
      </c>
      <c r="H67" s="145">
        <v>81112217</v>
      </c>
      <c r="I67" s="146">
        <v>10</v>
      </c>
      <c r="J67" s="146">
        <v>12</v>
      </c>
      <c r="K67" s="147">
        <v>0</v>
      </c>
      <c r="L67" s="148">
        <f>29516217-1516217+1516217-29516217+31800000</f>
        <v>31800000</v>
      </c>
      <c r="M67" s="143" t="s">
        <v>173</v>
      </c>
      <c r="N67" s="148" t="s">
        <v>114</v>
      </c>
      <c r="O67" s="144" t="s">
        <v>215</v>
      </c>
      <c r="P67" s="149" t="str">
        <f>IFERROR(VLOOKUP(C67,TD!$B$32:$F$36,2,0)," ")</f>
        <v>O230117</v>
      </c>
      <c r="Q67" s="149" t="str">
        <f>IFERROR(VLOOKUP(C67,TD!$B$32:$F$36,3,0)," ")</f>
        <v>4599</v>
      </c>
      <c r="R67" s="149">
        <f>IFERROR(VLOOKUP(C67,TD!$B$32:$F$36,4,0)," ")</f>
        <v>20240207</v>
      </c>
      <c r="S67" s="144" t="s">
        <v>180</v>
      </c>
      <c r="T67" s="149" t="str">
        <f>IFERROR(VLOOKUP(S67,TD!$J$33:$K$43,2,0)," ")</f>
        <v>Infraestructura Tecnológica   (Sistemas de Información y Tecnologia)</v>
      </c>
      <c r="U67" s="54" t="str">
        <f t="shared" si="0"/>
        <v>11-Infraestructura Tecnológica   (Sistemas de Información y Tecnologia)</v>
      </c>
      <c r="V67" s="144" t="s">
        <v>240</v>
      </c>
      <c r="W67" s="149" t="str">
        <f>IFERROR(VLOOKUP(V67,TD!$N$33:$O$45,2,0)," ")</f>
        <v>Servicios tecnológicos</v>
      </c>
      <c r="X67" s="54" t="str">
        <f t="shared" si="1"/>
        <v>007_Servicios tecnológicos</v>
      </c>
      <c r="Y67" s="54" t="str">
        <f t="shared" si="2"/>
        <v>11-Infraestructura Tecnológica   (Sistemas de Información y Tecnologia) 007_Servicios tecnológicos</v>
      </c>
      <c r="Z67" s="149" t="str">
        <f t="shared" si="3"/>
        <v>O23011745992024020711007</v>
      </c>
      <c r="AA67" s="149" t="str">
        <f>IFERROR(VLOOKUP(Y67,TD!$K$46:$L$64,2,0)," ")</f>
        <v>PM/0131/0111/45990070207</v>
      </c>
      <c r="AB67" s="148" t="s">
        <v>126</v>
      </c>
      <c r="AC67" s="178" t="s">
        <v>205</v>
      </c>
    </row>
    <row r="68" spans="2:29" s="28" customFormat="1" ht="57">
      <c r="B68" s="195">
        <v>20241137</v>
      </c>
      <c r="C68" s="142" t="s">
        <v>209</v>
      </c>
      <c r="D68" s="143" t="s">
        <v>163</v>
      </c>
      <c r="E68" s="144" t="s">
        <v>364</v>
      </c>
      <c r="F68" s="143" t="s">
        <v>614</v>
      </c>
      <c r="G68" s="143" t="s">
        <v>156</v>
      </c>
      <c r="H68" s="145">
        <v>80111600</v>
      </c>
      <c r="I68" s="146">
        <v>8</v>
      </c>
      <c r="J68" s="146">
        <v>4</v>
      </c>
      <c r="K68" s="147">
        <v>20</v>
      </c>
      <c r="L68" s="148">
        <f>43200000-23133000-333</f>
        <v>20066667</v>
      </c>
      <c r="M68" s="143" t="s">
        <v>173</v>
      </c>
      <c r="N68" s="148" t="s">
        <v>114</v>
      </c>
      <c r="O68" s="144" t="s">
        <v>216</v>
      </c>
      <c r="P68" s="149" t="str">
        <f>IFERROR(VLOOKUP(C68,TD!$B$32:$F$36,2,0)," ")</f>
        <v>O230117</v>
      </c>
      <c r="Q68" s="149" t="str">
        <f>IFERROR(VLOOKUP(C68,TD!$B$32:$F$36,3,0)," ")</f>
        <v>4599</v>
      </c>
      <c r="R68" s="149">
        <f>IFERROR(VLOOKUP(C68,TD!$B$32:$F$36,4,0)," ")</f>
        <v>20240207</v>
      </c>
      <c r="S68" s="144" t="s">
        <v>180</v>
      </c>
      <c r="T68" s="149" t="str">
        <f>IFERROR(VLOOKUP(S68,TD!$J$33:$K$43,2,0)," ")</f>
        <v>Infraestructura Tecnológica   (Sistemas de Información y Tecnologia)</v>
      </c>
      <c r="U68" s="54" t="str">
        <f t="shared" si="0"/>
        <v>11-Infraestructura Tecnológica   (Sistemas de Información y Tecnologia)</v>
      </c>
      <c r="V68" s="144" t="s">
        <v>240</v>
      </c>
      <c r="W68" s="149" t="str">
        <f>IFERROR(VLOOKUP(V68,TD!$N$33:$O$45,2,0)," ")</f>
        <v>Servicios tecnológicos</v>
      </c>
      <c r="X68" s="54" t="str">
        <f t="shared" si="1"/>
        <v>007_Servicios tecnológicos</v>
      </c>
      <c r="Y68" s="54" t="str">
        <f t="shared" si="2"/>
        <v>11-Infraestructura Tecnológica   (Sistemas de Información y Tecnologia) 007_Servicios tecnológicos</v>
      </c>
      <c r="Z68" s="149" t="str">
        <f t="shared" si="3"/>
        <v>O23011745992024020711007</v>
      </c>
      <c r="AA68" s="149" t="str">
        <f>IFERROR(VLOOKUP(Y68,TD!$K$46:$L$64,2,0)," ")</f>
        <v>PM/0131/0111/45990070207</v>
      </c>
      <c r="AB68" s="148" t="s">
        <v>139</v>
      </c>
      <c r="AC68" s="178" t="s">
        <v>205</v>
      </c>
    </row>
    <row r="69" spans="2:29" s="28" customFormat="1" ht="57">
      <c r="B69" s="195">
        <v>20241141</v>
      </c>
      <c r="C69" s="142" t="s">
        <v>209</v>
      </c>
      <c r="D69" s="143" t="s">
        <v>163</v>
      </c>
      <c r="E69" s="144" t="s">
        <v>364</v>
      </c>
      <c r="F69" s="143" t="s">
        <v>618</v>
      </c>
      <c r="G69" s="143" t="s">
        <v>156</v>
      </c>
      <c r="H69" s="145">
        <v>80111600</v>
      </c>
      <c r="I69" s="146">
        <v>9</v>
      </c>
      <c r="J69" s="146">
        <v>4</v>
      </c>
      <c r="K69" s="147">
        <v>20</v>
      </c>
      <c r="L69" s="148">
        <f>35000000-2333000-1167000</f>
        <v>31500000</v>
      </c>
      <c r="M69" s="143" t="s">
        <v>173</v>
      </c>
      <c r="N69" s="148" t="s">
        <v>114</v>
      </c>
      <c r="O69" s="144" t="s">
        <v>216</v>
      </c>
      <c r="P69" s="149" t="str">
        <f>IFERROR(VLOOKUP(C69,TD!$B$32:$F$36,2,0)," ")</f>
        <v>O230117</v>
      </c>
      <c r="Q69" s="149" t="str">
        <f>IFERROR(VLOOKUP(C69,TD!$B$32:$F$36,3,0)," ")</f>
        <v>4599</v>
      </c>
      <c r="R69" s="149">
        <f>IFERROR(VLOOKUP(C69,TD!$B$32:$F$36,4,0)," ")</f>
        <v>20240207</v>
      </c>
      <c r="S69" s="144" t="s">
        <v>180</v>
      </c>
      <c r="T69" s="149" t="str">
        <f>IFERROR(VLOOKUP(S69,TD!$J$33:$K$43,2,0)," ")</f>
        <v>Infraestructura Tecnológica   (Sistemas de Información y Tecnologia)</v>
      </c>
      <c r="U69" s="54" t="str">
        <f t="shared" si="0"/>
        <v>11-Infraestructura Tecnológica   (Sistemas de Información y Tecnologia)</v>
      </c>
      <c r="V69" s="144" t="s">
        <v>240</v>
      </c>
      <c r="W69" s="149" t="str">
        <f>IFERROR(VLOOKUP(V69,TD!$N$33:$O$45,2,0)," ")</f>
        <v>Servicios tecnológicos</v>
      </c>
      <c r="X69" s="54" t="str">
        <f t="shared" si="1"/>
        <v>007_Servicios tecnológicos</v>
      </c>
      <c r="Y69" s="54" t="str">
        <f t="shared" si="2"/>
        <v>11-Infraestructura Tecnológica   (Sistemas de Información y Tecnologia) 007_Servicios tecnológicos</v>
      </c>
      <c r="Z69" s="149" t="str">
        <f t="shared" si="3"/>
        <v>O23011745992024020711007</v>
      </c>
      <c r="AA69" s="149" t="str">
        <f>IFERROR(VLOOKUP(Y69,TD!$K$46:$L$64,2,0)," ")</f>
        <v>PM/0131/0111/45990070207</v>
      </c>
      <c r="AB69" s="148" t="s">
        <v>139</v>
      </c>
      <c r="AC69" s="178" t="s">
        <v>205</v>
      </c>
    </row>
    <row r="70" spans="2:29" s="28" customFormat="1" ht="57">
      <c r="B70" s="195">
        <v>20241143</v>
      </c>
      <c r="C70" s="142" t="s">
        <v>209</v>
      </c>
      <c r="D70" s="143" t="s">
        <v>163</v>
      </c>
      <c r="E70" s="144" t="s">
        <v>364</v>
      </c>
      <c r="F70" s="143" t="s">
        <v>620</v>
      </c>
      <c r="G70" s="143" t="s">
        <v>156</v>
      </c>
      <c r="H70" s="145">
        <v>80111600</v>
      </c>
      <c r="I70" s="146">
        <v>8</v>
      </c>
      <c r="J70" s="146">
        <v>5</v>
      </c>
      <c r="K70" s="147">
        <v>0</v>
      </c>
      <c r="L70" s="148">
        <f>47400000-7900000-5266667</f>
        <v>34233333</v>
      </c>
      <c r="M70" s="143" t="s">
        <v>173</v>
      </c>
      <c r="N70" s="148" t="s">
        <v>114</v>
      </c>
      <c r="O70" s="144" t="s">
        <v>216</v>
      </c>
      <c r="P70" s="149" t="str">
        <f>IFERROR(VLOOKUP(C70,TD!$B$32:$F$36,2,0)," ")</f>
        <v>O230117</v>
      </c>
      <c r="Q70" s="149" t="str">
        <f>IFERROR(VLOOKUP(C70,TD!$B$32:$F$36,3,0)," ")</f>
        <v>4599</v>
      </c>
      <c r="R70" s="149">
        <f>IFERROR(VLOOKUP(C70,TD!$B$32:$F$36,4,0)," ")</f>
        <v>20240207</v>
      </c>
      <c r="S70" s="144" t="s">
        <v>180</v>
      </c>
      <c r="T70" s="149" t="str">
        <f>IFERROR(VLOOKUP(S70,TD!$J$33:$K$43,2,0)," ")</f>
        <v>Infraestructura Tecnológica   (Sistemas de Información y Tecnologia)</v>
      </c>
      <c r="U70" s="54" t="str">
        <f t="shared" si="0"/>
        <v>11-Infraestructura Tecnológica   (Sistemas de Información y Tecnologia)</v>
      </c>
      <c r="V70" s="144" t="s">
        <v>240</v>
      </c>
      <c r="W70" s="149" t="str">
        <f>IFERROR(VLOOKUP(V70,TD!$N$33:$O$45,2,0)," ")</f>
        <v>Servicios tecnológicos</v>
      </c>
      <c r="X70" s="54" t="str">
        <f t="shared" si="1"/>
        <v>007_Servicios tecnológicos</v>
      </c>
      <c r="Y70" s="54" t="str">
        <f t="shared" si="2"/>
        <v>11-Infraestructura Tecnológica   (Sistemas de Información y Tecnologia) 007_Servicios tecnológicos</v>
      </c>
      <c r="Z70" s="149" t="str">
        <f t="shared" si="3"/>
        <v>O23011745992024020711007</v>
      </c>
      <c r="AA70" s="149" t="str">
        <f>IFERROR(VLOOKUP(Y70,TD!$K$46:$L$64,2,0)," ")</f>
        <v>PM/0131/0111/45990070207</v>
      </c>
      <c r="AB70" s="148" t="s">
        <v>139</v>
      </c>
      <c r="AC70" s="178" t="s">
        <v>205</v>
      </c>
    </row>
    <row r="71" spans="2:29" s="28" customFormat="1" ht="57">
      <c r="B71" s="196">
        <v>20241148</v>
      </c>
      <c r="C71" s="142" t="s">
        <v>209</v>
      </c>
      <c r="D71" s="143" t="s">
        <v>163</v>
      </c>
      <c r="E71" s="144" t="s">
        <v>364</v>
      </c>
      <c r="F71" s="143" t="s">
        <v>625</v>
      </c>
      <c r="G71" s="143" t="s">
        <v>157</v>
      </c>
      <c r="H71" s="145">
        <v>80111600</v>
      </c>
      <c r="I71" s="146">
        <v>11</v>
      </c>
      <c r="J71" s="146">
        <v>3</v>
      </c>
      <c r="K71" s="147">
        <v>0</v>
      </c>
      <c r="L71" s="148">
        <f>25476971-9476971-3200000</f>
        <v>12800000</v>
      </c>
      <c r="M71" s="143" t="s">
        <v>173</v>
      </c>
      <c r="N71" s="148" t="s">
        <v>114</v>
      </c>
      <c r="O71" s="144" t="s">
        <v>218</v>
      </c>
      <c r="P71" s="149" t="str">
        <f>IFERROR(VLOOKUP(C71,TD!$B$32:$F$36,2,0)," ")</f>
        <v>O230117</v>
      </c>
      <c r="Q71" s="149" t="str">
        <f>IFERROR(VLOOKUP(C71,TD!$B$32:$F$36,3,0)," ")</f>
        <v>4599</v>
      </c>
      <c r="R71" s="149">
        <f>IFERROR(VLOOKUP(C71,TD!$B$32:$F$36,4,0)," ")</f>
        <v>20240207</v>
      </c>
      <c r="S71" s="144" t="s">
        <v>180</v>
      </c>
      <c r="T71" s="149" t="str">
        <f>IFERROR(VLOOKUP(S71,TD!$J$33:$K$43,2,0)," ")</f>
        <v>Infraestructura Tecnológica   (Sistemas de Información y Tecnologia)</v>
      </c>
      <c r="U71" s="54" t="str">
        <f t="shared" si="0"/>
        <v>11-Infraestructura Tecnológica   (Sistemas de Información y Tecnologia)</v>
      </c>
      <c r="V71" s="144" t="s">
        <v>240</v>
      </c>
      <c r="W71" s="149" t="str">
        <f>IFERROR(VLOOKUP(V71,TD!$N$33:$O$45,2,0)," ")</f>
        <v>Servicios tecnológicos</v>
      </c>
      <c r="X71" s="54" t="str">
        <f t="shared" si="1"/>
        <v>007_Servicios tecnológicos</v>
      </c>
      <c r="Y71" s="54" t="str">
        <f t="shared" si="2"/>
        <v>11-Infraestructura Tecnológica   (Sistemas de Información y Tecnologia) 007_Servicios tecnológicos</v>
      </c>
      <c r="Z71" s="149" t="str">
        <f t="shared" si="3"/>
        <v>O23011745992024020711007</v>
      </c>
      <c r="AA71" s="149" t="str">
        <f>IFERROR(VLOOKUP(Y71,TD!$K$46:$L$64,2,0)," ")</f>
        <v>PM/0131/0111/45990070207</v>
      </c>
      <c r="AB71" s="148" t="s">
        <v>139</v>
      </c>
      <c r="AC71" s="178" t="s">
        <v>205</v>
      </c>
    </row>
    <row r="72" spans="2:29" s="28" customFormat="1" ht="57">
      <c r="B72" s="195">
        <v>20241149</v>
      </c>
      <c r="C72" s="142" t="s">
        <v>209</v>
      </c>
      <c r="D72" s="143" t="s">
        <v>163</v>
      </c>
      <c r="E72" s="144" t="s">
        <v>364</v>
      </c>
      <c r="F72" s="143" t="s">
        <v>626</v>
      </c>
      <c r="G72" s="143" t="s">
        <v>157</v>
      </c>
      <c r="H72" s="145">
        <v>80111600</v>
      </c>
      <c r="I72" s="146">
        <v>9</v>
      </c>
      <c r="J72" s="146">
        <v>4</v>
      </c>
      <c r="K72" s="147">
        <v>0</v>
      </c>
      <c r="L72" s="148">
        <f>17500000-1500000-1000000</f>
        <v>15000000</v>
      </c>
      <c r="M72" s="143" t="s">
        <v>173</v>
      </c>
      <c r="N72" s="148" t="s">
        <v>114</v>
      </c>
      <c r="O72" s="144" t="s">
        <v>216</v>
      </c>
      <c r="P72" s="149" t="str">
        <f>IFERROR(VLOOKUP(C72,TD!$B$32:$F$36,2,0)," ")</f>
        <v>O230117</v>
      </c>
      <c r="Q72" s="149" t="str">
        <f>IFERROR(VLOOKUP(C72,TD!$B$32:$F$36,3,0)," ")</f>
        <v>4599</v>
      </c>
      <c r="R72" s="149">
        <f>IFERROR(VLOOKUP(C72,TD!$B$32:$F$36,4,0)," ")</f>
        <v>20240207</v>
      </c>
      <c r="S72" s="144" t="s">
        <v>180</v>
      </c>
      <c r="T72" s="149" t="str">
        <f>IFERROR(VLOOKUP(S72,TD!$J$33:$K$43,2,0)," ")</f>
        <v>Infraestructura Tecnológica   (Sistemas de Información y Tecnologia)</v>
      </c>
      <c r="U72" s="54" t="str">
        <f t="shared" si="0"/>
        <v>11-Infraestructura Tecnológica   (Sistemas de Información y Tecnologia)</v>
      </c>
      <c r="V72" s="144" t="s">
        <v>240</v>
      </c>
      <c r="W72" s="149" t="str">
        <f>IFERROR(VLOOKUP(V72,TD!$N$33:$O$45,2,0)," ")</f>
        <v>Servicios tecnológicos</v>
      </c>
      <c r="X72" s="54" t="str">
        <f t="shared" si="1"/>
        <v>007_Servicios tecnológicos</v>
      </c>
      <c r="Y72" s="54" t="str">
        <f t="shared" si="2"/>
        <v>11-Infraestructura Tecnológica   (Sistemas de Información y Tecnologia) 007_Servicios tecnológicos</v>
      </c>
      <c r="Z72" s="149" t="str">
        <f t="shared" si="3"/>
        <v>O23011745992024020711007</v>
      </c>
      <c r="AA72" s="149" t="str">
        <f>IFERROR(VLOOKUP(Y72,TD!$K$46:$L$64,2,0)," ")</f>
        <v>PM/0131/0111/45990070207</v>
      </c>
      <c r="AB72" s="148" t="s">
        <v>139</v>
      </c>
      <c r="AC72" s="178" t="s">
        <v>205</v>
      </c>
    </row>
    <row r="73" spans="2:29" s="28" customFormat="1" ht="57">
      <c r="B73" s="195">
        <v>20241152</v>
      </c>
      <c r="C73" s="142" t="s">
        <v>209</v>
      </c>
      <c r="D73" s="143" t="s">
        <v>163</v>
      </c>
      <c r="E73" s="144" t="s">
        <v>364</v>
      </c>
      <c r="F73" s="143" t="s">
        <v>628</v>
      </c>
      <c r="G73" s="143" t="s">
        <v>157</v>
      </c>
      <c r="H73" s="145">
        <v>80111600</v>
      </c>
      <c r="I73" s="146">
        <v>8</v>
      </c>
      <c r="J73" s="146">
        <v>5</v>
      </c>
      <c r="K73" s="147">
        <v>0</v>
      </c>
      <c r="L73" s="148">
        <f>21600000-4788000-2412000</f>
        <v>14400000</v>
      </c>
      <c r="M73" s="143" t="s">
        <v>173</v>
      </c>
      <c r="N73" s="148" t="s">
        <v>114</v>
      </c>
      <c r="O73" s="144" t="s">
        <v>216</v>
      </c>
      <c r="P73" s="149" t="str">
        <f>IFERROR(VLOOKUP(C73,TD!$B$32:$F$36,2,0)," ")</f>
        <v>O230117</v>
      </c>
      <c r="Q73" s="149" t="str">
        <f>IFERROR(VLOOKUP(C73,TD!$B$32:$F$36,3,0)," ")</f>
        <v>4599</v>
      </c>
      <c r="R73" s="149">
        <f>IFERROR(VLOOKUP(C73,TD!$B$32:$F$36,4,0)," ")</f>
        <v>20240207</v>
      </c>
      <c r="S73" s="144" t="s">
        <v>180</v>
      </c>
      <c r="T73" s="149" t="str">
        <f>IFERROR(VLOOKUP(S73,TD!$J$33:$K$43,2,0)," ")</f>
        <v>Infraestructura Tecnológica   (Sistemas de Información y Tecnologia)</v>
      </c>
      <c r="U73" s="54" t="str">
        <f t="shared" si="0"/>
        <v>11-Infraestructura Tecnológica   (Sistemas de Información y Tecnologia)</v>
      </c>
      <c r="V73" s="144" t="s">
        <v>240</v>
      </c>
      <c r="W73" s="149" t="str">
        <f>IFERROR(VLOOKUP(V73,TD!$N$33:$O$45,2,0)," ")</f>
        <v>Servicios tecnológicos</v>
      </c>
      <c r="X73" s="54" t="str">
        <f t="shared" si="1"/>
        <v>007_Servicios tecnológicos</v>
      </c>
      <c r="Y73" s="54" t="str">
        <f t="shared" si="2"/>
        <v>11-Infraestructura Tecnológica   (Sistemas de Información y Tecnologia) 007_Servicios tecnológicos</v>
      </c>
      <c r="Z73" s="149" t="str">
        <f t="shared" si="3"/>
        <v>O23011745992024020711007</v>
      </c>
      <c r="AA73" s="149" t="str">
        <f>IFERROR(VLOOKUP(Y73,TD!$K$46:$L$64,2,0)," ")</f>
        <v>PM/0131/0111/45990070207</v>
      </c>
      <c r="AB73" s="148" t="s">
        <v>139</v>
      </c>
      <c r="AC73" s="178" t="s">
        <v>205</v>
      </c>
    </row>
    <row r="74" spans="2:29" s="28" customFormat="1" ht="57">
      <c r="B74" s="195">
        <v>20241153</v>
      </c>
      <c r="C74" s="142" t="s">
        <v>209</v>
      </c>
      <c r="D74" s="143" t="s">
        <v>163</v>
      </c>
      <c r="E74" s="144" t="s">
        <v>364</v>
      </c>
      <c r="F74" s="143" t="s">
        <v>629</v>
      </c>
      <c r="G74" s="143" t="s">
        <v>156</v>
      </c>
      <c r="H74" s="145">
        <v>80111600</v>
      </c>
      <c r="I74" s="146">
        <v>9</v>
      </c>
      <c r="J74" s="146">
        <v>4</v>
      </c>
      <c r="K74" s="147">
        <v>20</v>
      </c>
      <c r="L74" s="148">
        <f>30000000-2000000-3200000</f>
        <v>24800000</v>
      </c>
      <c r="M74" s="143" t="s">
        <v>173</v>
      </c>
      <c r="N74" s="148" t="s">
        <v>114</v>
      </c>
      <c r="O74" s="144" t="s">
        <v>217</v>
      </c>
      <c r="P74" s="149" t="str">
        <f>IFERROR(VLOOKUP(C74,TD!$B$32:$F$36,2,0)," ")</f>
        <v>O230117</v>
      </c>
      <c r="Q74" s="149" t="str">
        <f>IFERROR(VLOOKUP(C74,TD!$B$32:$F$36,3,0)," ")</f>
        <v>4599</v>
      </c>
      <c r="R74" s="149">
        <f>IFERROR(VLOOKUP(C74,TD!$B$32:$F$36,4,0)," ")</f>
        <v>20240207</v>
      </c>
      <c r="S74" s="144" t="s">
        <v>180</v>
      </c>
      <c r="T74" s="149" t="str">
        <f>IFERROR(VLOOKUP(S74,TD!$J$33:$K$43,2,0)," ")</f>
        <v>Infraestructura Tecnológica   (Sistemas de Información y Tecnologia)</v>
      </c>
      <c r="U74" s="54" t="str">
        <f t="shared" si="0"/>
        <v>11-Infraestructura Tecnológica   (Sistemas de Información y Tecnologia)</v>
      </c>
      <c r="V74" s="144" t="s">
        <v>240</v>
      </c>
      <c r="W74" s="149" t="str">
        <f>IFERROR(VLOOKUP(V74,TD!$N$33:$O$45,2,0)," ")</f>
        <v>Servicios tecnológicos</v>
      </c>
      <c r="X74" s="54" t="str">
        <f t="shared" si="1"/>
        <v>007_Servicios tecnológicos</v>
      </c>
      <c r="Y74" s="54" t="str">
        <f t="shared" si="2"/>
        <v>11-Infraestructura Tecnológica   (Sistemas de Información y Tecnologia) 007_Servicios tecnológicos</v>
      </c>
      <c r="Z74" s="149" t="str">
        <f t="shared" si="3"/>
        <v>O23011745992024020711007</v>
      </c>
      <c r="AA74" s="149" t="str">
        <f>IFERROR(VLOOKUP(Y74,TD!$K$46:$L$64,2,0)," ")</f>
        <v>PM/0131/0111/45990070207</v>
      </c>
      <c r="AB74" s="148" t="s">
        <v>139</v>
      </c>
      <c r="AC74" s="178" t="s">
        <v>205</v>
      </c>
    </row>
    <row r="75" spans="2:29" s="28" customFormat="1" ht="57">
      <c r="B75" s="196">
        <v>20241165</v>
      </c>
      <c r="C75" s="142" t="s">
        <v>347</v>
      </c>
      <c r="D75" s="143" t="s">
        <v>166</v>
      </c>
      <c r="E75" s="144" t="s">
        <v>857</v>
      </c>
      <c r="F75" s="143" t="s">
        <v>646</v>
      </c>
      <c r="G75" s="143" t="s">
        <v>97</v>
      </c>
      <c r="H75" s="179" t="s">
        <v>650</v>
      </c>
      <c r="I75" s="146">
        <v>7</v>
      </c>
      <c r="J75" s="146">
        <v>7</v>
      </c>
      <c r="K75" s="147">
        <v>0</v>
      </c>
      <c r="L75" s="148">
        <f>284500000-124500000-10000000-20000000-30000000</f>
        <v>100000000</v>
      </c>
      <c r="M75" s="143" t="s">
        <v>173</v>
      </c>
      <c r="N75" s="148" t="s">
        <v>91</v>
      </c>
      <c r="O75" s="144" t="s">
        <v>348</v>
      </c>
      <c r="P75" s="149" t="str">
        <f>IFERROR(VLOOKUP(C75,TD!$B$32:$F$36,2,0)," ")</f>
        <v>NA</v>
      </c>
      <c r="Q75" s="149" t="str">
        <f>IFERROR(VLOOKUP(C75,TD!$B$32:$F$36,3,0)," ")</f>
        <v>NA</v>
      </c>
      <c r="R75" s="149" t="str">
        <f>IFERROR(VLOOKUP(C75,TD!$B$32:$F$36,4,0)," ")</f>
        <v>NA</v>
      </c>
      <c r="S75" s="144" t="s">
        <v>546</v>
      </c>
      <c r="T75" s="149" t="str">
        <f>IFERROR(VLOOKUP(S75,TD!$J$33:$K$43,2,0)," ")</f>
        <v>N/A</v>
      </c>
      <c r="U75" s="54" t="str">
        <f t="shared" ref="U75:U138" si="4">CONCATENATE(S75,"-",T75)</f>
        <v>N/A-N/A</v>
      </c>
      <c r="V75" s="144" t="s">
        <v>546</v>
      </c>
      <c r="W75" s="149" t="str">
        <f>IFERROR(VLOOKUP(V75,TD!$N$33:$O$45,2,0)," ")</f>
        <v>N/A</v>
      </c>
      <c r="X75" s="54" t="str">
        <f t="shared" ref="X75:X138" si="5">CONCATENATE(V75,"_",W75)</f>
        <v>N/A_N/A</v>
      </c>
      <c r="Y75" s="54" t="str">
        <f t="shared" ref="Y75:Y138" si="6">CONCATENATE(U75," ",X75)</f>
        <v>N/A-N/A N/A_N/A</v>
      </c>
      <c r="Z75" s="149" t="str">
        <f t="shared" ref="Z75:Z138" si="7">CONCATENATE(P75,Q75,R75,S75,V75)</f>
        <v>NANANAN/AN/A</v>
      </c>
      <c r="AA75" s="149" t="str">
        <f>IFERROR(VLOOKUP(Y75,TD!$K$46:$L$64,2,0)," ")</f>
        <v>N/A</v>
      </c>
      <c r="AB75" s="148" t="s">
        <v>139</v>
      </c>
      <c r="AC75" s="178" t="s">
        <v>205</v>
      </c>
    </row>
    <row r="76" spans="2:29" s="28" customFormat="1" ht="42.75">
      <c r="B76" s="196">
        <v>20241166</v>
      </c>
      <c r="C76" s="142" t="s">
        <v>347</v>
      </c>
      <c r="D76" s="143" t="s">
        <v>166</v>
      </c>
      <c r="E76" s="144" t="s">
        <v>857</v>
      </c>
      <c r="F76" s="143" t="s">
        <v>647</v>
      </c>
      <c r="G76" s="143" t="s">
        <v>97</v>
      </c>
      <c r="H76" s="179" t="s">
        <v>651</v>
      </c>
      <c r="I76" s="146">
        <v>11</v>
      </c>
      <c r="J76" s="146">
        <v>4</v>
      </c>
      <c r="K76" s="147">
        <v>0</v>
      </c>
      <c r="L76" s="148">
        <f>50000000+20000000</f>
        <v>70000000</v>
      </c>
      <c r="M76" s="143" t="s">
        <v>173</v>
      </c>
      <c r="N76" s="148" t="s">
        <v>91</v>
      </c>
      <c r="O76" s="144" t="s">
        <v>348</v>
      </c>
      <c r="P76" s="149" t="str">
        <f>IFERROR(VLOOKUP(C76,TD!$B$32:$F$36,2,0)," ")</f>
        <v>NA</v>
      </c>
      <c r="Q76" s="149" t="str">
        <f>IFERROR(VLOOKUP(C76,TD!$B$32:$F$36,3,0)," ")</f>
        <v>NA</v>
      </c>
      <c r="R76" s="149" t="str">
        <f>IFERROR(VLOOKUP(C76,TD!$B$32:$F$36,4,0)," ")</f>
        <v>NA</v>
      </c>
      <c r="S76" s="144" t="s">
        <v>546</v>
      </c>
      <c r="T76" s="149" t="str">
        <f>IFERROR(VLOOKUP(S76,TD!$J$33:$K$43,2,0)," ")</f>
        <v>N/A</v>
      </c>
      <c r="U76" s="54" t="str">
        <f t="shared" si="4"/>
        <v>N/A-N/A</v>
      </c>
      <c r="V76" s="144" t="s">
        <v>546</v>
      </c>
      <c r="W76" s="149" t="str">
        <f>IFERROR(VLOOKUP(V76,TD!$N$33:$O$45,2,0)," ")</f>
        <v>N/A</v>
      </c>
      <c r="X76" s="54" t="str">
        <f t="shared" si="5"/>
        <v>N/A_N/A</v>
      </c>
      <c r="Y76" s="54" t="str">
        <f t="shared" si="6"/>
        <v>N/A-N/A N/A_N/A</v>
      </c>
      <c r="Z76" s="149" t="str">
        <f t="shared" si="7"/>
        <v>NANANAN/AN/A</v>
      </c>
      <c r="AA76" s="149" t="str">
        <f>IFERROR(VLOOKUP(Y76,TD!$K$46:$L$64,2,0)," ")</f>
        <v>N/A</v>
      </c>
      <c r="AB76" s="148" t="s">
        <v>139</v>
      </c>
      <c r="AC76" s="178" t="s">
        <v>205</v>
      </c>
    </row>
    <row r="77" spans="2:29" s="28" customFormat="1" ht="42.75">
      <c r="B77" s="196">
        <v>20241168</v>
      </c>
      <c r="C77" s="142" t="s">
        <v>347</v>
      </c>
      <c r="D77" s="143" t="s">
        <v>166</v>
      </c>
      <c r="E77" s="144" t="s">
        <v>857</v>
      </c>
      <c r="F77" s="143" t="s">
        <v>649</v>
      </c>
      <c r="G77" s="143" t="s">
        <v>97</v>
      </c>
      <c r="H77" s="145">
        <v>80101700</v>
      </c>
      <c r="I77" s="146">
        <v>11</v>
      </c>
      <c r="J77" s="146">
        <v>2</v>
      </c>
      <c r="K77" s="147">
        <v>0</v>
      </c>
      <c r="L77" s="148">
        <f>10000000+10000000+30000000</f>
        <v>50000000</v>
      </c>
      <c r="M77" s="143" t="s">
        <v>173</v>
      </c>
      <c r="N77" s="148" t="s">
        <v>101</v>
      </c>
      <c r="O77" s="144" t="s">
        <v>348</v>
      </c>
      <c r="P77" s="149" t="str">
        <f>IFERROR(VLOOKUP(C77,TD!$B$32:$F$36,2,0)," ")</f>
        <v>NA</v>
      </c>
      <c r="Q77" s="149" t="str">
        <f>IFERROR(VLOOKUP(C77,TD!$B$32:$F$36,3,0)," ")</f>
        <v>NA</v>
      </c>
      <c r="R77" s="149" t="str">
        <f>IFERROR(VLOOKUP(C77,TD!$B$32:$F$36,4,0)," ")</f>
        <v>NA</v>
      </c>
      <c r="S77" s="144" t="s">
        <v>546</v>
      </c>
      <c r="T77" s="149" t="str">
        <f>IFERROR(VLOOKUP(S77,TD!$J$33:$K$43,2,0)," ")</f>
        <v>N/A</v>
      </c>
      <c r="U77" s="54" t="str">
        <f t="shared" si="4"/>
        <v>N/A-N/A</v>
      </c>
      <c r="V77" s="144" t="s">
        <v>546</v>
      </c>
      <c r="W77" s="149" t="str">
        <f>IFERROR(VLOOKUP(V77,TD!$N$33:$O$45,2,0)," ")</f>
        <v>N/A</v>
      </c>
      <c r="X77" s="54" t="str">
        <f t="shared" si="5"/>
        <v>N/A_N/A</v>
      </c>
      <c r="Y77" s="54" t="str">
        <f t="shared" si="6"/>
        <v>N/A-N/A N/A_N/A</v>
      </c>
      <c r="Z77" s="149" t="str">
        <f t="shared" si="7"/>
        <v>NANANAN/AN/A</v>
      </c>
      <c r="AA77" s="149" t="str">
        <f>IFERROR(VLOOKUP(Y77,TD!$K$46:$L$64,2,0)," ")</f>
        <v>N/A</v>
      </c>
      <c r="AB77" s="148" t="s">
        <v>139</v>
      </c>
      <c r="AC77" s="178" t="s">
        <v>205</v>
      </c>
    </row>
    <row r="78" spans="2:29" s="28" customFormat="1" ht="57">
      <c r="B78" s="196">
        <v>20241207</v>
      </c>
      <c r="C78" s="142" t="s">
        <v>210</v>
      </c>
      <c r="D78" s="143" t="s">
        <v>167</v>
      </c>
      <c r="E78" s="144" t="s">
        <v>839</v>
      </c>
      <c r="F78" s="143" t="s">
        <v>732</v>
      </c>
      <c r="G78" s="143" t="s">
        <v>156</v>
      </c>
      <c r="H78" s="145">
        <v>80111600</v>
      </c>
      <c r="I78" s="146">
        <v>8</v>
      </c>
      <c r="J78" s="146">
        <v>3</v>
      </c>
      <c r="K78" s="147">
        <v>0</v>
      </c>
      <c r="L78" s="148">
        <f>27500000-11000000</f>
        <v>16500000</v>
      </c>
      <c r="M78" s="143" t="s">
        <v>173</v>
      </c>
      <c r="N78" s="148" t="s">
        <v>114</v>
      </c>
      <c r="O78" s="144" t="s">
        <v>228</v>
      </c>
      <c r="P78" s="149" t="str">
        <f>IFERROR(VLOOKUP(C78,TD!$B$32:$F$36,2,0)," ")</f>
        <v>O230117</v>
      </c>
      <c r="Q78" s="149" t="str">
        <f>IFERROR(VLOOKUP(C78,TD!$B$32:$F$36,3,0)," ")</f>
        <v>4503</v>
      </c>
      <c r="R78" s="149">
        <f>IFERROR(VLOOKUP(C78,TD!$B$32:$F$36,4,0)," ")</f>
        <v>20240255</v>
      </c>
      <c r="S78" s="144" t="s">
        <v>186</v>
      </c>
      <c r="T78" s="149" t="str">
        <f>IFERROR(VLOOKUP(S78,TD!$J$33:$K$43,2,0)," ")</f>
        <v>Infraestructura física, mantenimiento y dotación (Sedes construidas, mantenidas reforzadas)</v>
      </c>
      <c r="U78" s="54" t="str">
        <f t="shared" si="4"/>
        <v>08-Infraestructura física, mantenimiento y dotación (Sedes construidas, mantenidas reforzadas)</v>
      </c>
      <c r="V78" s="144" t="s">
        <v>237</v>
      </c>
      <c r="W78" s="149" t="str">
        <f>IFERROR(VLOOKUP(V78,TD!$N$33:$O$45,2,0)," ")</f>
        <v>Estaciones de bomberos adecuadas</v>
      </c>
      <c r="X78" s="54" t="str">
        <f t="shared" si="5"/>
        <v>014_Estaciones de bomberos adecuadas</v>
      </c>
      <c r="Y78" s="54" t="str">
        <f t="shared" si="6"/>
        <v>08-Infraestructura física, mantenimiento y dotación (Sedes construidas, mantenidas reforzadas) 014_Estaciones de bomberos adecuadas</v>
      </c>
      <c r="Z78" s="149" t="str">
        <f t="shared" si="7"/>
        <v>O23011745032024025508014</v>
      </c>
      <c r="AA78" s="149" t="str">
        <f>IFERROR(VLOOKUP(Y78,TD!$K$46:$L$64,2,0)," ")</f>
        <v>PM/0131/0108/45030140255</v>
      </c>
      <c r="AB78" s="148" t="s">
        <v>139</v>
      </c>
      <c r="AC78" s="178" t="s">
        <v>205</v>
      </c>
    </row>
    <row r="79" spans="2:29" s="28" customFormat="1" ht="57">
      <c r="B79" s="196">
        <v>20241215</v>
      </c>
      <c r="C79" s="142" t="s">
        <v>210</v>
      </c>
      <c r="D79" s="143" t="s">
        <v>168</v>
      </c>
      <c r="E79" s="144" t="s">
        <v>380</v>
      </c>
      <c r="F79" s="143" t="s">
        <v>397</v>
      </c>
      <c r="G79" s="143" t="s">
        <v>156</v>
      </c>
      <c r="H79" s="145">
        <v>80111600</v>
      </c>
      <c r="I79" s="146">
        <v>8</v>
      </c>
      <c r="J79" s="146">
        <v>6</v>
      </c>
      <c r="K79" s="147">
        <v>0</v>
      </c>
      <c r="L79" s="148">
        <f>30000000-1662000-10338000</f>
        <v>18000000</v>
      </c>
      <c r="M79" s="143" t="s">
        <v>173</v>
      </c>
      <c r="N79" s="148" t="s">
        <v>114</v>
      </c>
      <c r="O79" s="144" t="s">
        <v>226</v>
      </c>
      <c r="P79" s="149" t="str">
        <f>IFERROR(VLOOKUP(C79,TD!$B$32:$F$36,2,0)," ")</f>
        <v>O230117</v>
      </c>
      <c r="Q79" s="149" t="str">
        <f>IFERROR(VLOOKUP(C79,TD!$B$32:$F$36,3,0)," ")</f>
        <v>4503</v>
      </c>
      <c r="R79" s="149">
        <f>IFERROR(VLOOKUP(C79,TD!$B$32:$F$36,4,0)," ")</f>
        <v>20240255</v>
      </c>
      <c r="S79" s="144" t="s">
        <v>180</v>
      </c>
      <c r="T79" s="149" t="str">
        <f>IFERROR(VLOOKUP(S79,TD!$J$33:$K$43,2,0)," ")</f>
        <v>Infraestructura Tecnológica   (Sistemas de Información y Tecnologia)</v>
      </c>
      <c r="U79" s="54" t="str">
        <f t="shared" si="4"/>
        <v>11-Infraestructura Tecnológica   (Sistemas de Información y Tecnologia)</v>
      </c>
      <c r="V79" s="144" t="s">
        <v>236</v>
      </c>
      <c r="W79" s="149" t="str">
        <f>IFERROR(VLOOKUP(V79,TD!$N$33:$O$45,2,0)," ")</f>
        <v>"Servicio de monitoreo y seguimiento para la gestión del riesgo"</v>
      </c>
      <c r="X79" s="54" t="str">
        <f t="shared" si="5"/>
        <v>018_"Servicio de monitoreo y seguimiento para la gestión del riesgo"</v>
      </c>
      <c r="Y79" s="54" t="str">
        <f t="shared" si="6"/>
        <v>11-Infraestructura Tecnológica   (Sistemas de Información y Tecnologia) 018_"Servicio de monitoreo y seguimiento para la gestión del riesgo"</v>
      </c>
      <c r="Z79" s="149" t="str">
        <f t="shared" si="7"/>
        <v>O23011745032024025511018</v>
      </c>
      <c r="AA79" s="149" t="str">
        <f>IFERROR(VLOOKUP(Y79,TD!$K$46:$L$64,2,0)," ")</f>
        <v>PM/0131/0111/45030180255</v>
      </c>
      <c r="AB79" s="148" t="s">
        <v>139</v>
      </c>
      <c r="AC79" s="178" t="s">
        <v>205</v>
      </c>
    </row>
    <row r="80" spans="2:29" s="28" customFormat="1" ht="57">
      <c r="B80" s="196">
        <v>20241217</v>
      </c>
      <c r="C80" s="142" t="s">
        <v>210</v>
      </c>
      <c r="D80" s="143" t="s">
        <v>168</v>
      </c>
      <c r="E80" s="144" t="s">
        <v>380</v>
      </c>
      <c r="F80" s="143" t="s">
        <v>754</v>
      </c>
      <c r="G80" s="143" t="s">
        <v>156</v>
      </c>
      <c r="H80" s="145">
        <v>80111600</v>
      </c>
      <c r="I80" s="146">
        <v>9</v>
      </c>
      <c r="J80" s="146">
        <v>4</v>
      </c>
      <c r="K80" s="147">
        <v>0</v>
      </c>
      <c r="L80" s="148">
        <f>32000000-4000000</f>
        <v>28000000</v>
      </c>
      <c r="M80" s="143" t="s">
        <v>173</v>
      </c>
      <c r="N80" s="148" t="s">
        <v>114</v>
      </c>
      <c r="O80" s="144" t="s">
        <v>226</v>
      </c>
      <c r="P80" s="149" t="str">
        <f>IFERROR(VLOOKUP(C80,TD!$B$32:$F$36,2,0)," ")</f>
        <v>O230117</v>
      </c>
      <c r="Q80" s="149" t="str">
        <f>IFERROR(VLOOKUP(C80,TD!$B$32:$F$36,3,0)," ")</f>
        <v>4503</v>
      </c>
      <c r="R80" s="149">
        <f>IFERROR(VLOOKUP(C80,TD!$B$32:$F$36,4,0)," ")</f>
        <v>20240255</v>
      </c>
      <c r="S80" s="144" t="s">
        <v>180</v>
      </c>
      <c r="T80" s="149" t="str">
        <f>IFERROR(VLOOKUP(S80,TD!$J$33:$K$43,2,0)," ")</f>
        <v>Infraestructura Tecnológica   (Sistemas de Información y Tecnologia)</v>
      </c>
      <c r="U80" s="181" t="str">
        <f t="shared" si="4"/>
        <v>11-Infraestructura Tecnológica   (Sistemas de Información y Tecnologia)</v>
      </c>
      <c r="V80" s="149" t="s">
        <v>236</v>
      </c>
      <c r="W80" s="149" t="str">
        <f>IFERROR(VLOOKUP(V80,TD!$N$33:$O$45,2,0)," ")</f>
        <v>"Servicio de monitoreo y seguimiento para la gestión del riesgo"</v>
      </c>
      <c r="X80" s="183" t="str">
        <f t="shared" si="5"/>
        <v>018_"Servicio de monitoreo y seguimiento para la gestión del riesgo"</v>
      </c>
      <c r="Y80" s="182" t="str">
        <f t="shared" si="6"/>
        <v>11-Infraestructura Tecnológica   (Sistemas de Información y Tecnologia) 018_"Servicio de monitoreo y seguimiento para la gestión del riesgo"</v>
      </c>
      <c r="Z80" s="144" t="str">
        <f t="shared" si="7"/>
        <v>O23011745032024025511018</v>
      </c>
      <c r="AA80" s="190" t="str">
        <f>IFERROR(VLOOKUP(Y80,TD!$K$46:$L$64,2,0)," ")</f>
        <v>PM/0131/0111/45030180255</v>
      </c>
      <c r="AB80" s="190" t="s">
        <v>139</v>
      </c>
      <c r="AC80" s="193" t="s">
        <v>205</v>
      </c>
    </row>
    <row r="81" spans="2:29" s="28" customFormat="1" ht="57">
      <c r="B81" s="195">
        <v>20241218</v>
      </c>
      <c r="C81" s="142" t="s">
        <v>210</v>
      </c>
      <c r="D81" s="143" t="s">
        <v>168</v>
      </c>
      <c r="E81" s="144" t="s">
        <v>380</v>
      </c>
      <c r="F81" s="143" t="s">
        <v>397</v>
      </c>
      <c r="G81" s="143" t="s">
        <v>156</v>
      </c>
      <c r="H81" s="145">
        <v>80111600</v>
      </c>
      <c r="I81" s="146">
        <v>9</v>
      </c>
      <c r="J81" s="146">
        <v>4</v>
      </c>
      <c r="K81" s="147">
        <v>0</v>
      </c>
      <c r="L81" s="148">
        <f>20000000-6950000</f>
        <v>13050000</v>
      </c>
      <c r="M81" s="143" t="s">
        <v>173</v>
      </c>
      <c r="N81" s="148" t="s">
        <v>114</v>
      </c>
      <c r="O81" s="144" t="s">
        <v>226</v>
      </c>
      <c r="P81" s="149" t="str">
        <f>IFERROR(VLOOKUP(C81,TD!$B$32:$F$36,2,0)," ")</f>
        <v>O230117</v>
      </c>
      <c r="Q81" s="149" t="str">
        <f>IFERROR(VLOOKUP(C81,TD!$B$32:$F$36,3,0)," ")</f>
        <v>4503</v>
      </c>
      <c r="R81" s="149">
        <f>IFERROR(VLOOKUP(C81,TD!$B$32:$F$36,4,0)," ")</f>
        <v>20240255</v>
      </c>
      <c r="S81" s="144" t="s">
        <v>180</v>
      </c>
      <c r="T81" s="149" t="str">
        <f>IFERROR(VLOOKUP(S81,TD!$J$33:$K$43,2,0)," ")</f>
        <v>Infraestructura Tecnológica   (Sistemas de Información y Tecnologia)</v>
      </c>
      <c r="U81" s="54" t="str">
        <f t="shared" si="4"/>
        <v>11-Infraestructura Tecnológica   (Sistemas de Información y Tecnologia)</v>
      </c>
      <c r="V81" s="144" t="s">
        <v>236</v>
      </c>
      <c r="W81" s="149" t="str">
        <f>IFERROR(VLOOKUP(V81,TD!$N$33:$O$45,2,0)," ")</f>
        <v>"Servicio de monitoreo y seguimiento para la gestión del riesgo"</v>
      </c>
      <c r="X81" s="54" t="str">
        <f t="shared" si="5"/>
        <v>018_"Servicio de monitoreo y seguimiento para la gestión del riesgo"</v>
      </c>
      <c r="Y81" s="54" t="str">
        <f t="shared" si="6"/>
        <v>11-Infraestructura Tecnológica   (Sistemas de Información y Tecnologia) 018_"Servicio de monitoreo y seguimiento para la gestión del riesgo"</v>
      </c>
      <c r="Z81" s="149" t="str">
        <f t="shared" si="7"/>
        <v>O23011745032024025511018</v>
      </c>
      <c r="AA81" s="149" t="str">
        <f>IFERROR(VLOOKUP(Y81,TD!$K$46:$L$64,2,0)," ")</f>
        <v>PM/0131/0111/45030180255</v>
      </c>
      <c r="AB81" s="148" t="s">
        <v>139</v>
      </c>
      <c r="AC81" s="178" t="s">
        <v>205</v>
      </c>
    </row>
    <row r="82" spans="2:29" s="28" customFormat="1" ht="57">
      <c r="B82" s="195">
        <v>20241219</v>
      </c>
      <c r="C82" s="142" t="s">
        <v>210</v>
      </c>
      <c r="D82" s="143" t="s">
        <v>166</v>
      </c>
      <c r="E82" s="144" t="s">
        <v>857</v>
      </c>
      <c r="F82" s="143" t="s">
        <v>756</v>
      </c>
      <c r="G82" s="143" t="s">
        <v>156</v>
      </c>
      <c r="H82" s="145">
        <v>80111600</v>
      </c>
      <c r="I82" s="146">
        <v>9</v>
      </c>
      <c r="J82" s="146">
        <v>5</v>
      </c>
      <c r="K82" s="147">
        <v>0</v>
      </c>
      <c r="L82" s="148">
        <f>25500000-3278500-1821500</f>
        <v>20400000</v>
      </c>
      <c r="M82" s="143" t="s">
        <v>173</v>
      </c>
      <c r="N82" s="148" t="s">
        <v>114</v>
      </c>
      <c r="O82" s="144" t="s">
        <v>230</v>
      </c>
      <c r="P82" s="149" t="str">
        <f>IFERROR(VLOOKUP(C82,TD!$B$32:$F$36,2,0)," ")</f>
        <v>O230117</v>
      </c>
      <c r="Q82" s="149" t="str">
        <f>IFERROR(VLOOKUP(C82,TD!$B$32:$F$36,3,0)," ")</f>
        <v>4503</v>
      </c>
      <c r="R82" s="149">
        <f>IFERROR(VLOOKUP(C82,TD!$B$32:$F$36,4,0)," ")</f>
        <v>20240255</v>
      </c>
      <c r="S82" s="144" t="s">
        <v>184</v>
      </c>
      <c r="T82" s="149" t="str">
        <f>IFERROR(VLOOKUP(S82,TD!$J$33:$K$43,2,0)," ")</f>
        <v>Servicio de formación en gestión del riesgo de incendios para el personal UAECOB</v>
      </c>
      <c r="U82" s="54" t="str">
        <f t="shared" si="4"/>
        <v>07-Servicio de formación en gestión del riesgo de incendios para el personal UAECOB</v>
      </c>
      <c r="V82" s="144" t="s">
        <v>234</v>
      </c>
      <c r="W82" s="149" t="str">
        <f>IFERROR(VLOOKUP(V82,TD!$N$33:$O$45,2,0)," ")</f>
        <v>Servicio de educación informal</v>
      </c>
      <c r="X82" s="54" t="str">
        <f t="shared" si="5"/>
        <v>002_Servicio de educación informal</v>
      </c>
      <c r="Y82" s="54" t="str">
        <f t="shared" si="6"/>
        <v>07-Servicio de formación en gestión del riesgo de incendios para el personal UAECOB 002_Servicio de educación informal</v>
      </c>
      <c r="Z82" s="149" t="str">
        <f t="shared" si="7"/>
        <v>O23011745032024025507002</v>
      </c>
      <c r="AA82" s="149" t="str">
        <f>IFERROR(VLOOKUP(Y82,TD!$K$46:$L$64,2,0)," ")</f>
        <v>PM/0131/0107/45030020255</v>
      </c>
      <c r="AB82" s="148" t="s">
        <v>139</v>
      </c>
      <c r="AC82" s="178" t="s">
        <v>205</v>
      </c>
    </row>
    <row r="83" spans="2:29" s="28" customFormat="1" ht="57">
      <c r="B83" s="196">
        <v>20241222</v>
      </c>
      <c r="C83" s="142" t="s">
        <v>210</v>
      </c>
      <c r="D83" s="143" t="s">
        <v>166</v>
      </c>
      <c r="E83" s="144" t="s">
        <v>857</v>
      </c>
      <c r="F83" s="143" t="s">
        <v>758</v>
      </c>
      <c r="G83" s="143" t="s">
        <v>156</v>
      </c>
      <c r="H83" s="145">
        <v>80111600</v>
      </c>
      <c r="I83" s="146">
        <v>9</v>
      </c>
      <c r="J83" s="146">
        <v>5</v>
      </c>
      <c r="K83" s="147">
        <v>0</v>
      </c>
      <c r="L83" s="148">
        <f>27355000-4200000-2063500-2663500</f>
        <v>18428000</v>
      </c>
      <c r="M83" s="143" t="s">
        <v>173</v>
      </c>
      <c r="N83" s="148" t="s">
        <v>114</v>
      </c>
      <c r="O83" s="144" t="s">
        <v>230</v>
      </c>
      <c r="P83" s="149" t="str">
        <f>IFERROR(VLOOKUP(C83,TD!$B$32:$F$36,2,0)," ")</f>
        <v>O230117</v>
      </c>
      <c r="Q83" s="149" t="str">
        <f>IFERROR(VLOOKUP(C83,TD!$B$32:$F$36,3,0)," ")</f>
        <v>4503</v>
      </c>
      <c r="R83" s="149">
        <f>IFERROR(VLOOKUP(C83,TD!$B$32:$F$36,4,0)," ")</f>
        <v>20240255</v>
      </c>
      <c r="S83" s="144" t="s">
        <v>184</v>
      </c>
      <c r="T83" s="149" t="str">
        <f>IFERROR(VLOOKUP(S83,TD!$J$33:$K$43,2,0)," ")</f>
        <v>Servicio de formación en gestión del riesgo de incendios para el personal UAECOB</v>
      </c>
      <c r="U83" s="54" t="str">
        <f t="shared" si="4"/>
        <v>07-Servicio de formación en gestión del riesgo de incendios para el personal UAECOB</v>
      </c>
      <c r="V83" s="144" t="s">
        <v>234</v>
      </c>
      <c r="W83" s="149" t="str">
        <f>IFERROR(VLOOKUP(V83,TD!$N$33:$O$45,2,0)," ")</f>
        <v>Servicio de educación informal</v>
      </c>
      <c r="X83" s="54" t="str">
        <f t="shared" si="5"/>
        <v>002_Servicio de educación informal</v>
      </c>
      <c r="Y83" s="54" t="str">
        <f t="shared" si="6"/>
        <v>07-Servicio de formación en gestión del riesgo de incendios para el personal UAECOB 002_Servicio de educación informal</v>
      </c>
      <c r="Z83" s="149" t="str">
        <f t="shared" si="7"/>
        <v>O23011745032024025507002</v>
      </c>
      <c r="AA83" s="149" t="str">
        <f>IFERROR(VLOOKUP(Y83,TD!$K$46:$L$64,2,0)," ")</f>
        <v>PM/0131/0107/45030020255</v>
      </c>
      <c r="AB83" s="148" t="s">
        <v>139</v>
      </c>
      <c r="AC83" s="178" t="s">
        <v>205</v>
      </c>
    </row>
    <row r="84" spans="2:29" s="28" customFormat="1" ht="71.25">
      <c r="B84" s="195">
        <v>20241229</v>
      </c>
      <c r="C84" s="142" t="s">
        <v>210</v>
      </c>
      <c r="D84" s="143" t="s">
        <v>169</v>
      </c>
      <c r="E84" s="144" t="s">
        <v>804</v>
      </c>
      <c r="F84" s="143" t="s">
        <v>762</v>
      </c>
      <c r="G84" s="143" t="s">
        <v>157</v>
      </c>
      <c r="H84" s="145">
        <v>80111600</v>
      </c>
      <c r="I84" s="146">
        <v>11</v>
      </c>
      <c r="J84" s="146">
        <v>1</v>
      </c>
      <c r="K84" s="147">
        <v>15</v>
      </c>
      <c r="L84" s="148">
        <f>3100000+1550000</f>
        <v>4650000</v>
      </c>
      <c r="M84" s="143" t="s">
        <v>173</v>
      </c>
      <c r="N84" s="148" t="s">
        <v>114</v>
      </c>
      <c r="O84" s="144" t="s">
        <v>225</v>
      </c>
      <c r="P84" s="149" t="str">
        <f>IFERROR(VLOOKUP(C84,TD!$B$32:$F$36,2,0)," ")</f>
        <v>O230117</v>
      </c>
      <c r="Q84" s="149" t="str">
        <f>IFERROR(VLOOKUP(C84,TD!$B$32:$F$36,3,0)," ")</f>
        <v>4503</v>
      </c>
      <c r="R84" s="149">
        <f>IFERROR(VLOOKUP(C84,TD!$B$32:$F$36,4,0)," ")</f>
        <v>20240255</v>
      </c>
      <c r="S84" s="144" t="s">
        <v>192</v>
      </c>
      <c r="T84" s="149" t="str">
        <f>IFERROR(VLOOKUP(S84,TD!$J$33:$K$43,2,0)," ")</f>
        <v>Servicio de apoyo   logístico  en eventos operativos y/o emergencias.</v>
      </c>
      <c r="U84" s="54" t="str">
        <f t="shared" si="4"/>
        <v>12-Servicio de apoyo   logístico  en eventos operativos y/o emergencias.</v>
      </c>
      <c r="V84" s="144" t="s">
        <v>233</v>
      </c>
      <c r="W84" s="149" t="str">
        <f>IFERROR(VLOOKUP(V84,TD!$N$33:$O$45,2,0)," ")</f>
        <v>Servicio de atención a emergencias y desastres</v>
      </c>
      <c r="X84" s="54" t="str">
        <f t="shared" si="5"/>
        <v>004_Servicio de atención a emergencias y desastres</v>
      </c>
      <c r="Y84" s="54" t="str">
        <f t="shared" si="6"/>
        <v>12-Servicio de apoyo   logístico  en eventos operativos y/o emergencias. 004_Servicio de atención a emergencias y desastres</v>
      </c>
      <c r="Z84" s="149" t="str">
        <f t="shared" si="7"/>
        <v>O23011745032024025512004</v>
      </c>
      <c r="AA84" s="149" t="str">
        <f>IFERROR(VLOOKUP(Y84,TD!$K$46:$L$64,2,0)," ")</f>
        <v>PM/0131/0112/45030040255</v>
      </c>
      <c r="AB84" s="148" t="s">
        <v>139</v>
      </c>
      <c r="AC84" s="178" t="s">
        <v>206</v>
      </c>
    </row>
    <row r="85" spans="2:29" s="28" customFormat="1" ht="57">
      <c r="B85" s="195">
        <v>20241245</v>
      </c>
      <c r="C85" s="142" t="s">
        <v>209</v>
      </c>
      <c r="D85" s="143" t="s">
        <v>163</v>
      </c>
      <c r="E85" s="144" t="s">
        <v>364</v>
      </c>
      <c r="F85" s="143" t="s">
        <v>778</v>
      </c>
      <c r="G85" s="143" t="s">
        <v>156</v>
      </c>
      <c r="H85" s="145">
        <v>80111600</v>
      </c>
      <c r="I85" s="146">
        <v>9</v>
      </c>
      <c r="J85" s="146">
        <v>4</v>
      </c>
      <c r="K85" s="147">
        <v>20</v>
      </c>
      <c r="L85" s="148">
        <f>32667000-333</f>
        <v>32666667</v>
      </c>
      <c r="M85" s="143" t="s">
        <v>173</v>
      </c>
      <c r="N85" s="148" t="s">
        <v>114</v>
      </c>
      <c r="O85" s="144" t="s">
        <v>216</v>
      </c>
      <c r="P85" s="149" t="str">
        <f>IFERROR(VLOOKUP(C85,TD!$B$32:$F$36,2,0)," ")</f>
        <v>O230117</v>
      </c>
      <c r="Q85" s="149" t="str">
        <f>IFERROR(VLOOKUP(C85,TD!$B$32:$F$36,3,0)," ")</f>
        <v>4599</v>
      </c>
      <c r="R85" s="149">
        <f>IFERROR(VLOOKUP(C85,TD!$B$32:$F$36,4,0)," ")</f>
        <v>20240207</v>
      </c>
      <c r="S85" s="144" t="s">
        <v>180</v>
      </c>
      <c r="T85" s="149" t="str">
        <f>IFERROR(VLOOKUP(S85,TD!$J$33:$K$43,2,0)," ")</f>
        <v>Infraestructura Tecnológica   (Sistemas de Información y Tecnologia)</v>
      </c>
      <c r="U85" s="54" t="str">
        <f t="shared" si="4"/>
        <v>11-Infraestructura Tecnológica   (Sistemas de Información y Tecnologia)</v>
      </c>
      <c r="V85" s="144" t="s">
        <v>240</v>
      </c>
      <c r="W85" s="149" t="str">
        <f>IFERROR(VLOOKUP(V85,TD!$N$33:$O$45,2,0)," ")</f>
        <v>Servicios tecnológicos</v>
      </c>
      <c r="X85" s="54" t="str">
        <f t="shared" si="5"/>
        <v>007_Servicios tecnológicos</v>
      </c>
      <c r="Y85" s="54" t="str">
        <f t="shared" si="6"/>
        <v>11-Infraestructura Tecnológica   (Sistemas de Información y Tecnologia) 007_Servicios tecnológicos</v>
      </c>
      <c r="Z85" s="149" t="str">
        <f t="shared" si="7"/>
        <v>O23011745992024020711007</v>
      </c>
      <c r="AA85" s="149" t="str">
        <f>IFERROR(VLOOKUP(Y85,TD!$K$46:$L$64,2,0)," ")</f>
        <v>PM/0131/0111/45990070207</v>
      </c>
      <c r="AB85" s="148" t="s">
        <v>139</v>
      </c>
      <c r="AC85" s="178" t="s">
        <v>205</v>
      </c>
    </row>
    <row r="86" spans="2:29" s="28" customFormat="1" ht="57">
      <c r="B86" s="196">
        <v>20241248</v>
      </c>
      <c r="C86" s="142" t="s">
        <v>209</v>
      </c>
      <c r="D86" s="143" t="s">
        <v>163</v>
      </c>
      <c r="E86" s="144" t="s">
        <v>364</v>
      </c>
      <c r="F86" s="143" t="s">
        <v>781</v>
      </c>
      <c r="G86" s="143" t="s">
        <v>157</v>
      </c>
      <c r="H86" s="145">
        <v>80111600</v>
      </c>
      <c r="I86" s="146">
        <v>11</v>
      </c>
      <c r="J86" s="146">
        <v>3</v>
      </c>
      <c r="K86" s="147">
        <v>10</v>
      </c>
      <c r="L86" s="148">
        <v>14000000</v>
      </c>
      <c r="M86" s="143" t="s">
        <v>173</v>
      </c>
      <c r="N86" s="148" t="s">
        <v>114</v>
      </c>
      <c r="O86" s="144" t="s">
        <v>216</v>
      </c>
      <c r="P86" s="149" t="str">
        <f>IFERROR(VLOOKUP(C86,TD!$B$32:$F$36,2,0)," ")</f>
        <v>O230117</v>
      </c>
      <c r="Q86" s="149" t="str">
        <f>IFERROR(VLOOKUP(C86,TD!$B$32:$F$36,3,0)," ")</f>
        <v>4599</v>
      </c>
      <c r="R86" s="149">
        <f>IFERROR(VLOOKUP(C86,TD!$B$32:$F$36,4,0)," ")</f>
        <v>20240207</v>
      </c>
      <c r="S86" s="144" t="s">
        <v>180</v>
      </c>
      <c r="T86" s="149" t="str">
        <f>IFERROR(VLOOKUP(S86,TD!$J$33:$K$43,2,0)," ")</f>
        <v>Infraestructura Tecnológica   (Sistemas de Información y Tecnologia)</v>
      </c>
      <c r="U86" s="54" t="str">
        <f t="shared" si="4"/>
        <v>11-Infraestructura Tecnológica   (Sistemas de Información y Tecnologia)</v>
      </c>
      <c r="V86" s="144" t="s">
        <v>240</v>
      </c>
      <c r="W86" s="149" t="str">
        <f>IFERROR(VLOOKUP(V86,TD!$N$33:$O$45,2,0)," ")</f>
        <v>Servicios tecnológicos</v>
      </c>
      <c r="X86" s="54" t="str">
        <f t="shared" si="5"/>
        <v>007_Servicios tecnológicos</v>
      </c>
      <c r="Y86" s="54" t="str">
        <f t="shared" si="6"/>
        <v>11-Infraestructura Tecnológica   (Sistemas de Información y Tecnologia) 007_Servicios tecnológicos</v>
      </c>
      <c r="Z86" s="149" t="str">
        <f t="shared" si="7"/>
        <v>O23011745992024020711007</v>
      </c>
      <c r="AA86" s="149" t="str">
        <f>IFERROR(VLOOKUP(Y86,TD!$K$46:$L$64,2,0)," ")</f>
        <v>PM/0131/0111/45990070207</v>
      </c>
      <c r="AB86" s="148" t="s">
        <v>139</v>
      </c>
      <c r="AC86" s="178" t="s">
        <v>205</v>
      </c>
    </row>
    <row r="87" spans="2:29" s="28" customFormat="1" ht="42.75">
      <c r="B87" s="196">
        <v>20241249</v>
      </c>
      <c r="C87" s="142" t="s">
        <v>209</v>
      </c>
      <c r="D87" s="143" t="s">
        <v>163</v>
      </c>
      <c r="E87" s="144" t="s">
        <v>364</v>
      </c>
      <c r="F87" s="143" t="s">
        <v>782</v>
      </c>
      <c r="G87" s="143" t="s">
        <v>155</v>
      </c>
      <c r="H87" s="145" t="s">
        <v>638</v>
      </c>
      <c r="I87" s="146">
        <v>10</v>
      </c>
      <c r="J87" s="146">
        <v>1</v>
      </c>
      <c r="K87" s="147">
        <v>0</v>
      </c>
      <c r="L87" s="148">
        <f>20245335-20245335+21277200</f>
        <v>21277200</v>
      </c>
      <c r="M87" s="143" t="s">
        <v>173</v>
      </c>
      <c r="N87" s="148" t="s">
        <v>114</v>
      </c>
      <c r="O87" s="144" t="s">
        <v>216</v>
      </c>
      <c r="P87" s="149" t="str">
        <f>IFERROR(VLOOKUP(C87,TD!$B$32:$F$36,2,0)," ")</f>
        <v>O230117</v>
      </c>
      <c r="Q87" s="149" t="str">
        <f>IFERROR(VLOOKUP(C87,TD!$B$32:$F$36,3,0)," ")</f>
        <v>4599</v>
      </c>
      <c r="R87" s="149">
        <f>IFERROR(VLOOKUP(C87,TD!$B$32:$F$36,4,0)," ")</f>
        <v>20240207</v>
      </c>
      <c r="S87" s="144" t="s">
        <v>180</v>
      </c>
      <c r="T87" s="149" t="str">
        <f>IFERROR(VLOOKUP(S87,TD!$J$33:$K$43,2,0)," ")</f>
        <v>Infraestructura Tecnológica   (Sistemas de Información y Tecnologia)</v>
      </c>
      <c r="U87" s="54" t="str">
        <f t="shared" si="4"/>
        <v>11-Infraestructura Tecnológica   (Sistemas de Información y Tecnologia)</v>
      </c>
      <c r="V87" s="144" t="s">
        <v>240</v>
      </c>
      <c r="W87" s="149" t="str">
        <f>IFERROR(VLOOKUP(V87,TD!$N$33:$O$45,2,0)," ")</f>
        <v>Servicios tecnológicos</v>
      </c>
      <c r="X87" s="54" t="str">
        <f t="shared" si="5"/>
        <v>007_Servicios tecnológicos</v>
      </c>
      <c r="Y87" s="54" t="str">
        <f t="shared" si="6"/>
        <v>11-Infraestructura Tecnológica   (Sistemas de Información y Tecnologia) 007_Servicios tecnológicos</v>
      </c>
      <c r="Z87" s="149" t="str">
        <f t="shared" si="7"/>
        <v>O23011745992024020711007</v>
      </c>
      <c r="AA87" s="149" t="str">
        <f>IFERROR(VLOOKUP(Y87,TD!$K$46:$L$64,2,0)," ")</f>
        <v>PM/0131/0111/45990070207</v>
      </c>
      <c r="AB87" s="148" t="s">
        <v>139</v>
      </c>
      <c r="AC87" s="178" t="s">
        <v>205</v>
      </c>
    </row>
    <row r="88" spans="2:29" s="28" customFormat="1" ht="57">
      <c r="B88" s="196">
        <v>20241252</v>
      </c>
      <c r="C88" s="142" t="s">
        <v>209</v>
      </c>
      <c r="D88" s="143" t="s">
        <v>163</v>
      </c>
      <c r="E88" s="144" t="s">
        <v>364</v>
      </c>
      <c r="F88" s="143" t="s">
        <v>783</v>
      </c>
      <c r="G88" s="143" t="s">
        <v>156</v>
      </c>
      <c r="H88" s="145">
        <v>80111600</v>
      </c>
      <c r="I88" s="146">
        <v>11</v>
      </c>
      <c r="J88" s="146">
        <v>3</v>
      </c>
      <c r="K88" s="147">
        <v>0</v>
      </c>
      <c r="L88" s="148">
        <v>24000000</v>
      </c>
      <c r="M88" s="143" t="s">
        <v>173</v>
      </c>
      <c r="N88" s="148" t="s">
        <v>114</v>
      </c>
      <c r="O88" s="144" t="s">
        <v>216</v>
      </c>
      <c r="P88" s="149" t="str">
        <f>IFERROR(VLOOKUP(C88,TD!$B$32:$F$36,2,0)," ")</f>
        <v>O230117</v>
      </c>
      <c r="Q88" s="149" t="str">
        <f>IFERROR(VLOOKUP(C88,TD!$B$32:$F$36,3,0)," ")</f>
        <v>4599</v>
      </c>
      <c r="R88" s="149">
        <f>IFERROR(VLOOKUP(C88,TD!$B$32:$F$36,4,0)," ")</f>
        <v>20240207</v>
      </c>
      <c r="S88" s="144" t="s">
        <v>180</v>
      </c>
      <c r="T88" s="149" t="str">
        <f>IFERROR(VLOOKUP(S88,TD!$J$33:$K$43,2,0)," ")</f>
        <v>Infraestructura Tecnológica   (Sistemas de Información y Tecnologia)</v>
      </c>
      <c r="U88" s="54" t="str">
        <f t="shared" si="4"/>
        <v>11-Infraestructura Tecnológica   (Sistemas de Información y Tecnologia)</v>
      </c>
      <c r="V88" s="144" t="s">
        <v>240</v>
      </c>
      <c r="W88" s="149" t="str">
        <f>IFERROR(VLOOKUP(V88,TD!$N$33:$O$45,2,0)," ")</f>
        <v>Servicios tecnológicos</v>
      </c>
      <c r="X88" s="54" t="str">
        <f t="shared" si="5"/>
        <v>007_Servicios tecnológicos</v>
      </c>
      <c r="Y88" s="54" t="str">
        <f t="shared" si="6"/>
        <v>11-Infraestructura Tecnológica   (Sistemas de Información y Tecnologia) 007_Servicios tecnológicos</v>
      </c>
      <c r="Z88" s="149" t="str">
        <f t="shared" si="7"/>
        <v>O23011745992024020711007</v>
      </c>
      <c r="AA88" s="149" t="str">
        <f>IFERROR(VLOOKUP(Y88,TD!$K$46:$L$64,2,0)," ")</f>
        <v>PM/0131/0111/45990070207</v>
      </c>
      <c r="AB88" s="148" t="s">
        <v>139</v>
      </c>
      <c r="AC88" s="178" t="s">
        <v>205</v>
      </c>
    </row>
    <row r="89" spans="2:29" s="28" customFormat="1" ht="99.75">
      <c r="B89" s="195">
        <v>20241256</v>
      </c>
      <c r="C89" s="142" t="s">
        <v>209</v>
      </c>
      <c r="D89" s="143" t="s">
        <v>37</v>
      </c>
      <c r="E89" s="144" t="s">
        <v>406</v>
      </c>
      <c r="F89" s="143" t="s">
        <v>790</v>
      </c>
      <c r="G89" s="143" t="s">
        <v>156</v>
      </c>
      <c r="H89" s="145">
        <v>80111600</v>
      </c>
      <c r="I89" s="146">
        <v>9</v>
      </c>
      <c r="J89" s="146">
        <v>4</v>
      </c>
      <c r="K89" s="147">
        <v>0</v>
      </c>
      <c r="L89" s="148">
        <f>61787340-20000000-11000000-19000000-7500000-1000000</f>
        <v>3287340</v>
      </c>
      <c r="M89" s="143" t="s">
        <v>173</v>
      </c>
      <c r="N89" s="148" t="s">
        <v>114</v>
      </c>
      <c r="O89" s="144" t="s">
        <v>213</v>
      </c>
      <c r="P89" s="149" t="str">
        <f>IFERROR(VLOOKUP(C89,TD!$B$32:$F$36,2,0)," ")</f>
        <v>O230117</v>
      </c>
      <c r="Q89" s="149" t="str">
        <f>IFERROR(VLOOKUP(C89,TD!$B$32:$F$36,3,0)," ")</f>
        <v>4599</v>
      </c>
      <c r="R89" s="149">
        <f>IFERROR(VLOOKUP(C89,TD!$B$32:$F$36,4,0)," ")</f>
        <v>20240207</v>
      </c>
      <c r="S89" s="144" t="s">
        <v>194</v>
      </c>
      <c r="T89" s="149" t="str">
        <f>IFERROR(VLOOKUP(S89,TD!$J$33:$K$43,2,0)," ")</f>
        <v>Servicios para la planeación y sistemas de gestión y comunicación estratégica</v>
      </c>
      <c r="U89" s="54" t="str">
        <f t="shared" si="4"/>
        <v>13-Servicios para la planeación y sistemas de gestión y comunicación estratégica</v>
      </c>
      <c r="V89" s="144" t="s">
        <v>242</v>
      </c>
      <c r="W89" s="149" t="str">
        <f>IFERROR(VLOOKUP(V89,TD!$N$33:$O$45,2,0)," ")</f>
        <v>Servicio de Implementación Sistemas de Gestión</v>
      </c>
      <c r="X89" s="54" t="str">
        <f t="shared" si="5"/>
        <v>023_Servicio de Implementación Sistemas de Gestión</v>
      </c>
      <c r="Y89" s="54" t="str">
        <f t="shared" si="6"/>
        <v>13-Servicios para la planeación y sistemas de gestión y comunicación estratégica 023_Servicio de Implementación Sistemas de Gestión</v>
      </c>
      <c r="Z89" s="149" t="str">
        <f t="shared" si="7"/>
        <v>O23011745992024020713023</v>
      </c>
      <c r="AA89" s="149" t="str">
        <f>IFERROR(VLOOKUP(Y89,TD!$K$46:$L$64,2,0)," ")</f>
        <v>PM/0131/0113/45990230207</v>
      </c>
      <c r="AB89" s="148" t="s">
        <v>139</v>
      </c>
      <c r="AC89" s="178" t="s">
        <v>206</v>
      </c>
    </row>
    <row r="90" spans="2:29" s="28" customFormat="1" ht="42.75">
      <c r="B90" s="196">
        <v>20241257</v>
      </c>
      <c r="C90" s="142" t="s">
        <v>210</v>
      </c>
      <c r="D90" s="143" t="s">
        <v>170</v>
      </c>
      <c r="E90" s="144" t="s">
        <v>456</v>
      </c>
      <c r="F90" s="143" t="s">
        <v>792</v>
      </c>
      <c r="G90" s="143" t="s">
        <v>110</v>
      </c>
      <c r="H90" s="145" t="s">
        <v>495</v>
      </c>
      <c r="I90" s="146">
        <v>9</v>
      </c>
      <c r="J90" s="146">
        <v>3</v>
      </c>
      <c r="K90" s="147">
        <v>0</v>
      </c>
      <c r="L90" s="148">
        <f>300000000+329230099</f>
        <v>629230099</v>
      </c>
      <c r="M90" s="143" t="s">
        <v>173</v>
      </c>
      <c r="N90" s="148" t="s">
        <v>101</v>
      </c>
      <c r="O90" s="144" t="s">
        <v>223</v>
      </c>
      <c r="P90" s="149" t="str">
        <f>IFERROR(VLOOKUP(C90,TD!$B$32:$F$36,2,0)," ")</f>
        <v>O230117</v>
      </c>
      <c r="Q90" s="149" t="str">
        <f>IFERROR(VLOOKUP(C90,TD!$B$32:$F$36,3,0)," ")</f>
        <v>4503</v>
      </c>
      <c r="R90" s="149">
        <f>IFERROR(VLOOKUP(C90,TD!$B$32:$F$36,4,0)," ")</f>
        <v>20240255</v>
      </c>
      <c r="S90" s="144" t="s">
        <v>190</v>
      </c>
      <c r="T90" s="149" t="str">
        <f>IFERROR(VLOOKUP(S90,TD!$J$33:$K$43,2,0)," ")</f>
        <v>Servicio de dotación y equipamento para el personal operativo</v>
      </c>
      <c r="U90" s="54" t="str">
        <f t="shared" si="4"/>
        <v>10-Servicio de dotación y equipamento para el personal operativo</v>
      </c>
      <c r="V90" s="144" t="s">
        <v>233</v>
      </c>
      <c r="W90" s="149" t="str">
        <f>IFERROR(VLOOKUP(V90,TD!$N$33:$O$45,2,0)," ")</f>
        <v>Servicio de atención a emergencias y desastres</v>
      </c>
      <c r="X90" s="54" t="str">
        <f t="shared" si="5"/>
        <v>004_Servicio de atención a emergencias y desastres</v>
      </c>
      <c r="Y90" s="54" t="str">
        <f t="shared" si="6"/>
        <v>10-Servicio de dotación y equipamento para el personal operativo 004_Servicio de atención a emergencias y desastres</v>
      </c>
      <c r="Z90" s="149" t="str">
        <f t="shared" si="7"/>
        <v>O23011745032024025510004</v>
      </c>
      <c r="AA90" s="149" t="str">
        <f>IFERROR(VLOOKUP(Y90,TD!$K$46:$L$64,2,0)," ")</f>
        <v>PM/0131/0110/45030040255</v>
      </c>
      <c r="AB90" s="148" t="s">
        <v>88</v>
      </c>
      <c r="AC90" s="178" t="s">
        <v>205</v>
      </c>
    </row>
    <row r="91" spans="2:29" s="28" customFormat="1" ht="57">
      <c r="B91" s="196">
        <v>20241265</v>
      </c>
      <c r="C91" s="142" t="s">
        <v>210</v>
      </c>
      <c r="D91" s="143" t="s">
        <v>169</v>
      </c>
      <c r="E91" s="144" t="s">
        <v>804</v>
      </c>
      <c r="F91" s="143" t="s">
        <v>870</v>
      </c>
      <c r="G91" s="143" t="s">
        <v>157</v>
      </c>
      <c r="H91" s="145">
        <v>80111600</v>
      </c>
      <c r="I91" s="146">
        <v>11</v>
      </c>
      <c r="J91" s="146">
        <v>2</v>
      </c>
      <c r="K91" s="147">
        <v>15</v>
      </c>
      <c r="L91" s="148">
        <v>8000000</v>
      </c>
      <c r="M91" s="143" t="s">
        <v>173</v>
      </c>
      <c r="N91" s="148" t="s">
        <v>114</v>
      </c>
      <c r="O91" s="144" t="s">
        <v>225</v>
      </c>
      <c r="P91" s="149" t="str">
        <f>IFERROR(VLOOKUP(C91,TD!$B$32:$F$36,2,0)," ")</f>
        <v>O230117</v>
      </c>
      <c r="Q91" s="149" t="str">
        <f>IFERROR(VLOOKUP(C91,TD!$B$32:$F$36,3,0)," ")</f>
        <v>4503</v>
      </c>
      <c r="R91" s="149">
        <f>IFERROR(VLOOKUP(C91,TD!$B$32:$F$36,4,0)," ")</f>
        <v>20240255</v>
      </c>
      <c r="S91" s="144" t="s">
        <v>192</v>
      </c>
      <c r="T91" s="149" t="str">
        <f>IFERROR(VLOOKUP(S91,TD!$J$33:$K$43,2,0)," ")</f>
        <v>Servicio de apoyo   logístico  en eventos operativos y/o emergencias.</v>
      </c>
      <c r="U91" s="54" t="str">
        <f t="shared" si="4"/>
        <v>12-Servicio de apoyo   logístico  en eventos operativos y/o emergencias.</v>
      </c>
      <c r="V91" s="144" t="s">
        <v>233</v>
      </c>
      <c r="W91" s="149" t="str">
        <f>IFERROR(VLOOKUP(V91,TD!$N$33:$O$45,2,0)," ")</f>
        <v>Servicio de atención a emergencias y desastres</v>
      </c>
      <c r="X91" s="54" t="str">
        <f t="shared" si="5"/>
        <v>004_Servicio de atención a emergencias y desastres</v>
      </c>
      <c r="Y91" s="54" t="str">
        <f t="shared" si="6"/>
        <v>12-Servicio de apoyo   logístico  en eventos operativos y/o emergencias. 004_Servicio de atención a emergencias y desastres</v>
      </c>
      <c r="Z91" s="149" t="str">
        <f t="shared" si="7"/>
        <v>O23011745032024025512004</v>
      </c>
      <c r="AA91" s="149" t="str">
        <f>IFERROR(VLOOKUP(Y91,TD!$K$46:$L$64,2,0)," ")</f>
        <v>PM/0131/0112/45030040255</v>
      </c>
      <c r="AB91" s="148" t="s">
        <v>139</v>
      </c>
      <c r="AC91" s="178" t="s">
        <v>205</v>
      </c>
    </row>
    <row r="92" spans="2:29" s="28" customFormat="1" ht="57">
      <c r="B92" s="196">
        <v>20241274</v>
      </c>
      <c r="C92" s="142" t="s">
        <v>210</v>
      </c>
      <c r="D92" s="143" t="s">
        <v>166</v>
      </c>
      <c r="E92" s="144" t="s">
        <v>857</v>
      </c>
      <c r="F92" s="143" t="s">
        <v>817</v>
      </c>
      <c r="G92" s="143" t="s">
        <v>120</v>
      </c>
      <c r="H92" s="145" t="s">
        <v>819</v>
      </c>
      <c r="I92" s="146">
        <v>11</v>
      </c>
      <c r="J92" s="146">
        <v>3</v>
      </c>
      <c r="K92" s="147">
        <v>0</v>
      </c>
      <c r="L92" s="148">
        <v>15038000</v>
      </c>
      <c r="M92" s="143" t="s">
        <v>173</v>
      </c>
      <c r="N92" s="148" t="s">
        <v>114</v>
      </c>
      <c r="O92" s="144" t="s">
        <v>230</v>
      </c>
      <c r="P92" s="149" t="str">
        <f>IFERROR(VLOOKUP(C92,TD!$B$32:$F$36,2,0)," ")</f>
        <v>O230117</v>
      </c>
      <c r="Q92" s="149" t="str">
        <f>IFERROR(VLOOKUP(C92,TD!$B$32:$F$36,3,0)," ")</f>
        <v>4503</v>
      </c>
      <c r="R92" s="149">
        <f>IFERROR(VLOOKUP(C92,TD!$B$32:$F$36,4,0)," ")</f>
        <v>20240255</v>
      </c>
      <c r="S92" s="144" t="s">
        <v>184</v>
      </c>
      <c r="T92" s="149" t="str">
        <f>IFERROR(VLOOKUP(S92,TD!$J$33:$K$43,2,0)," ")</f>
        <v>Servicio de formación en gestión del riesgo de incendios para el personal UAECOB</v>
      </c>
      <c r="U92" s="54" t="str">
        <f t="shared" si="4"/>
        <v>07-Servicio de formación en gestión del riesgo de incendios para el personal UAECOB</v>
      </c>
      <c r="V92" s="144" t="s">
        <v>234</v>
      </c>
      <c r="W92" s="149" t="str">
        <f>IFERROR(VLOOKUP(V92,TD!$N$33:$O$45,2,0)," ")</f>
        <v>Servicio de educación informal</v>
      </c>
      <c r="X92" s="54" t="str">
        <f t="shared" si="5"/>
        <v>002_Servicio de educación informal</v>
      </c>
      <c r="Y92" s="54" t="str">
        <f t="shared" si="6"/>
        <v>07-Servicio de formación en gestión del riesgo de incendios para el personal UAECOB 002_Servicio de educación informal</v>
      </c>
      <c r="Z92" s="149" t="str">
        <f t="shared" si="7"/>
        <v>O23011745032024025507002</v>
      </c>
      <c r="AA92" s="149" t="str">
        <f>IFERROR(VLOOKUP(Y92,TD!$K$46:$L$64,2,0)," ")</f>
        <v>PM/0131/0107/45030020255</v>
      </c>
      <c r="AB92" s="148" t="s">
        <v>139</v>
      </c>
      <c r="AC92" s="178" t="s">
        <v>205</v>
      </c>
    </row>
    <row r="93" spans="2:29" s="28" customFormat="1" ht="57">
      <c r="B93" s="196">
        <v>20241276</v>
      </c>
      <c r="C93" s="142" t="s">
        <v>209</v>
      </c>
      <c r="D93" s="143" t="s">
        <v>165</v>
      </c>
      <c r="E93" s="144" t="s">
        <v>517</v>
      </c>
      <c r="F93" s="143" t="s">
        <v>499</v>
      </c>
      <c r="G93" s="143" t="s">
        <v>156</v>
      </c>
      <c r="H93" s="145">
        <v>80111600</v>
      </c>
      <c r="I93" s="146">
        <v>11</v>
      </c>
      <c r="J93" s="146">
        <v>3</v>
      </c>
      <c r="K93" s="147">
        <v>0</v>
      </c>
      <c r="L93" s="148">
        <f>22950000+19000000-19000000</f>
        <v>22950000</v>
      </c>
      <c r="M93" s="143" t="s">
        <v>173</v>
      </c>
      <c r="N93" s="148" t="s">
        <v>114</v>
      </c>
      <c r="O93" s="144" t="s">
        <v>220</v>
      </c>
      <c r="P93" s="149" t="str">
        <f>IFERROR(VLOOKUP(C93,TD!$B$32:$F$36,2,0)," ")</f>
        <v>O230117</v>
      </c>
      <c r="Q93" s="149" t="str">
        <f>IFERROR(VLOOKUP(C93,TD!$B$32:$F$36,3,0)," ")</f>
        <v>4599</v>
      </c>
      <c r="R93" s="149">
        <f>IFERROR(VLOOKUP(C93,TD!$B$32:$F$36,4,0)," ")</f>
        <v>20240207</v>
      </c>
      <c r="S93" s="144" t="s">
        <v>186</v>
      </c>
      <c r="T93" s="149" t="str">
        <f>IFERROR(VLOOKUP(S93,TD!$J$33:$K$43,2,0)," ")</f>
        <v>Infraestructura física, mantenimiento y dotación (Sedes construidas, mantenidas reforzadas)</v>
      </c>
      <c r="U93" s="54" t="str">
        <f t="shared" si="4"/>
        <v>08-Infraestructura física, mantenimiento y dotación (Sedes construidas, mantenidas reforzadas)</v>
      </c>
      <c r="V93" s="144" t="s">
        <v>239</v>
      </c>
      <c r="W93" s="149" t="str">
        <f>IFERROR(VLOOKUP(V93,TD!$N$33:$O$45,2,0)," ")</f>
        <v>Sedes mantenidas</v>
      </c>
      <c r="X93" s="54" t="str">
        <f t="shared" si="5"/>
        <v>016_Sedes mantenidas</v>
      </c>
      <c r="Y93" s="54" t="str">
        <f t="shared" si="6"/>
        <v>08-Infraestructura física, mantenimiento y dotación (Sedes construidas, mantenidas reforzadas) 016_Sedes mantenidas</v>
      </c>
      <c r="Z93" s="149" t="str">
        <f t="shared" si="7"/>
        <v>O23011745992024020708016</v>
      </c>
      <c r="AA93" s="149" t="str">
        <f>IFERROR(VLOOKUP(Y93,TD!$K$46:$L$64,2,0)," ")</f>
        <v>PM/0131/0108/45990160207</v>
      </c>
      <c r="AB93" s="148" t="s">
        <v>139</v>
      </c>
      <c r="AC93" s="178" t="s">
        <v>205</v>
      </c>
    </row>
    <row r="94" spans="2:29" s="28" customFormat="1" ht="57">
      <c r="B94" s="195">
        <v>20241278</v>
      </c>
      <c r="C94" s="142" t="s">
        <v>209</v>
      </c>
      <c r="D94" s="143" t="s">
        <v>165</v>
      </c>
      <c r="E94" s="144" t="s">
        <v>517</v>
      </c>
      <c r="F94" s="143" t="s">
        <v>881</v>
      </c>
      <c r="G94" s="143" t="s">
        <v>157</v>
      </c>
      <c r="H94" s="145">
        <v>80111600</v>
      </c>
      <c r="I94" s="146">
        <v>10</v>
      </c>
      <c r="J94" s="146">
        <v>1</v>
      </c>
      <c r="K94" s="147">
        <v>0</v>
      </c>
      <c r="L94" s="148">
        <v>5375382</v>
      </c>
      <c r="M94" s="143" t="s">
        <v>173</v>
      </c>
      <c r="N94" s="148" t="s">
        <v>114</v>
      </c>
      <c r="O94" s="144" t="s">
        <v>220</v>
      </c>
      <c r="P94" s="149" t="str">
        <f>IFERROR(VLOOKUP(C94,TD!$B$32:$F$36,2,0)," ")</f>
        <v>O230117</v>
      </c>
      <c r="Q94" s="149" t="str">
        <f>IFERROR(VLOOKUP(C94,TD!$B$32:$F$36,3,0)," ")</f>
        <v>4599</v>
      </c>
      <c r="R94" s="149">
        <f>IFERROR(VLOOKUP(C94,TD!$B$32:$F$36,4,0)," ")</f>
        <v>20240207</v>
      </c>
      <c r="S94" s="144" t="s">
        <v>186</v>
      </c>
      <c r="T94" s="149" t="str">
        <f>IFERROR(VLOOKUP(S94,TD!$J$33:$K$43,2,0)," ")</f>
        <v>Infraestructura física, mantenimiento y dotación (Sedes construidas, mantenidas reforzadas)</v>
      </c>
      <c r="U94" s="54" t="str">
        <f t="shared" si="4"/>
        <v>08-Infraestructura física, mantenimiento y dotación (Sedes construidas, mantenidas reforzadas)</v>
      </c>
      <c r="V94" s="144" t="s">
        <v>239</v>
      </c>
      <c r="W94" s="149" t="str">
        <f>IFERROR(VLOOKUP(V94,TD!$N$33:$O$45,2,0)," ")</f>
        <v>Sedes mantenidas</v>
      </c>
      <c r="X94" s="54" t="str">
        <f t="shared" si="5"/>
        <v>016_Sedes mantenidas</v>
      </c>
      <c r="Y94" s="54" t="str">
        <f t="shared" si="6"/>
        <v>08-Infraestructura física, mantenimiento y dotación (Sedes construidas, mantenidas reforzadas) 016_Sedes mantenidas</v>
      </c>
      <c r="Z94" s="149" t="str">
        <f t="shared" si="7"/>
        <v>O23011745992024020708016</v>
      </c>
      <c r="AA94" s="149" t="str">
        <f>IFERROR(VLOOKUP(Y94,TD!$K$46:$L$64,2,0)," ")</f>
        <v>PM/0131/0108/45990160207</v>
      </c>
      <c r="AB94" s="148" t="s">
        <v>139</v>
      </c>
      <c r="AC94" s="178" t="s">
        <v>206</v>
      </c>
    </row>
    <row r="95" spans="2:29" s="28" customFormat="1" ht="42.75">
      <c r="B95" s="196">
        <v>20241284</v>
      </c>
      <c r="C95" s="142" t="s">
        <v>209</v>
      </c>
      <c r="D95" s="143" t="s">
        <v>163</v>
      </c>
      <c r="E95" s="144" t="s">
        <v>364</v>
      </c>
      <c r="F95" s="143" t="s">
        <v>830</v>
      </c>
      <c r="G95" s="143" t="s">
        <v>155</v>
      </c>
      <c r="H95" s="145" t="s">
        <v>925</v>
      </c>
      <c r="I95" s="146">
        <v>10</v>
      </c>
      <c r="J95" s="146">
        <v>12</v>
      </c>
      <c r="K95" s="147">
        <v>0</v>
      </c>
      <c r="L95" s="148">
        <v>48000000</v>
      </c>
      <c r="M95" s="143" t="s">
        <v>173</v>
      </c>
      <c r="N95" s="148" t="s">
        <v>101</v>
      </c>
      <c r="O95" s="144" t="s">
        <v>215</v>
      </c>
      <c r="P95" s="149" t="str">
        <f>IFERROR(VLOOKUP(C95,TD!$B$32:$F$36,2,0)," ")</f>
        <v>O230117</v>
      </c>
      <c r="Q95" s="149" t="str">
        <f>IFERROR(VLOOKUP(C95,TD!$B$32:$F$36,3,0)," ")</f>
        <v>4599</v>
      </c>
      <c r="R95" s="149">
        <f>IFERROR(VLOOKUP(C95,TD!$B$32:$F$36,4,0)," ")</f>
        <v>20240207</v>
      </c>
      <c r="S95" s="144" t="s">
        <v>180</v>
      </c>
      <c r="T95" s="149" t="str">
        <f>IFERROR(VLOOKUP(S95,TD!$J$33:$K$43,2,0)," ")</f>
        <v>Infraestructura Tecnológica   (Sistemas de Información y Tecnologia)</v>
      </c>
      <c r="U95" s="54" t="str">
        <f t="shared" si="4"/>
        <v>11-Infraestructura Tecnológica   (Sistemas de Información y Tecnologia)</v>
      </c>
      <c r="V95" s="144" t="s">
        <v>240</v>
      </c>
      <c r="W95" s="149" t="str">
        <f>IFERROR(VLOOKUP(V95,TD!$N$33:$O$45,2,0)," ")</f>
        <v>Servicios tecnológicos</v>
      </c>
      <c r="X95" s="54" t="str">
        <f t="shared" si="5"/>
        <v>007_Servicios tecnológicos</v>
      </c>
      <c r="Y95" s="54" t="str">
        <f t="shared" si="6"/>
        <v>11-Infraestructura Tecnológica   (Sistemas de Información y Tecnologia) 007_Servicios tecnológicos</v>
      </c>
      <c r="Z95" s="149" t="str">
        <f t="shared" si="7"/>
        <v>O23011745992024020711007</v>
      </c>
      <c r="AA95" s="149" t="str">
        <f>IFERROR(VLOOKUP(Y95,TD!$K$46:$L$64,2,0)," ")</f>
        <v>PM/0131/0111/45990070207</v>
      </c>
      <c r="AB95" s="148" t="s">
        <v>139</v>
      </c>
      <c r="AC95" s="178" t="s">
        <v>205</v>
      </c>
    </row>
    <row r="96" spans="2:29" s="28" customFormat="1" ht="57">
      <c r="B96" s="196">
        <v>20241288</v>
      </c>
      <c r="C96" s="142" t="s">
        <v>210</v>
      </c>
      <c r="D96" s="143" t="s">
        <v>169</v>
      </c>
      <c r="E96" s="144" t="s">
        <v>804</v>
      </c>
      <c r="F96" s="143" t="s">
        <v>854</v>
      </c>
      <c r="G96" s="143" t="s">
        <v>157</v>
      </c>
      <c r="H96" s="145">
        <v>80111600</v>
      </c>
      <c r="I96" s="146">
        <v>10</v>
      </c>
      <c r="J96" s="146">
        <v>3</v>
      </c>
      <c r="K96" s="147">
        <v>0</v>
      </c>
      <c r="L96" s="148">
        <f>10800000+568560</f>
        <v>11368560</v>
      </c>
      <c r="M96" s="143" t="s">
        <v>173</v>
      </c>
      <c r="N96" s="148" t="s">
        <v>114</v>
      </c>
      <c r="O96" s="144" t="s">
        <v>225</v>
      </c>
      <c r="P96" s="149" t="str">
        <f>IFERROR(VLOOKUP(C96,TD!$B$32:$F$36,2,0)," ")</f>
        <v>O230117</v>
      </c>
      <c r="Q96" s="149" t="str">
        <f>IFERROR(VLOOKUP(C96,TD!$B$32:$F$36,3,0)," ")</f>
        <v>4503</v>
      </c>
      <c r="R96" s="149">
        <f>IFERROR(VLOOKUP(C96,TD!$B$32:$F$36,4,0)," ")</f>
        <v>20240255</v>
      </c>
      <c r="S96" s="144" t="s">
        <v>192</v>
      </c>
      <c r="T96" s="149" t="str">
        <f>IFERROR(VLOOKUP(S96,TD!$J$33:$K$43,2,0)," ")</f>
        <v>Servicio de apoyo   logístico  en eventos operativos y/o emergencias.</v>
      </c>
      <c r="U96" s="54" t="str">
        <f t="shared" si="4"/>
        <v>12-Servicio de apoyo   logístico  en eventos operativos y/o emergencias.</v>
      </c>
      <c r="V96" s="144" t="s">
        <v>233</v>
      </c>
      <c r="W96" s="149" t="str">
        <f>IFERROR(VLOOKUP(V96,TD!$N$33:$O$45,2,0)," ")</f>
        <v>Servicio de atención a emergencias y desastres</v>
      </c>
      <c r="X96" s="54" t="str">
        <f t="shared" si="5"/>
        <v>004_Servicio de atención a emergencias y desastres</v>
      </c>
      <c r="Y96" s="54" t="str">
        <f t="shared" si="6"/>
        <v>12-Servicio de apoyo   logístico  en eventos operativos y/o emergencias. 004_Servicio de atención a emergencias y desastres</v>
      </c>
      <c r="Z96" s="149" t="str">
        <f t="shared" si="7"/>
        <v>O23011745032024025512004</v>
      </c>
      <c r="AA96" s="149" t="str">
        <f>IFERROR(VLOOKUP(Y96,TD!$K$46:$L$64,2,0)," ")</f>
        <v>PM/0131/0112/45030040255</v>
      </c>
      <c r="AB96" s="148" t="s">
        <v>139</v>
      </c>
      <c r="AC96" s="178" t="s">
        <v>205</v>
      </c>
    </row>
    <row r="97" spans="2:29" s="28" customFormat="1" ht="57">
      <c r="B97" s="196">
        <v>20241290</v>
      </c>
      <c r="C97" s="142" t="s">
        <v>210</v>
      </c>
      <c r="D97" s="143" t="s">
        <v>169</v>
      </c>
      <c r="E97" s="144" t="s">
        <v>804</v>
      </c>
      <c r="F97" s="143" t="s">
        <v>869</v>
      </c>
      <c r="G97" s="143" t="s">
        <v>157</v>
      </c>
      <c r="H97" s="145">
        <v>80111600</v>
      </c>
      <c r="I97" s="146">
        <v>10</v>
      </c>
      <c r="J97" s="146">
        <v>3</v>
      </c>
      <c r="K97" s="147">
        <v>0</v>
      </c>
      <c r="L97" s="148">
        <v>9987493</v>
      </c>
      <c r="M97" s="143" t="s">
        <v>173</v>
      </c>
      <c r="N97" s="148" t="s">
        <v>114</v>
      </c>
      <c r="O97" s="144" t="s">
        <v>225</v>
      </c>
      <c r="P97" s="149" t="str">
        <f>IFERROR(VLOOKUP(C97,TD!$B$32:$F$36,2,0)," ")</f>
        <v>O230117</v>
      </c>
      <c r="Q97" s="149" t="str">
        <f>IFERROR(VLOOKUP(C97,TD!$B$32:$F$36,3,0)," ")</f>
        <v>4503</v>
      </c>
      <c r="R97" s="149">
        <f>IFERROR(VLOOKUP(C97,TD!$B$32:$F$36,4,0)," ")</f>
        <v>20240255</v>
      </c>
      <c r="S97" s="144" t="s">
        <v>192</v>
      </c>
      <c r="T97" s="149" t="str">
        <f>IFERROR(VLOOKUP(S97,TD!$J$33:$K$43,2,0)," ")</f>
        <v>Servicio de apoyo   logístico  en eventos operativos y/o emergencias.</v>
      </c>
      <c r="U97" s="54" t="str">
        <f t="shared" si="4"/>
        <v>12-Servicio de apoyo   logístico  en eventos operativos y/o emergencias.</v>
      </c>
      <c r="V97" s="144" t="s">
        <v>233</v>
      </c>
      <c r="W97" s="149" t="str">
        <f>IFERROR(VLOOKUP(V97,TD!$N$33:$O$45,2,0)," ")</f>
        <v>Servicio de atención a emergencias y desastres</v>
      </c>
      <c r="X97" s="54" t="str">
        <f t="shared" si="5"/>
        <v>004_Servicio de atención a emergencias y desastres</v>
      </c>
      <c r="Y97" s="54" t="str">
        <f t="shared" si="6"/>
        <v>12-Servicio de apoyo   logístico  en eventos operativos y/o emergencias. 004_Servicio de atención a emergencias y desastres</v>
      </c>
      <c r="Z97" s="149" t="str">
        <f t="shared" si="7"/>
        <v>O23011745032024025512004</v>
      </c>
      <c r="AA97" s="149" t="str">
        <f>IFERROR(VLOOKUP(Y97,TD!$K$46:$L$64,2,0)," ")</f>
        <v>PM/0131/0112/45030040255</v>
      </c>
      <c r="AB97" s="148" t="s">
        <v>139</v>
      </c>
      <c r="AC97" s="178" t="s">
        <v>205</v>
      </c>
    </row>
    <row r="98" spans="2:29" s="28" customFormat="1" ht="57">
      <c r="B98" s="196">
        <v>20241298</v>
      </c>
      <c r="C98" s="142" t="s">
        <v>210</v>
      </c>
      <c r="D98" s="143" t="s">
        <v>167</v>
      </c>
      <c r="E98" s="144" t="s">
        <v>839</v>
      </c>
      <c r="F98" s="143" t="s">
        <v>853</v>
      </c>
      <c r="G98" s="143" t="s">
        <v>156</v>
      </c>
      <c r="H98" s="145">
        <v>80111600</v>
      </c>
      <c r="I98" s="146">
        <v>10</v>
      </c>
      <c r="J98" s="146">
        <v>3</v>
      </c>
      <c r="K98" s="147">
        <v>15</v>
      </c>
      <c r="L98" s="148">
        <v>28902160</v>
      </c>
      <c r="M98" s="143" t="s">
        <v>173</v>
      </c>
      <c r="N98" s="148" t="s">
        <v>114</v>
      </c>
      <c r="O98" s="144" t="s">
        <v>229</v>
      </c>
      <c r="P98" s="149" t="str">
        <f>IFERROR(VLOOKUP(C98,TD!$B$32:$F$36,2,0)," ")</f>
        <v>O230117</v>
      </c>
      <c r="Q98" s="149" t="str">
        <f>IFERROR(VLOOKUP(C98,TD!$B$32:$F$36,3,0)," ")</f>
        <v>4503</v>
      </c>
      <c r="R98" s="149">
        <f>IFERROR(VLOOKUP(C98,TD!$B$32:$F$36,4,0)," ")</f>
        <v>20240255</v>
      </c>
      <c r="S98" s="144" t="s">
        <v>186</v>
      </c>
      <c r="T98" s="149" t="str">
        <f>IFERROR(VLOOKUP(S98,TD!$J$33:$K$43,2,0)," ")</f>
        <v>Infraestructura física, mantenimiento y dotación (Sedes construidas, mantenidas reforzadas)</v>
      </c>
      <c r="U98" s="150" t="str">
        <f t="shared" si="4"/>
        <v>08-Infraestructura física, mantenimiento y dotación (Sedes construidas, mantenidas reforzadas)</v>
      </c>
      <c r="V98" s="144" t="s">
        <v>238</v>
      </c>
      <c r="W98" s="149" t="str">
        <f>IFERROR(VLOOKUP(V98,TD!$N$33:$O$45,2,0)," ")</f>
        <v>Estaciones de bomberos construidas</v>
      </c>
      <c r="X98" s="150" t="str">
        <f t="shared" si="5"/>
        <v>015_Estaciones de bomberos construidas</v>
      </c>
      <c r="Y98" s="150" t="str">
        <f t="shared" si="6"/>
        <v>08-Infraestructura física, mantenimiento y dotación (Sedes construidas, mantenidas reforzadas) 015_Estaciones de bomberos construidas</v>
      </c>
      <c r="Z98" s="149" t="str">
        <f t="shared" si="7"/>
        <v>O23011745032024025508015</v>
      </c>
      <c r="AA98" s="149" t="str">
        <f>IFERROR(VLOOKUP(Y98,TD!$K$46:$L$64,2,0)," ")</f>
        <v>PM/0131/0108/45030150255</v>
      </c>
      <c r="AB98" s="148" t="s">
        <v>139</v>
      </c>
      <c r="AC98" s="178" t="s">
        <v>205</v>
      </c>
    </row>
    <row r="99" spans="2:29" s="28" customFormat="1" ht="57">
      <c r="B99" s="196">
        <v>20241301</v>
      </c>
      <c r="C99" s="142" t="s">
        <v>209</v>
      </c>
      <c r="D99" s="143" t="s">
        <v>167</v>
      </c>
      <c r="E99" s="144" t="s">
        <v>839</v>
      </c>
      <c r="F99" s="143" t="s">
        <v>903</v>
      </c>
      <c r="G99" s="143" t="s">
        <v>157</v>
      </c>
      <c r="H99" s="145" t="s">
        <v>587</v>
      </c>
      <c r="I99" s="146">
        <v>10</v>
      </c>
      <c r="J99" s="146">
        <v>3</v>
      </c>
      <c r="K99" s="147">
        <v>0</v>
      </c>
      <c r="L99" s="148">
        <v>7205744</v>
      </c>
      <c r="M99" s="143" t="s">
        <v>173</v>
      </c>
      <c r="N99" s="148" t="s">
        <v>114</v>
      </c>
      <c r="O99" s="144" t="s">
        <v>220</v>
      </c>
      <c r="P99" s="149" t="str">
        <f>IFERROR(VLOOKUP(C99,TD!$B$32:$F$36,2,0)," ")</f>
        <v>O230117</v>
      </c>
      <c r="Q99" s="149" t="str">
        <f>IFERROR(VLOOKUP(C99,TD!$B$32:$F$36,3,0)," ")</f>
        <v>4599</v>
      </c>
      <c r="R99" s="149">
        <f>IFERROR(VLOOKUP(C99,TD!$B$32:$F$36,4,0)," ")</f>
        <v>20240207</v>
      </c>
      <c r="S99" s="144" t="s">
        <v>186</v>
      </c>
      <c r="T99" s="149" t="str">
        <f>IFERROR(VLOOKUP(S99,TD!$J$33:$K$43,2,0)," ")</f>
        <v>Infraestructura física, mantenimiento y dotación (Sedes construidas, mantenidas reforzadas)</v>
      </c>
      <c r="U99" s="150" t="str">
        <f t="shared" si="4"/>
        <v>08-Infraestructura física, mantenimiento y dotación (Sedes construidas, mantenidas reforzadas)</v>
      </c>
      <c r="V99" s="144" t="s">
        <v>239</v>
      </c>
      <c r="W99" s="149" t="str">
        <f>IFERROR(VLOOKUP(V99,TD!$N$33:$O$45,2,0)," ")</f>
        <v>Sedes mantenidas</v>
      </c>
      <c r="X99" s="150" t="str">
        <f t="shared" si="5"/>
        <v>016_Sedes mantenidas</v>
      </c>
      <c r="Y99" s="150" t="str">
        <f t="shared" si="6"/>
        <v>08-Infraestructura física, mantenimiento y dotación (Sedes construidas, mantenidas reforzadas) 016_Sedes mantenidas</v>
      </c>
      <c r="Z99" s="149" t="str">
        <f t="shared" si="7"/>
        <v>O23011745992024020708016</v>
      </c>
      <c r="AA99" s="149" t="str">
        <f>IFERROR(VLOOKUP(Y99,TD!$K$46:$L$64,2,0)," ")</f>
        <v>PM/0131/0108/45990160207</v>
      </c>
      <c r="AB99" s="148" t="s">
        <v>139</v>
      </c>
      <c r="AC99" s="178" t="s">
        <v>205</v>
      </c>
    </row>
    <row r="100" spans="2:29" s="28" customFormat="1" ht="57">
      <c r="B100" s="195">
        <v>20241304</v>
      </c>
      <c r="C100" s="142" t="s">
        <v>210</v>
      </c>
      <c r="D100" s="143" t="s">
        <v>169</v>
      </c>
      <c r="E100" s="144" t="s">
        <v>804</v>
      </c>
      <c r="F100" s="143" t="s">
        <v>862</v>
      </c>
      <c r="G100" s="143" t="s">
        <v>138</v>
      </c>
      <c r="H100" s="145" t="s">
        <v>546</v>
      </c>
      <c r="I100" s="146">
        <v>0</v>
      </c>
      <c r="J100" s="146">
        <v>0</v>
      </c>
      <c r="K100" s="147">
        <v>0</v>
      </c>
      <c r="L100" s="148">
        <v>2383333</v>
      </c>
      <c r="M100" s="143" t="s">
        <v>174</v>
      </c>
      <c r="N100" s="148" t="s">
        <v>129</v>
      </c>
      <c r="O100" s="144" t="s">
        <v>225</v>
      </c>
      <c r="P100" s="149" t="str">
        <f>IFERROR(VLOOKUP(C100,TD!$B$32:$F$36,2,0)," ")</f>
        <v>O230117</v>
      </c>
      <c r="Q100" s="149" t="str">
        <f>IFERROR(VLOOKUP(C100,TD!$B$32:$F$36,3,0)," ")</f>
        <v>4503</v>
      </c>
      <c r="R100" s="149">
        <f>IFERROR(VLOOKUP(C100,TD!$B$32:$F$36,4,0)," ")</f>
        <v>20240255</v>
      </c>
      <c r="S100" s="144" t="s">
        <v>192</v>
      </c>
      <c r="T100" s="149" t="str">
        <f>IFERROR(VLOOKUP(S100,TD!$J$33:$K$43,2,0)," ")</f>
        <v>Servicio de apoyo   logístico  en eventos operativos y/o emergencias.</v>
      </c>
      <c r="U100" s="174" t="str">
        <f t="shared" si="4"/>
        <v>12-Servicio de apoyo   logístico  en eventos operativos y/o emergencias.</v>
      </c>
      <c r="V100" s="144" t="s">
        <v>233</v>
      </c>
      <c r="W100" s="149" t="str">
        <f>IFERROR(VLOOKUP(V100,TD!$N$33:$O$45,2,0)," ")</f>
        <v>Servicio de atención a emergencias y desastres</v>
      </c>
      <c r="X100" s="174" t="str">
        <f t="shared" si="5"/>
        <v>004_Servicio de atención a emergencias y desastres</v>
      </c>
      <c r="Y100" s="174" t="str">
        <f t="shared" si="6"/>
        <v>12-Servicio de apoyo   logístico  en eventos operativos y/o emergencias. 004_Servicio de atención a emergencias y desastres</v>
      </c>
      <c r="Z100" s="149" t="str">
        <f t="shared" si="7"/>
        <v>O23011745032024025512004</v>
      </c>
      <c r="AA100" s="149" t="str">
        <f>IFERROR(VLOOKUP(Y100,TD!$K$46:$L$64,2,0)," ")</f>
        <v>PM/0131/0112/45030040255</v>
      </c>
      <c r="AB100" s="148" t="s">
        <v>139</v>
      </c>
      <c r="AC100" s="178" t="s">
        <v>206</v>
      </c>
    </row>
    <row r="101" spans="2:29" s="28" customFormat="1" ht="57">
      <c r="B101" s="196">
        <v>20241305</v>
      </c>
      <c r="C101" s="142" t="s">
        <v>210</v>
      </c>
      <c r="D101" s="143" t="s">
        <v>169</v>
      </c>
      <c r="E101" s="144" t="s">
        <v>804</v>
      </c>
      <c r="F101" s="143" t="s">
        <v>863</v>
      </c>
      <c r="G101" s="143" t="s">
        <v>97</v>
      </c>
      <c r="H101" s="180" t="s">
        <v>864</v>
      </c>
      <c r="I101" s="146">
        <v>11</v>
      </c>
      <c r="J101" s="146">
        <v>4</v>
      </c>
      <c r="K101" s="147">
        <v>0</v>
      </c>
      <c r="L101" s="148">
        <v>37916667</v>
      </c>
      <c r="M101" s="143" t="s">
        <v>173</v>
      </c>
      <c r="N101" s="148" t="s">
        <v>101</v>
      </c>
      <c r="O101" s="144" t="s">
        <v>225</v>
      </c>
      <c r="P101" s="149" t="str">
        <f>IFERROR(VLOOKUP(C101,TD!$B$32:$F$36,2,0)," ")</f>
        <v>O230117</v>
      </c>
      <c r="Q101" s="149" t="str">
        <f>IFERROR(VLOOKUP(C101,TD!$B$32:$F$36,3,0)," ")</f>
        <v>4503</v>
      </c>
      <c r="R101" s="149">
        <f>IFERROR(VLOOKUP(C101,TD!$B$32:$F$36,4,0)," ")</f>
        <v>20240255</v>
      </c>
      <c r="S101" s="144" t="s">
        <v>192</v>
      </c>
      <c r="T101" s="149" t="str">
        <f>IFERROR(VLOOKUP(S101,TD!$J$33:$K$43,2,0)," ")</f>
        <v>Servicio de apoyo   logístico  en eventos operativos y/o emergencias.</v>
      </c>
      <c r="U101" s="174" t="str">
        <f t="shared" si="4"/>
        <v>12-Servicio de apoyo   logístico  en eventos operativos y/o emergencias.</v>
      </c>
      <c r="V101" s="144" t="s">
        <v>233</v>
      </c>
      <c r="W101" s="149" t="str">
        <f>IFERROR(VLOOKUP(V101,TD!$N$33:$O$45,2,0)," ")</f>
        <v>Servicio de atención a emergencias y desastres</v>
      </c>
      <c r="X101" s="174" t="str">
        <f t="shared" si="5"/>
        <v>004_Servicio de atención a emergencias y desastres</v>
      </c>
      <c r="Y101" s="174" t="str">
        <f t="shared" si="6"/>
        <v>12-Servicio de apoyo   logístico  en eventos operativos y/o emergencias. 004_Servicio de atención a emergencias y desastres</v>
      </c>
      <c r="Z101" s="149" t="str">
        <f t="shared" si="7"/>
        <v>O23011745032024025512004</v>
      </c>
      <c r="AA101" s="149" t="str">
        <f>IFERROR(VLOOKUP(Y101,TD!$K$46:$L$64,2,0)," ")</f>
        <v>PM/0131/0112/45030040255</v>
      </c>
      <c r="AB101" s="148" t="s">
        <v>88</v>
      </c>
      <c r="AC101" s="178" t="s">
        <v>205</v>
      </c>
    </row>
    <row r="102" spans="2:29" s="28" customFormat="1" ht="57">
      <c r="B102" s="196">
        <v>20241306</v>
      </c>
      <c r="C102" s="142" t="s">
        <v>210</v>
      </c>
      <c r="D102" s="143" t="s">
        <v>169</v>
      </c>
      <c r="E102" s="144" t="s">
        <v>804</v>
      </c>
      <c r="F102" s="143" t="s">
        <v>865</v>
      </c>
      <c r="G102" s="143" t="s">
        <v>157</v>
      </c>
      <c r="H102" s="145">
        <v>80111600</v>
      </c>
      <c r="I102" s="146">
        <v>11</v>
      </c>
      <c r="J102" s="146">
        <v>2</v>
      </c>
      <c r="K102" s="147">
        <v>15</v>
      </c>
      <c r="L102" s="148">
        <v>7500000</v>
      </c>
      <c r="M102" s="143" t="s">
        <v>173</v>
      </c>
      <c r="N102" s="148" t="s">
        <v>114</v>
      </c>
      <c r="O102" s="144" t="s">
        <v>225</v>
      </c>
      <c r="P102" s="149" t="str">
        <f>IFERROR(VLOOKUP(C102,TD!$B$32:$F$36,2,0)," ")</f>
        <v>O230117</v>
      </c>
      <c r="Q102" s="149" t="str">
        <f>IFERROR(VLOOKUP(C102,TD!$B$32:$F$36,3,0)," ")</f>
        <v>4503</v>
      </c>
      <c r="R102" s="149">
        <f>IFERROR(VLOOKUP(C102,TD!$B$32:$F$36,4,0)," ")</f>
        <v>20240255</v>
      </c>
      <c r="S102" s="144" t="s">
        <v>192</v>
      </c>
      <c r="T102" s="149" t="str">
        <f>IFERROR(VLOOKUP(S102,TD!$J$33:$K$43,2,0)," ")</f>
        <v>Servicio de apoyo   logístico  en eventos operativos y/o emergencias.</v>
      </c>
      <c r="U102" s="174" t="str">
        <f t="shared" si="4"/>
        <v>12-Servicio de apoyo   logístico  en eventos operativos y/o emergencias.</v>
      </c>
      <c r="V102" s="144" t="s">
        <v>233</v>
      </c>
      <c r="W102" s="149" t="str">
        <f>IFERROR(VLOOKUP(V102,TD!$N$33:$O$45,2,0)," ")</f>
        <v>Servicio de atención a emergencias y desastres</v>
      </c>
      <c r="X102" s="174" t="str">
        <f t="shared" si="5"/>
        <v>004_Servicio de atención a emergencias y desastres</v>
      </c>
      <c r="Y102" s="174" t="str">
        <f t="shared" si="6"/>
        <v>12-Servicio de apoyo   logístico  en eventos operativos y/o emergencias. 004_Servicio de atención a emergencias y desastres</v>
      </c>
      <c r="Z102" s="149" t="str">
        <f t="shared" si="7"/>
        <v>O23011745032024025512004</v>
      </c>
      <c r="AA102" s="149" t="str">
        <f>IFERROR(VLOOKUP(Y102,TD!$K$46:$L$64,2,0)," ")</f>
        <v>PM/0131/0112/45030040255</v>
      </c>
      <c r="AB102" s="148" t="s">
        <v>139</v>
      </c>
      <c r="AC102" s="178" t="s">
        <v>205</v>
      </c>
    </row>
    <row r="103" spans="2:29" s="28" customFormat="1" ht="57">
      <c r="B103" s="195">
        <v>20241307</v>
      </c>
      <c r="C103" s="142" t="s">
        <v>210</v>
      </c>
      <c r="D103" s="143" t="s">
        <v>169</v>
      </c>
      <c r="E103" s="144" t="s">
        <v>804</v>
      </c>
      <c r="F103" s="143" t="s">
        <v>866</v>
      </c>
      <c r="G103" s="143" t="s">
        <v>157</v>
      </c>
      <c r="H103" s="145">
        <v>80111600</v>
      </c>
      <c r="I103" s="146">
        <v>11</v>
      </c>
      <c r="J103" s="146">
        <v>1</v>
      </c>
      <c r="K103" s="147">
        <v>0</v>
      </c>
      <c r="L103" s="148">
        <v>3100000</v>
      </c>
      <c r="M103" s="143" t="s">
        <v>173</v>
      </c>
      <c r="N103" s="148" t="s">
        <v>114</v>
      </c>
      <c r="O103" s="144" t="s">
        <v>225</v>
      </c>
      <c r="P103" s="149" t="str">
        <f>IFERROR(VLOOKUP(C103,TD!$B$32:$F$36,2,0)," ")</f>
        <v>O230117</v>
      </c>
      <c r="Q103" s="149" t="str">
        <f>IFERROR(VLOOKUP(C103,TD!$B$32:$F$36,3,0)," ")</f>
        <v>4503</v>
      </c>
      <c r="R103" s="149">
        <f>IFERROR(VLOOKUP(C103,TD!$B$32:$F$36,4,0)," ")</f>
        <v>20240255</v>
      </c>
      <c r="S103" s="144" t="s">
        <v>192</v>
      </c>
      <c r="T103" s="149" t="str">
        <f>IFERROR(VLOOKUP(S103,TD!$J$33:$K$43,2,0)," ")</f>
        <v>Servicio de apoyo   logístico  en eventos operativos y/o emergencias.</v>
      </c>
      <c r="U103" s="174" t="str">
        <f t="shared" si="4"/>
        <v>12-Servicio de apoyo   logístico  en eventos operativos y/o emergencias.</v>
      </c>
      <c r="V103" s="144" t="s">
        <v>233</v>
      </c>
      <c r="W103" s="149" t="str">
        <f>IFERROR(VLOOKUP(V103,TD!$N$33:$O$45,2,0)," ")</f>
        <v>Servicio de atención a emergencias y desastres</v>
      </c>
      <c r="X103" s="174" t="str">
        <f t="shared" si="5"/>
        <v>004_Servicio de atención a emergencias y desastres</v>
      </c>
      <c r="Y103" s="174" t="str">
        <f t="shared" si="6"/>
        <v>12-Servicio de apoyo   logístico  en eventos operativos y/o emergencias. 004_Servicio de atención a emergencias y desastres</v>
      </c>
      <c r="Z103" s="149" t="str">
        <f t="shared" si="7"/>
        <v>O23011745032024025512004</v>
      </c>
      <c r="AA103" s="149" t="str">
        <f>IFERROR(VLOOKUP(Y103,TD!$K$46:$L$64,2,0)," ")</f>
        <v>PM/0131/0112/45030040255</v>
      </c>
      <c r="AB103" s="148" t="s">
        <v>139</v>
      </c>
      <c r="AC103" s="178" t="s">
        <v>206</v>
      </c>
    </row>
    <row r="104" spans="2:29" s="28" customFormat="1" ht="57">
      <c r="B104" s="196">
        <v>20241308</v>
      </c>
      <c r="C104" s="142" t="s">
        <v>210</v>
      </c>
      <c r="D104" s="143" t="s">
        <v>169</v>
      </c>
      <c r="E104" s="144" t="s">
        <v>804</v>
      </c>
      <c r="F104" s="143" t="s">
        <v>867</v>
      </c>
      <c r="G104" s="143" t="s">
        <v>156</v>
      </c>
      <c r="H104" s="145">
        <v>80111600</v>
      </c>
      <c r="I104" s="146">
        <v>11</v>
      </c>
      <c r="J104" s="146">
        <v>2</v>
      </c>
      <c r="K104" s="147">
        <v>15</v>
      </c>
      <c r="L104" s="148">
        <v>10550000</v>
      </c>
      <c r="M104" s="143" t="s">
        <v>173</v>
      </c>
      <c r="N104" s="148" t="s">
        <v>114</v>
      </c>
      <c r="O104" s="144" t="s">
        <v>225</v>
      </c>
      <c r="P104" s="149" t="str">
        <f>IFERROR(VLOOKUP(C104,TD!$B$32:$F$36,2,0)," ")</f>
        <v>O230117</v>
      </c>
      <c r="Q104" s="149" t="str">
        <f>IFERROR(VLOOKUP(C104,TD!$B$32:$F$36,3,0)," ")</f>
        <v>4503</v>
      </c>
      <c r="R104" s="149">
        <f>IFERROR(VLOOKUP(C104,TD!$B$32:$F$36,4,0)," ")</f>
        <v>20240255</v>
      </c>
      <c r="S104" s="144" t="s">
        <v>192</v>
      </c>
      <c r="T104" s="149" t="str">
        <f>IFERROR(VLOOKUP(S104,TD!$J$33:$K$43,2,0)," ")</f>
        <v>Servicio de apoyo   logístico  en eventos operativos y/o emergencias.</v>
      </c>
      <c r="U104" s="174" t="str">
        <f t="shared" si="4"/>
        <v>12-Servicio de apoyo   logístico  en eventos operativos y/o emergencias.</v>
      </c>
      <c r="V104" s="144" t="s">
        <v>233</v>
      </c>
      <c r="W104" s="149" t="str">
        <f>IFERROR(VLOOKUP(V104,TD!$N$33:$O$45,2,0)," ")</f>
        <v>Servicio de atención a emergencias y desastres</v>
      </c>
      <c r="X104" s="174" t="str">
        <f t="shared" si="5"/>
        <v>004_Servicio de atención a emergencias y desastres</v>
      </c>
      <c r="Y104" s="174" t="str">
        <f t="shared" si="6"/>
        <v>12-Servicio de apoyo   logístico  en eventos operativos y/o emergencias. 004_Servicio de atención a emergencias y desastres</v>
      </c>
      <c r="Z104" s="149" t="str">
        <f t="shared" si="7"/>
        <v>O23011745032024025512004</v>
      </c>
      <c r="AA104" s="149" t="str">
        <f>IFERROR(VLOOKUP(Y104,TD!$K$46:$L$64,2,0)," ")</f>
        <v>PM/0131/0112/45030040255</v>
      </c>
      <c r="AB104" s="148" t="s">
        <v>139</v>
      </c>
      <c r="AC104" s="178" t="s">
        <v>205</v>
      </c>
    </row>
    <row r="105" spans="2:29" s="28" customFormat="1" ht="57">
      <c r="B105" s="196">
        <v>20241309</v>
      </c>
      <c r="C105" s="142" t="s">
        <v>210</v>
      </c>
      <c r="D105" s="143" t="s">
        <v>169</v>
      </c>
      <c r="E105" s="144" t="s">
        <v>804</v>
      </c>
      <c r="F105" s="143" t="s">
        <v>868</v>
      </c>
      <c r="G105" s="143" t="s">
        <v>157</v>
      </c>
      <c r="H105" s="145">
        <v>80111600</v>
      </c>
      <c r="I105" s="146">
        <v>12</v>
      </c>
      <c r="J105" s="146">
        <v>2</v>
      </c>
      <c r="K105" s="147">
        <v>0</v>
      </c>
      <c r="L105" s="148">
        <v>6200000</v>
      </c>
      <c r="M105" s="143" t="s">
        <v>173</v>
      </c>
      <c r="N105" s="148" t="s">
        <v>114</v>
      </c>
      <c r="O105" s="144" t="s">
        <v>225</v>
      </c>
      <c r="P105" s="149" t="str">
        <f>IFERROR(VLOOKUP(C105,TD!$B$32:$F$36,2,0)," ")</f>
        <v>O230117</v>
      </c>
      <c r="Q105" s="149" t="str">
        <f>IFERROR(VLOOKUP(C105,TD!$B$32:$F$36,3,0)," ")</f>
        <v>4503</v>
      </c>
      <c r="R105" s="149">
        <f>IFERROR(VLOOKUP(C105,TD!$B$32:$F$36,4,0)," ")</f>
        <v>20240255</v>
      </c>
      <c r="S105" s="144" t="s">
        <v>192</v>
      </c>
      <c r="T105" s="149" t="str">
        <f>IFERROR(VLOOKUP(S105,TD!$J$33:$K$43,2,0)," ")</f>
        <v>Servicio de apoyo   logístico  en eventos operativos y/o emergencias.</v>
      </c>
      <c r="U105" s="174" t="str">
        <f t="shared" si="4"/>
        <v>12-Servicio de apoyo   logístico  en eventos operativos y/o emergencias.</v>
      </c>
      <c r="V105" s="144" t="s">
        <v>233</v>
      </c>
      <c r="W105" s="149" t="str">
        <f>IFERROR(VLOOKUP(V105,TD!$N$33:$O$45,2,0)," ")</f>
        <v>Servicio de atención a emergencias y desastres</v>
      </c>
      <c r="X105" s="174" t="str">
        <f t="shared" si="5"/>
        <v>004_Servicio de atención a emergencias y desastres</v>
      </c>
      <c r="Y105" s="174" t="str">
        <f t="shared" si="6"/>
        <v>12-Servicio de apoyo   logístico  en eventos operativos y/o emergencias. 004_Servicio de atención a emergencias y desastres</v>
      </c>
      <c r="Z105" s="149" t="str">
        <f t="shared" si="7"/>
        <v>O23011745032024025512004</v>
      </c>
      <c r="AA105" s="149" t="str">
        <f>IFERROR(VLOOKUP(Y105,TD!$K$46:$L$64,2,0)," ")</f>
        <v>PM/0131/0112/45030040255</v>
      </c>
      <c r="AB105" s="148" t="s">
        <v>139</v>
      </c>
      <c r="AC105" s="178" t="s">
        <v>205</v>
      </c>
    </row>
    <row r="106" spans="2:29" s="28" customFormat="1" ht="57">
      <c r="B106" s="195">
        <v>20241310</v>
      </c>
      <c r="C106" s="142" t="s">
        <v>210</v>
      </c>
      <c r="D106" s="143" t="s">
        <v>166</v>
      </c>
      <c r="E106" s="144" t="s">
        <v>857</v>
      </c>
      <c r="F106" s="143" t="s">
        <v>871</v>
      </c>
      <c r="G106" s="143" t="s">
        <v>156</v>
      </c>
      <c r="H106" s="145">
        <v>80111600</v>
      </c>
      <c r="I106" s="146">
        <v>10</v>
      </c>
      <c r="J106" s="146">
        <v>2</v>
      </c>
      <c r="K106" s="147">
        <v>15</v>
      </c>
      <c r="L106" s="148">
        <v>15035000</v>
      </c>
      <c r="M106" s="143" t="s">
        <v>173</v>
      </c>
      <c r="N106" s="148" t="s">
        <v>114</v>
      </c>
      <c r="O106" s="144" t="s">
        <v>230</v>
      </c>
      <c r="P106" s="149" t="str">
        <f>IFERROR(VLOOKUP(C106,TD!$B$32:$F$36,2,0)," ")</f>
        <v>O230117</v>
      </c>
      <c r="Q106" s="149" t="str">
        <f>IFERROR(VLOOKUP(C106,TD!$B$32:$F$36,3,0)," ")</f>
        <v>4503</v>
      </c>
      <c r="R106" s="149">
        <f>IFERROR(VLOOKUP(C106,TD!$B$32:$F$36,4,0)," ")</f>
        <v>20240255</v>
      </c>
      <c r="S106" s="144" t="s">
        <v>184</v>
      </c>
      <c r="T106" s="149" t="str">
        <f>IFERROR(VLOOKUP(S106,TD!$J$33:$K$43,2,0)," ")</f>
        <v>Servicio de formación en gestión del riesgo de incendios para el personal UAECOB</v>
      </c>
      <c r="U106" s="177" t="str">
        <f t="shared" si="4"/>
        <v>07-Servicio de formación en gestión del riesgo de incendios para el personal UAECOB</v>
      </c>
      <c r="V106" s="144" t="s">
        <v>234</v>
      </c>
      <c r="W106" s="149" t="str">
        <f>IFERROR(VLOOKUP(V106,TD!$N$33:$O$45,2,0)," ")</f>
        <v>Servicio de educación informal</v>
      </c>
      <c r="X106" s="177" t="str">
        <f t="shared" si="5"/>
        <v>002_Servicio de educación informal</v>
      </c>
      <c r="Y106" s="177" t="str">
        <f t="shared" si="6"/>
        <v>07-Servicio de formación en gestión del riesgo de incendios para el personal UAECOB 002_Servicio de educación informal</v>
      </c>
      <c r="Z106" s="149" t="str">
        <f t="shared" si="7"/>
        <v>O23011745032024025507002</v>
      </c>
      <c r="AA106" s="149" t="str">
        <f>IFERROR(VLOOKUP(Y106,TD!$K$46:$L$64,2,0)," ")</f>
        <v>PM/0131/0107/45030020255</v>
      </c>
      <c r="AB106" s="148" t="s">
        <v>139</v>
      </c>
      <c r="AC106" s="178" t="s">
        <v>206</v>
      </c>
    </row>
    <row r="107" spans="2:29" s="28" customFormat="1" ht="57">
      <c r="B107" s="195">
        <v>20241311</v>
      </c>
      <c r="C107" s="142" t="s">
        <v>210</v>
      </c>
      <c r="D107" s="143" t="s">
        <v>166</v>
      </c>
      <c r="E107" s="144" t="s">
        <v>857</v>
      </c>
      <c r="F107" s="143" t="s">
        <v>872</v>
      </c>
      <c r="G107" s="143" t="s">
        <v>157</v>
      </c>
      <c r="H107" s="145">
        <v>80111600</v>
      </c>
      <c r="I107" s="146">
        <v>10</v>
      </c>
      <c r="J107" s="146">
        <v>3</v>
      </c>
      <c r="K107" s="147">
        <v>0</v>
      </c>
      <c r="L107" s="148">
        <v>7770000</v>
      </c>
      <c r="M107" s="143" t="s">
        <v>173</v>
      </c>
      <c r="N107" s="148" t="s">
        <v>114</v>
      </c>
      <c r="O107" s="144" t="s">
        <v>230</v>
      </c>
      <c r="P107" s="149" t="str">
        <f>IFERROR(VLOOKUP(C107,TD!$B$32:$F$36,2,0)," ")</f>
        <v>O230117</v>
      </c>
      <c r="Q107" s="149" t="str">
        <f>IFERROR(VLOOKUP(C107,TD!$B$32:$F$36,3,0)," ")</f>
        <v>4503</v>
      </c>
      <c r="R107" s="149">
        <f>IFERROR(VLOOKUP(C107,TD!$B$32:$F$36,4,0)," ")</f>
        <v>20240255</v>
      </c>
      <c r="S107" s="144" t="s">
        <v>184</v>
      </c>
      <c r="T107" s="149" t="str">
        <f>IFERROR(VLOOKUP(S107,TD!$J$33:$K$43,2,0)," ")</f>
        <v>Servicio de formación en gestión del riesgo de incendios para el personal UAECOB</v>
      </c>
      <c r="U107" s="177" t="str">
        <f t="shared" si="4"/>
        <v>07-Servicio de formación en gestión del riesgo de incendios para el personal UAECOB</v>
      </c>
      <c r="V107" s="144" t="s">
        <v>234</v>
      </c>
      <c r="W107" s="149" t="str">
        <f>IFERROR(VLOOKUP(V107,TD!$N$33:$O$45,2,0)," ")</f>
        <v>Servicio de educación informal</v>
      </c>
      <c r="X107" s="177" t="str">
        <f t="shared" si="5"/>
        <v>002_Servicio de educación informal</v>
      </c>
      <c r="Y107" s="177" t="str">
        <f t="shared" si="6"/>
        <v>07-Servicio de formación en gestión del riesgo de incendios para el personal UAECOB 002_Servicio de educación informal</v>
      </c>
      <c r="Z107" s="149" t="str">
        <f t="shared" si="7"/>
        <v>O23011745032024025507002</v>
      </c>
      <c r="AA107" s="149" t="str">
        <f>IFERROR(VLOOKUP(Y107,TD!$K$46:$L$64,2,0)," ")</f>
        <v>PM/0131/0107/45030020255</v>
      </c>
      <c r="AB107" s="148" t="s">
        <v>139</v>
      </c>
      <c r="AC107" s="178" t="s">
        <v>206</v>
      </c>
    </row>
    <row r="108" spans="2:29" s="28" customFormat="1" ht="57">
      <c r="B108" s="195">
        <v>20241312</v>
      </c>
      <c r="C108" s="142" t="s">
        <v>210</v>
      </c>
      <c r="D108" s="143" t="s">
        <v>166</v>
      </c>
      <c r="E108" s="144" t="s">
        <v>857</v>
      </c>
      <c r="F108" s="143" t="s">
        <v>873</v>
      </c>
      <c r="G108" s="143" t="s">
        <v>156</v>
      </c>
      <c r="H108" s="145">
        <v>80111600</v>
      </c>
      <c r="I108" s="146">
        <v>10</v>
      </c>
      <c r="J108" s="146">
        <v>2</v>
      </c>
      <c r="K108" s="147">
        <v>15</v>
      </c>
      <c r="L108" s="148">
        <v>13425500</v>
      </c>
      <c r="M108" s="143" t="s">
        <v>173</v>
      </c>
      <c r="N108" s="148" t="s">
        <v>114</v>
      </c>
      <c r="O108" s="144" t="s">
        <v>230</v>
      </c>
      <c r="P108" s="149" t="str">
        <f>IFERROR(VLOOKUP(C108,TD!$B$32:$F$36,2,0)," ")</f>
        <v>O230117</v>
      </c>
      <c r="Q108" s="149" t="str">
        <f>IFERROR(VLOOKUP(C108,TD!$B$32:$F$36,3,0)," ")</f>
        <v>4503</v>
      </c>
      <c r="R108" s="149">
        <f>IFERROR(VLOOKUP(C108,TD!$B$32:$F$36,4,0)," ")</f>
        <v>20240255</v>
      </c>
      <c r="S108" s="144" t="s">
        <v>184</v>
      </c>
      <c r="T108" s="149" t="str">
        <f>IFERROR(VLOOKUP(S108,TD!$J$33:$K$43,2,0)," ")</f>
        <v>Servicio de formación en gestión del riesgo de incendios para el personal UAECOB</v>
      </c>
      <c r="U108" s="177" t="str">
        <f t="shared" si="4"/>
        <v>07-Servicio de formación en gestión del riesgo de incendios para el personal UAECOB</v>
      </c>
      <c r="V108" s="144" t="s">
        <v>234</v>
      </c>
      <c r="W108" s="149" t="str">
        <f>IFERROR(VLOOKUP(V108,TD!$N$33:$O$45,2,0)," ")</f>
        <v>Servicio de educación informal</v>
      </c>
      <c r="X108" s="177" t="str">
        <f t="shared" si="5"/>
        <v>002_Servicio de educación informal</v>
      </c>
      <c r="Y108" s="177" t="str">
        <f t="shared" si="6"/>
        <v>07-Servicio de formación en gestión del riesgo de incendios para el personal UAECOB 002_Servicio de educación informal</v>
      </c>
      <c r="Z108" s="149" t="str">
        <f t="shared" si="7"/>
        <v>O23011745032024025507002</v>
      </c>
      <c r="AA108" s="149" t="str">
        <f>IFERROR(VLOOKUP(Y108,TD!$K$46:$L$64,2,0)," ")</f>
        <v>PM/0131/0107/45030020255</v>
      </c>
      <c r="AB108" s="148" t="s">
        <v>139</v>
      </c>
      <c r="AC108" s="178" t="s">
        <v>206</v>
      </c>
    </row>
    <row r="109" spans="2:29" s="28" customFormat="1" ht="57">
      <c r="B109" s="196">
        <v>20241313</v>
      </c>
      <c r="C109" s="142" t="s">
        <v>210</v>
      </c>
      <c r="D109" s="143" t="s">
        <v>166</v>
      </c>
      <c r="E109" s="144" t="s">
        <v>857</v>
      </c>
      <c r="F109" s="143" t="s">
        <v>532</v>
      </c>
      <c r="G109" s="143" t="s">
        <v>156</v>
      </c>
      <c r="H109" s="145">
        <v>80111600</v>
      </c>
      <c r="I109" s="146">
        <v>7</v>
      </c>
      <c r="J109" s="146">
        <v>2</v>
      </c>
      <c r="K109" s="147">
        <v>15</v>
      </c>
      <c r="L109" s="148">
        <v>10887500</v>
      </c>
      <c r="M109" s="143" t="s">
        <v>173</v>
      </c>
      <c r="N109" s="148" t="s">
        <v>114</v>
      </c>
      <c r="O109" s="144" t="s">
        <v>230</v>
      </c>
      <c r="P109" s="149" t="str">
        <f>IFERROR(VLOOKUP(C109,TD!$B$32:$F$36,2,0)," ")</f>
        <v>O230117</v>
      </c>
      <c r="Q109" s="149" t="str">
        <f>IFERROR(VLOOKUP(C109,TD!$B$32:$F$36,3,0)," ")</f>
        <v>4503</v>
      </c>
      <c r="R109" s="149">
        <f>IFERROR(VLOOKUP(C109,TD!$B$32:$F$36,4,0)," ")</f>
        <v>20240255</v>
      </c>
      <c r="S109" s="144" t="s">
        <v>184</v>
      </c>
      <c r="T109" s="149" t="str">
        <f>IFERROR(VLOOKUP(S109,TD!$J$33:$K$43,2,0)," ")</f>
        <v>Servicio de formación en gestión del riesgo de incendios para el personal UAECOB</v>
      </c>
      <c r="U109" s="177" t="str">
        <f t="shared" si="4"/>
        <v>07-Servicio de formación en gestión del riesgo de incendios para el personal UAECOB</v>
      </c>
      <c r="V109" s="144" t="s">
        <v>234</v>
      </c>
      <c r="W109" s="149" t="str">
        <f>IFERROR(VLOOKUP(V109,TD!$N$33:$O$45,2,0)," ")</f>
        <v>Servicio de educación informal</v>
      </c>
      <c r="X109" s="177" t="str">
        <f t="shared" si="5"/>
        <v>002_Servicio de educación informal</v>
      </c>
      <c r="Y109" s="177" t="str">
        <f t="shared" si="6"/>
        <v>07-Servicio de formación en gestión del riesgo de incendios para el personal UAECOB 002_Servicio de educación informal</v>
      </c>
      <c r="Z109" s="149" t="str">
        <f t="shared" si="7"/>
        <v>O23011745032024025507002</v>
      </c>
      <c r="AA109" s="149" t="str">
        <f>IFERROR(VLOOKUP(Y109,TD!$K$46:$L$64,2,0)," ")</f>
        <v>PM/0131/0107/45030020255</v>
      </c>
      <c r="AB109" s="148" t="s">
        <v>139</v>
      </c>
      <c r="AC109" s="178" t="s">
        <v>205</v>
      </c>
    </row>
    <row r="110" spans="2:29" s="28" customFormat="1" ht="57">
      <c r="B110" s="195">
        <v>20241314</v>
      </c>
      <c r="C110" s="142" t="s">
        <v>210</v>
      </c>
      <c r="D110" s="143" t="s">
        <v>166</v>
      </c>
      <c r="E110" s="144" t="s">
        <v>857</v>
      </c>
      <c r="F110" s="143" t="s">
        <v>874</v>
      </c>
      <c r="G110" s="143" t="s">
        <v>156</v>
      </c>
      <c r="H110" s="145">
        <v>80111600</v>
      </c>
      <c r="I110" s="146">
        <v>10</v>
      </c>
      <c r="J110" s="146">
        <v>2</v>
      </c>
      <c r="K110" s="147">
        <v>15</v>
      </c>
      <c r="L110" s="148">
        <v>11250000</v>
      </c>
      <c r="M110" s="143" t="s">
        <v>173</v>
      </c>
      <c r="N110" s="148" t="s">
        <v>114</v>
      </c>
      <c r="O110" s="144" t="s">
        <v>230</v>
      </c>
      <c r="P110" s="149" t="str">
        <f>IFERROR(VLOOKUP(C110,TD!$B$32:$F$36,2,0)," ")</f>
        <v>O230117</v>
      </c>
      <c r="Q110" s="149" t="str">
        <f>IFERROR(VLOOKUP(C110,TD!$B$32:$F$36,3,0)," ")</f>
        <v>4503</v>
      </c>
      <c r="R110" s="149">
        <f>IFERROR(VLOOKUP(C110,TD!$B$32:$F$36,4,0)," ")</f>
        <v>20240255</v>
      </c>
      <c r="S110" s="144" t="s">
        <v>184</v>
      </c>
      <c r="T110" s="149" t="str">
        <f>IFERROR(VLOOKUP(S110,TD!$J$33:$K$43,2,0)," ")</f>
        <v>Servicio de formación en gestión del riesgo de incendios para el personal UAECOB</v>
      </c>
      <c r="U110" s="177" t="str">
        <f t="shared" si="4"/>
        <v>07-Servicio de formación en gestión del riesgo de incendios para el personal UAECOB</v>
      </c>
      <c r="V110" s="144" t="s">
        <v>234</v>
      </c>
      <c r="W110" s="149" t="str">
        <f>IFERROR(VLOOKUP(V110,TD!$N$33:$O$45,2,0)," ")</f>
        <v>Servicio de educación informal</v>
      </c>
      <c r="X110" s="177" t="str">
        <f t="shared" si="5"/>
        <v>002_Servicio de educación informal</v>
      </c>
      <c r="Y110" s="177" t="str">
        <f t="shared" si="6"/>
        <v>07-Servicio de formación en gestión del riesgo de incendios para el personal UAECOB 002_Servicio de educación informal</v>
      </c>
      <c r="Z110" s="149" t="str">
        <f t="shared" si="7"/>
        <v>O23011745032024025507002</v>
      </c>
      <c r="AA110" s="149" t="str">
        <f>IFERROR(VLOOKUP(Y110,TD!$K$46:$L$64,2,0)," ")</f>
        <v>PM/0131/0107/45030020255</v>
      </c>
      <c r="AB110" s="148" t="s">
        <v>139</v>
      </c>
      <c r="AC110" s="178" t="s">
        <v>206</v>
      </c>
    </row>
    <row r="111" spans="2:29" s="28" customFormat="1" ht="99.75">
      <c r="B111" s="196">
        <v>20241315</v>
      </c>
      <c r="C111" s="142" t="s">
        <v>210</v>
      </c>
      <c r="D111" s="143" t="s">
        <v>166</v>
      </c>
      <c r="E111" s="144" t="s">
        <v>857</v>
      </c>
      <c r="F111" s="143" t="s">
        <v>875</v>
      </c>
      <c r="G111" s="143" t="s">
        <v>156</v>
      </c>
      <c r="H111" s="145">
        <v>80111600</v>
      </c>
      <c r="I111" s="146">
        <v>11</v>
      </c>
      <c r="J111" s="146">
        <v>3</v>
      </c>
      <c r="K111" s="147">
        <v>0</v>
      </c>
      <c r="L111" s="148">
        <v>15000000</v>
      </c>
      <c r="M111" s="143" t="s">
        <v>173</v>
      </c>
      <c r="N111" s="148" t="s">
        <v>114</v>
      </c>
      <c r="O111" s="144" t="s">
        <v>230</v>
      </c>
      <c r="P111" s="149" t="str">
        <f>IFERROR(VLOOKUP(C111,TD!$B$32:$F$36,2,0)," ")</f>
        <v>O230117</v>
      </c>
      <c r="Q111" s="149" t="str">
        <f>IFERROR(VLOOKUP(C111,TD!$B$32:$F$36,3,0)," ")</f>
        <v>4503</v>
      </c>
      <c r="R111" s="149">
        <f>IFERROR(VLOOKUP(C111,TD!$B$32:$F$36,4,0)," ")</f>
        <v>20240255</v>
      </c>
      <c r="S111" s="144" t="s">
        <v>184</v>
      </c>
      <c r="T111" s="149" t="str">
        <f>IFERROR(VLOOKUP(S111,TD!$J$33:$K$43,2,0)," ")</f>
        <v>Servicio de formación en gestión del riesgo de incendios para el personal UAECOB</v>
      </c>
      <c r="U111" s="177" t="str">
        <f t="shared" si="4"/>
        <v>07-Servicio de formación en gestión del riesgo de incendios para el personal UAECOB</v>
      </c>
      <c r="V111" s="144" t="s">
        <v>234</v>
      </c>
      <c r="W111" s="149" t="str">
        <f>IFERROR(VLOOKUP(V111,TD!$N$33:$O$45,2,0)," ")</f>
        <v>Servicio de educación informal</v>
      </c>
      <c r="X111" s="177" t="str">
        <f t="shared" si="5"/>
        <v>002_Servicio de educación informal</v>
      </c>
      <c r="Y111" s="177" t="str">
        <f t="shared" si="6"/>
        <v>07-Servicio de formación en gestión del riesgo de incendios para el personal UAECOB 002_Servicio de educación informal</v>
      </c>
      <c r="Z111" s="149" t="str">
        <f t="shared" si="7"/>
        <v>O23011745032024025507002</v>
      </c>
      <c r="AA111" s="149" t="str">
        <f>IFERROR(VLOOKUP(Y111,TD!$K$46:$L$64,2,0)," ")</f>
        <v>PM/0131/0107/45030020255</v>
      </c>
      <c r="AB111" s="148" t="s">
        <v>139</v>
      </c>
      <c r="AC111" s="178" t="s">
        <v>205</v>
      </c>
    </row>
    <row r="112" spans="2:29" s="28" customFormat="1" ht="57">
      <c r="B112" s="195">
        <v>20241316</v>
      </c>
      <c r="C112" s="142" t="s">
        <v>209</v>
      </c>
      <c r="D112" s="143" t="s">
        <v>165</v>
      </c>
      <c r="E112" s="144" t="s">
        <v>517</v>
      </c>
      <c r="F112" s="143" t="s">
        <v>876</v>
      </c>
      <c r="G112" s="143" t="s">
        <v>156</v>
      </c>
      <c r="H112" s="145">
        <v>80111600</v>
      </c>
      <c r="I112" s="146">
        <v>12</v>
      </c>
      <c r="J112" s="146">
        <v>1</v>
      </c>
      <c r="K112" s="147">
        <v>0</v>
      </c>
      <c r="L112" s="148">
        <v>7000000</v>
      </c>
      <c r="M112" s="143" t="s">
        <v>173</v>
      </c>
      <c r="N112" s="148" t="s">
        <v>114</v>
      </c>
      <c r="O112" s="144" t="s">
        <v>220</v>
      </c>
      <c r="P112" s="149" t="str">
        <f>IFERROR(VLOOKUP(C112,TD!$B$32:$F$36,2,0)," ")</f>
        <v>O230117</v>
      </c>
      <c r="Q112" s="149" t="str">
        <f>IFERROR(VLOOKUP(C112,TD!$B$32:$F$36,3,0)," ")</f>
        <v>4599</v>
      </c>
      <c r="R112" s="149">
        <f>IFERROR(VLOOKUP(C112,TD!$B$32:$F$36,4,0)," ")</f>
        <v>20240207</v>
      </c>
      <c r="S112" s="144" t="s">
        <v>186</v>
      </c>
      <c r="T112" s="149" t="str">
        <f>IFERROR(VLOOKUP(S112,TD!$J$33:$K$43,2,0)," ")</f>
        <v>Infraestructura física, mantenimiento y dotación (Sedes construidas, mantenidas reforzadas)</v>
      </c>
      <c r="U112" s="177" t="str">
        <f t="shared" si="4"/>
        <v>08-Infraestructura física, mantenimiento y dotación (Sedes construidas, mantenidas reforzadas)</v>
      </c>
      <c r="V112" s="144" t="s">
        <v>239</v>
      </c>
      <c r="W112" s="149" t="str">
        <f>IFERROR(VLOOKUP(V112,TD!$N$33:$O$45,2,0)," ")</f>
        <v>Sedes mantenidas</v>
      </c>
      <c r="X112" s="177" t="str">
        <f t="shared" si="5"/>
        <v>016_Sedes mantenidas</v>
      </c>
      <c r="Y112" s="177" t="str">
        <f t="shared" si="6"/>
        <v>08-Infraestructura física, mantenimiento y dotación (Sedes construidas, mantenidas reforzadas) 016_Sedes mantenidas</v>
      </c>
      <c r="Z112" s="149" t="str">
        <f t="shared" si="7"/>
        <v>O23011745992024020708016</v>
      </c>
      <c r="AA112" s="149" t="str">
        <f>IFERROR(VLOOKUP(Y112,TD!$K$46:$L$64,2,0)," ")</f>
        <v>PM/0131/0108/45990160207</v>
      </c>
      <c r="AB112" s="148" t="s">
        <v>139</v>
      </c>
      <c r="AC112" s="178" t="s">
        <v>206</v>
      </c>
    </row>
    <row r="113" spans="2:29" s="28" customFormat="1" ht="57">
      <c r="B113" s="195">
        <v>20241317</v>
      </c>
      <c r="C113" s="142" t="s">
        <v>209</v>
      </c>
      <c r="D113" s="143" t="s">
        <v>165</v>
      </c>
      <c r="E113" s="144" t="s">
        <v>517</v>
      </c>
      <c r="F113" s="143" t="s">
        <v>877</v>
      </c>
      <c r="G113" s="143" t="s">
        <v>156</v>
      </c>
      <c r="H113" s="145">
        <v>80111600</v>
      </c>
      <c r="I113" s="146">
        <v>12</v>
      </c>
      <c r="J113" s="146">
        <v>1</v>
      </c>
      <c r="K113" s="147">
        <v>25</v>
      </c>
      <c r="L113" s="148">
        <v>7058333</v>
      </c>
      <c r="M113" s="143" t="s">
        <v>173</v>
      </c>
      <c r="N113" s="148" t="s">
        <v>114</v>
      </c>
      <c r="O113" s="144" t="s">
        <v>220</v>
      </c>
      <c r="P113" s="149" t="str">
        <f>IFERROR(VLOOKUP(C113,TD!$B$32:$F$36,2,0)," ")</f>
        <v>O230117</v>
      </c>
      <c r="Q113" s="149" t="str">
        <f>IFERROR(VLOOKUP(C113,TD!$B$32:$F$36,3,0)," ")</f>
        <v>4599</v>
      </c>
      <c r="R113" s="149">
        <f>IFERROR(VLOOKUP(C113,TD!$B$32:$F$36,4,0)," ")</f>
        <v>20240207</v>
      </c>
      <c r="S113" s="144" t="s">
        <v>186</v>
      </c>
      <c r="T113" s="149" t="str">
        <f>IFERROR(VLOOKUP(S113,TD!$J$33:$K$43,2,0)," ")</f>
        <v>Infraestructura física, mantenimiento y dotación (Sedes construidas, mantenidas reforzadas)</v>
      </c>
      <c r="U113" s="177" t="str">
        <f t="shared" si="4"/>
        <v>08-Infraestructura física, mantenimiento y dotación (Sedes construidas, mantenidas reforzadas)</v>
      </c>
      <c r="V113" s="144" t="s">
        <v>239</v>
      </c>
      <c r="W113" s="149" t="str">
        <f>IFERROR(VLOOKUP(V113,TD!$N$33:$O$45,2,0)," ")</f>
        <v>Sedes mantenidas</v>
      </c>
      <c r="X113" s="177" t="str">
        <f t="shared" si="5"/>
        <v>016_Sedes mantenidas</v>
      </c>
      <c r="Y113" s="177" t="str">
        <f t="shared" si="6"/>
        <v>08-Infraestructura física, mantenimiento y dotación (Sedes construidas, mantenidas reforzadas) 016_Sedes mantenidas</v>
      </c>
      <c r="Z113" s="149" t="str">
        <f t="shared" si="7"/>
        <v>O23011745992024020708016</v>
      </c>
      <c r="AA113" s="149" t="str">
        <f>IFERROR(VLOOKUP(Y113,TD!$K$46:$L$64,2,0)," ")</f>
        <v>PM/0131/0108/45990160207</v>
      </c>
      <c r="AB113" s="148" t="s">
        <v>139</v>
      </c>
      <c r="AC113" s="178" t="s">
        <v>206</v>
      </c>
    </row>
    <row r="114" spans="2:29" s="28" customFormat="1" ht="57">
      <c r="B114" s="195">
        <v>20241318</v>
      </c>
      <c r="C114" s="142" t="s">
        <v>209</v>
      </c>
      <c r="D114" s="143" t="s">
        <v>165</v>
      </c>
      <c r="E114" s="144" t="s">
        <v>517</v>
      </c>
      <c r="F114" s="143" t="s">
        <v>878</v>
      </c>
      <c r="G114" s="143" t="s">
        <v>156</v>
      </c>
      <c r="H114" s="145">
        <v>80111600</v>
      </c>
      <c r="I114" s="146">
        <v>12</v>
      </c>
      <c r="J114" s="146">
        <v>1</v>
      </c>
      <c r="K114" s="147">
        <v>15</v>
      </c>
      <c r="L114" s="148">
        <v>11775000</v>
      </c>
      <c r="M114" s="143" t="s">
        <v>173</v>
      </c>
      <c r="N114" s="148" t="s">
        <v>114</v>
      </c>
      <c r="O114" s="144" t="s">
        <v>220</v>
      </c>
      <c r="P114" s="149" t="str">
        <f>IFERROR(VLOOKUP(C114,TD!$B$32:$F$36,2,0)," ")</f>
        <v>O230117</v>
      </c>
      <c r="Q114" s="149" t="str">
        <f>IFERROR(VLOOKUP(C114,TD!$B$32:$F$36,3,0)," ")</f>
        <v>4599</v>
      </c>
      <c r="R114" s="149">
        <f>IFERROR(VLOOKUP(C114,TD!$B$32:$F$36,4,0)," ")</f>
        <v>20240207</v>
      </c>
      <c r="S114" s="144" t="s">
        <v>186</v>
      </c>
      <c r="T114" s="149" t="str">
        <f>IFERROR(VLOOKUP(S114,TD!$J$33:$K$43,2,0)," ")</f>
        <v>Infraestructura física, mantenimiento y dotación (Sedes construidas, mantenidas reforzadas)</v>
      </c>
      <c r="U114" s="177" t="str">
        <f t="shared" si="4"/>
        <v>08-Infraestructura física, mantenimiento y dotación (Sedes construidas, mantenidas reforzadas)</v>
      </c>
      <c r="V114" s="144" t="s">
        <v>239</v>
      </c>
      <c r="W114" s="149" t="str">
        <f>IFERROR(VLOOKUP(V114,TD!$N$33:$O$45,2,0)," ")</f>
        <v>Sedes mantenidas</v>
      </c>
      <c r="X114" s="177" t="str">
        <f t="shared" si="5"/>
        <v>016_Sedes mantenidas</v>
      </c>
      <c r="Y114" s="177" t="str">
        <f t="shared" si="6"/>
        <v>08-Infraestructura física, mantenimiento y dotación (Sedes construidas, mantenidas reforzadas) 016_Sedes mantenidas</v>
      </c>
      <c r="Z114" s="149" t="str">
        <f t="shared" si="7"/>
        <v>O23011745992024020708016</v>
      </c>
      <c r="AA114" s="149" t="str">
        <f>IFERROR(VLOOKUP(Y114,TD!$K$46:$L$64,2,0)," ")</f>
        <v>PM/0131/0108/45990160207</v>
      </c>
      <c r="AB114" s="148" t="s">
        <v>139</v>
      </c>
      <c r="AC114" s="178" t="s">
        <v>206</v>
      </c>
    </row>
    <row r="115" spans="2:29" s="28" customFormat="1" ht="57">
      <c r="B115" s="195">
        <v>20241319</v>
      </c>
      <c r="C115" s="142" t="s">
        <v>209</v>
      </c>
      <c r="D115" s="143" t="s">
        <v>165</v>
      </c>
      <c r="E115" s="144" t="s">
        <v>517</v>
      </c>
      <c r="F115" s="143" t="s">
        <v>879</v>
      </c>
      <c r="G115" s="143" t="s">
        <v>156</v>
      </c>
      <c r="H115" s="145">
        <v>80111600</v>
      </c>
      <c r="I115" s="146">
        <v>12</v>
      </c>
      <c r="J115" s="146">
        <v>2</v>
      </c>
      <c r="K115" s="147">
        <v>0</v>
      </c>
      <c r="L115" s="148">
        <v>18000000</v>
      </c>
      <c r="M115" s="143" t="s">
        <v>173</v>
      </c>
      <c r="N115" s="148" t="s">
        <v>114</v>
      </c>
      <c r="O115" s="144" t="s">
        <v>220</v>
      </c>
      <c r="P115" s="149" t="str">
        <f>IFERROR(VLOOKUP(C115,TD!$B$32:$F$36,2,0)," ")</f>
        <v>O230117</v>
      </c>
      <c r="Q115" s="149" t="str">
        <f>IFERROR(VLOOKUP(C115,TD!$B$32:$F$36,3,0)," ")</f>
        <v>4599</v>
      </c>
      <c r="R115" s="149">
        <f>IFERROR(VLOOKUP(C115,TD!$B$32:$F$36,4,0)," ")</f>
        <v>20240207</v>
      </c>
      <c r="S115" s="144" t="s">
        <v>186</v>
      </c>
      <c r="T115" s="149" t="str">
        <f>IFERROR(VLOOKUP(S115,TD!$J$33:$K$43,2,0)," ")</f>
        <v>Infraestructura física, mantenimiento y dotación (Sedes construidas, mantenidas reforzadas)</v>
      </c>
      <c r="U115" s="177" t="str">
        <f t="shared" si="4"/>
        <v>08-Infraestructura física, mantenimiento y dotación (Sedes construidas, mantenidas reforzadas)</v>
      </c>
      <c r="V115" s="144" t="s">
        <v>239</v>
      </c>
      <c r="W115" s="149" t="str">
        <f>IFERROR(VLOOKUP(V115,TD!$N$33:$O$45,2,0)," ")</f>
        <v>Sedes mantenidas</v>
      </c>
      <c r="X115" s="177" t="str">
        <f t="shared" si="5"/>
        <v>016_Sedes mantenidas</v>
      </c>
      <c r="Y115" s="177" t="str">
        <f t="shared" si="6"/>
        <v>08-Infraestructura física, mantenimiento y dotación (Sedes construidas, mantenidas reforzadas) 016_Sedes mantenidas</v>
      </c>
      <c r="Z115" s="149" t="str">
        <f t="shared" si="7"/>
        <v>O23011745992024020708016</v>
      </c>
      <c r="AA115" s="149" t="str">
        <f>IFERROR(VLOOKUP(Y115,TD!$K$46:$L$64,2,0)," ")</f>
        <v>PM/0131/0108/45990160207</v>
      </c>
      <c r="AB115" s="148" t="s">
        <v>139</v>
      </c>
      <c r="AC115" s="178" t="s">
        <v>206</v>
      </c>
    </row>
    <row r="116" spans="2:29" s="28" customFormat="1" ht="57">
      <c r="B116" s="195">
        <v>20241320</v>
      </c>
      <c r="C116" s="142" t="s">
        <v>209</v>
      </c>
      <c r="D116" s="143" t="s">
        <v>165</v>
      </c>
      <c r="E116" s="144" t="s">
        <v>517</v>
      </c>
      <c r="F116" s="143" t="s">
        <v>821</v>
      </c>
      <c r="G116" s="143" t="s">
        <v>156</v>
      </c>
      <c r="H116" s="145">
        <v>80111600</v>
      </c>
      <c r="I116" s="146">
        <v>11</v>
      </c>
      <c r="J116" s="146">
        <v>3</v>
      </c>
      <c r="K116" s="147">
        <v>0</v>
      </c>
      <c r="L116" s="148">
        <v>19500000</v>
      </c>
      <c r="M116" s="143" t="s">
        <v>173</v>
      </c>
      <c r="N116" s="148" t="s">
        <v>114</v>
      </c>
      <c r="O116" s="144" t="s">
        <v>220</v>
      </c>
      <c r="P116" s="149" t="str">
        <f>IFERROR(VLOOKUP(C116,TD!$B$32:$F$36,2,0)," ")</f>
        <v>O230117</v>
      </c>
      <c r="Q116" s="149" t="str">
        <f>IFERROR(VLOOKUP(C116,TD!$B$32:$F$36,3,0)," ")</f>
        <v>4599</v>
      </c>
      <c r="R116" s="149">
        <f>IFERROR(VLOOKUP(C116,TD!$B$32:$F$36,4,0)," ")</f>
        <v>20240207</v>
      </c>
      <c r="S116" s="144" t="s">
        <v>186</v>
      </c>
      <c r="T116" s="149" t="str">
        <f>IFERROR(VLOOKUP(S116,TD!$J$33:$K$43,2,0)," ")</f>
        <v>Infraestructura física, mantenimiento y dotación (Sedes construidas, mantenidas reforzadas)</v>
      </c>
      <c r="U116" s="177" t="str">
        <f t="shared" si="4"/>
        <v>08-Infraestructura física, mantenimiento y dotación (Sedes construidas, mantenidas reforzadas)</v>
      </c>
      <c r="V116" s="144" t="s">
        <v>239</v>
      </c>
      <c r="W116" s="149" t="str">
        <f>IFERROR(VLOOKUP(V116,TD!$N$33:$O$45,2,0)," ")</f>
        <v>Sedes mantenidas</v>
      </c>
      <c r="X116" s="177" t="str">
        <f t="shared" si="5"/>
        <v>016_Sedes mantenidas</v>
      </c>
      <c r="Y116" s="177" t="str">
        <f t="shared" si="6"/>
        <v>08-Infraestructura física, mantenimiento y dotación (Sedes construidas, mantenidas reforzadas) 016_Sedes mantenidas</v>
      </c>
      <c r="Z116" s="149" t="str">
        <f t="shared" si="7"/>
        <v>O23011745992024020708016</v>
      </c>
      <c r="AA116" s="149" t="str">
        <f>IFERROR(VLOOKUP(Y116,TD!$K$46:$L$64,2,0)," ")</f>
        <v>PM/0131/0108/45990160207</v>
      </c>
      <c r="AB116" s="148" t="s">
        <v>139</v>
      </c>
      <c r="AC116" s="178" t="s">
        <v>206</v>
      </c>
    </row>
    <row r="117" spans="2:29" s="28" customFormat="1" ht="71.25">
      <c r="B117" s="195">
        <v>20241321</v>
      </c>
      <c r="C117" s="142" t="s">
        <v>210</v>
      </c>
      <c r="D117" s="143" t="s">
        <v>168</v>
      </c>
      <c r="E117" s="144" t="s">
        <v>380</v>
      </c>
      <c r="F117" s="143" t="s">
        <v>882</v>
      </c>
      <c r="G117" s="143" t="s">
        <v>97</v>
      </c>
      <c r="H117" s="145" t="s">
        <v>401</v>
      </c>
      <c r="I117" s="146">
        <v>1</v>
      </c>
      <c r="J117" s="146">
        <v>1</v>
      </c>
      <c r="K117" s="147">
        <v>0</v>
      </c>
      <c r="L117" s="148">
        <v>95000000</v>
      </c>
      <c r="M117" s="143" t="s">
        <v>173</v>
      </c>
      <c r="N117" s="148" t="s">
        <v>91</v>
      </c>
      <c r="O117" s="144" t="s">
        <v>222</v>
      </c>
      <c r="P117" s="149" t="str">
        <f>IFERROR(VLOOKUP(C117,TD!$B$32:$F$36,2,0)," ")</f>
        <v>O230117</v>
      </c>
      <c r="Q117" s="149" t="str">
        <f>IFERROR(VLOOKUP(C117,TD!$B$32:$F$36,3,0)," ")</f>
        <v>4503</v>
      </c>
      <c r="R117" s="149">
        <f>IFERROR(VLOOKUP(C117,TD!$B$32:$F$36,4,0)," ")</f>
        <v>20240255</v>
      </c>
      <c r="S117" s="144" t="s">
        <v>178</v>
      </c>
      <c r="T117" s="149" t="str">
        <f>IFERROR(VLOOKUP(S117,TD!$J$33:$K$43,2,0)," ")</f>
        <v>Servicio de capacitaciones en gestión del riesgo de incendios  a la ciudadania.</v>
      </c>
      <c r="U117" s="181" t="str">
        <f t="shared" si="4"/>
        <v>05-Servicio de capacitaciones en gestión del riesgo de incendios  a la ciudadania.</v>
      </c>
      <c r="V117" s="144" t="s">
        <v>235</v>
      </c>
      <c r="W117" s="149" t="str">
        <f>IFERROR(VLOOKUP(V117,TD!$N$33:$O$45,2,0)," ")</f>
        <v>Servicio prevención y control de incendios</v>
      </c>
      <c r="X117" s="181" t="str">
        <f t="shared" si="5"/>
        <v>035_Servicio prevención y control de incendios</v>
      </c>
      <c r="Y117" s="181" t="str">
        <f t="shared" si="6"/>
        <v>05-Servicio de capacitaciones en gestión del riesgo de incendios  a la ciudadania. 035_Servicio prevención y control de incendios</v>
      </c>
      <c r="Z117" s="149" t="str">
        <f t="shared" si="7"/>
        <v>O23011745032024025505035</v>
      </c>
      <c r="AA117" s="149" t="str">
        <f>IFERROR(VLOOKUP(Y117,TD!$K$46:$L$64,2,0)," ")</f>
        <v>PM/0131/0105/45030350255</v>
      </c>
      <c r="AB117" s="148" t="s">
        <v>139</v>
      </c>
      <c r="AC117" s="178" t="s">
        <v>206</v>
      </c>
    </row>
    <row r="118" spans="2:29" s="28" customFormat="1" ht="57">
      <c r="B118" s="195">
        <v>20241322</v>
      </c>
      <c r="C118" s="142" t="s">
        <v>210</v>
      </c>
      <c r="D118" s="143" t="s">
        <v>168</v>
      </c>
      <c r="E118" s="144" t="s">
        <v>380</v>
      </c>
      <c r="F118" s="143" t="s">
        <v>883</v>
      </c>
      <c r="G118" s="143" t="s">
        <v>156</v>
      </c>
      <c r="H118" s="145">
        <v>80111600</v>
      </c>
      <c r="I118" s="146">
        <v>12</v>
      </c>
      <c r="J118" s="146">
        <v>0</v>
      </c>
      <c r="K118" s="147">
        <v>15</v>
      </c>
      <c r="L118" s="148">
        <v>3000000</v>
      </c>
      <c r="M118" s="143" t="s">
        <v>173</v>
      </c>
      <c r="N118" s="148" t="s">
        <v>114</v>
      </c>
      <c r="O118" s="144" t="s">
        <v>222</v>
      </c>
      <c r="P118" s="149" t="str">
        <f>IFERROR(VLOOKUP(C118,TD!$B$32:$F$36,2,0)," ")</f>
        <v>O230117</v>
      </c>
      <c r="Q118" s="149" t="str">
        <f>IFERROR(VLOOKUP(C118,TD!$B$32:$F$36,3,0)," ")</f>
        <v>4503</v>
      </c>
      <c r="R118" s="149">
        <f>IFERROR(VLOOKUP(C118,TD!$B$32:$F$36,4,0)," ")</f>
        <v>20240255</v>
      </c>
      <c r="S118" s="144" t="s">
        <v>178</v>
      </c>
      <c r="T118" s="149" t="str">
        <f>IFERROR(VLOOKUP(S118,TD!$J$33:$K$43,2,0)," ")</f>
        <v>Servicio de capacitaciones en gestión del riesgo de incendios  a la ciudadania.</v>
      </c>
      <c r="U118" s="181" t="str">
        <f t="shared" si="4"/>
        <v>05-Servicio de capacitaciones en gestión del riesgo de incendios  a la ciudadania.</v>
      </c>
      <c r="V118" s="144" t="s">
        <v>235</v>
      </c>
      <c r="W118" s="149" t="str">
        <f>IFERROR(VLOOKUP(V118,TD!$N$33:$O$45,2,0)," ")</f>
        <v>Servicio prevención y control de incendios</v>
      </c>
      <c r="X118" s="181" t="str">
        <f t="shared" si="5"/>
        <v>035_Servicio prevención y control de incendios</v>
      </c>
      <c r="Y118" s="181" t="str">
        <f t="shared" si="6"/>
        <v>05-Servicio de capacitaciones en gestión del riesgo de incendios  a la ciudadania. 035_Servicio prevención y control de incendios</v>
      </c>
      <c r="Z118" s="149" t="str">
        <f t="shared" si="7"/>
        <v>O23011745032024025505035</v>
      </c>
      <c r="AA118" s="149" t="str">
        <f>IFERROR(VLOOKUP(Y118,TD!$K$46:$L$64,2,0)," ")</f>
        <v>PM/0131/0105/45030350255</v>
      </c>
      <c r="AB118" s="148" t="s">
        <v>139</v>
      </c>
      <c r="AC118" s="178" t="s">
        <v>206</v>
      </c>
    </row>
    <row r="119" spans="2:29" s="28" customFormat="1" ht="57">
      <c r="B119" s="195">
        <v>20241323</v>
      </c>
      <c r="C119" s="142" t="s">
        <v>210</v>
      </c>
      <c r="D119" s="143" t="s">
        <v>168</v>
      </c>
      <c r="E119" s="144" t="s">
        <v>380</v>
      </c>
      <c r="F119" s="143" t="s">
        <v>884</v>
      </c>
      <c r="G119" s="143" t="s">
        <v>157</v>
      </c>
      <c r="H119" s="145">
        <v>80111600</v>
      </c>
      <c r="I119" s="146">
        <v>12</v>
      </c>
      <c r="J119" s="146">
        <v>1</v>
      </c>
      <c r="K119" s="147">
        <v>0</v>
      </c>
      <c r="L119" s="148">
        <v>2500000</v>
      </c>
      <c r="M119" s="143" t="s">
        <v>173</v>
      </c>
      <c r="N119" s="148" t="s">
        <v>114</v>
      </c>
      <c r="O119" s="144" t="s">
        <v>222</v>
      </c>
      <c r="P119" s="149" t="str">
        <f>IFERROR(VLOOKUP(C119,TD!$B$32:$F$36,2,0)," ")</f>
        <v>O230117</v>
      </c>
      <c r="Q119" s="149" t="str">
        <f>IFERROR(VLOOKUP(C119,TD!$B$32:$F$36,3,0)," ")</f>
        <v>4503</v>
      </c>
      <c r="R119" s="149">
        <f>IFERROR(VLOOKUP(C119,TD!$B$32:$F$36,4,0)," ")</f>
        <v>20240255</v>
      </c>
      <c r="S119" s="144" t="s">
        <v>178</v>
      </c>
      <c r="T119" s="149" t="str">
        <f>IFERROR(VLOOKUP(S119,TD!$J$33:$K$43,2,0)," ")</f>
        <v>Servicio de capacitaciones en gestión del riesgo de incendios  a la ciudadania.</v>
      </c>
      <c r="U119" s="181" t="str">
        <f t="shared" si="4"/>
        <v>05-Servicio de capacitaciones en gestión del riesgo de incendios  a la ciudadania.</v>
      </c>
      <c r="V119" s="144" t="s">
        <v>235</v>
      </c>
      <c r="W119" s="149" t="str">
        <f>IFERROR(VLOOKUP(V119,TD!$N$33:$O$45,2,0)," ")</f>
        <v>Servicio prevención y control de incendios</v>
      </c>
      <c r="X119" s="181" t="str">
        <f t="shared" si="5"/>
        <v>035_Servicio prevención y control de incendios</v>
      </c>
      <c r="Y119" s="181" t="str">
        <f t="shared" si="6"/>
        <v>05-Servicio de capacitaciones en gestión del riesgo de incendios  a la ciudadania. 035_Servicio prevención y control de incendios</v>
      </c>
      <c r="Z119" s="149" t="str">
        <f t="shared" si="7"/>
        <v>O23011745032024025505035</v>
      </c>
      <c r="AA119" s="149" t="str">
        <f>IFERROR(VLOOKUP(Y119,TD!$K$46:$L$64,2,0)," ")</f>
        <v>PM/0131/0105/45030350255</v>
      </c>
      <c r="AB119" s="148" t="s">
        <v>139</v>
      </c>
      <c r="AC119" s="178" t="s">
        <v>206</v>
      </c>
    </row>
    <row r="120" spans="2:29" s="28" customFormat="1" ht="57">
      <c r="B120" s="195">
        <v>20241324</v>
      </c>
      <c r="C120" s="142" t="s">
        <v>210</v>
      </c>
      <c r="D120" s="143" t="s">
        <v>168</v>
      </c>
      <c r="E120" s="144" t="s">
        <v>380</v>
      </c>
      <c r="F120" s="143" t="s">
        <v>885</v>
      </c>
      <c r="G120" s="143" t="s">
        <v>156</v>
      </c>
      <c r="H120" s="145">
        <v>80111600</v>
      </c>
      <c r="I120" s="146">
        <v>1</v>
      </c>
      <c r="J120" s="146">
        <v>1</v>
      </c>
      <c r="K120" s="147">
        <v>0</v>
      </c>
      <c r="L120" s="148">
        <v>7200000</v>
      </c>
      <c r="M120" s="143" t="s">
        <v>173</v>
      </c>
      <c r="N120" s="148" t="s">
        <v>114</v>
      </c>
      <c r="O120" s="144" t="s">
        <v>222</v>
      </c>
      <c r="P120" s="149" t="str">
        <f>IFERROR(VLOOKUP(C120,TD!$B$32:$F$36,2,0)," ")</f>
        <v>O230117</v>
      </c>
      <c r="Q120" s="149" t="str">
        <f>IFERROR(VLOOKUP(C120,TD!$B$32:$F$36,3,0)," ")</f>
        <v>4503</v>
      </c>
      <c r="R120" s="149">
        <f>IFERROR(VLOOKUP(C120,TD!$B$32:$F$36,4,0)," ")</f>
        <v>20240255</v>
      </c>
      <c r="S120" s="144" t="s">
        <v>182</v>
      </c>
      <c r="T120" s="149" t="str">
        <f>IFERROR(VLOOKUP(S120,TD!$J$33:$K$43,2,0)," ")</f>
        <v>Servicio de inspecciones técnicas realizadas</v>
      </c>
      <c r="U120" s="181" t="str">
        <f t="shared" si="4"/>
        <v>06-Servicio de inspecciones técnicas realizadas</v>
      </c>
      <c r="V120" s="144" t="s">
        <v>235</v>
      </c>
      <c r="W120" s="149" t="str">
        <f>IFERROR(VLOOKUP(V120,TD!$N$33:$O$45,2,0)," ")</f>
        <v>Servicio prevención y control de incendios</v>
      </c>
      <c r="X120" s="181" t="str">
        <f t="shared" si="5"/>
        <v>035_Servicio prevención y control de incendios</v>
      </c>
      <c r="Y120" s="181" t="str">
        <f t="shared" si="6"/>
        <v>06-Servicio de inspecciones técnicas realizadas 035_Servicio prevención y control de incendios</v>
      </c>
      <c r="Z120" s="149" t="str">
        <f t="shared" si="7"/>
        <v>O23011745032024025506035</v>
      </c>
      <c r="AA120" s="149" t="str">
        <f>IFERROR(VLOOKUP(Y120,TD!$K$46:$L$64,2,0)," ")</f>
        <v>PM/0131/0106/45030350255</v>
      </c>
      <c r="AB120" s="148" t="s">
        <v>139</v>
      </c>
      <c r="AC120" s="178" t="s">
        <v>206</v>
      </c>
    </row>
    <row r="121" spans="2:29" s="28" customFormat="1" ht="57">
      <c r="B121" s="195">
        <v>20241325</v>
      </c>
      <c r="C121" s="142" t="s">
        <v>210</v>
      </c>
      <c r="D121" s="143" t="s">
        <v>168</v>
      </c>
      <c r="E121" s="144" t="s">
        <v>380</v>
      </c>
      <c r="F121" s="143" t="s">
        <v>886</v>
      </c>
      <c r="G121" s="143" t="s">
        <v>156</v>
      </c>
      <c r="H121" s="145">
        <v>80111600</v>
      </c>
      <c r="I121" s="146">
        <v>1</v>
      </c>
      <c r="J121" s="146">
        <v>1</v>
      </c>
      <c r="K121" s="147">
        <v>0</v>
      </c>
      <c r="L121" s="148">
        <v>6000000</v>
      </c>
      <c r="M121" s="143" t="s">
        <v>173</v>
      </c>
      <c r="N121" s="148" t="s">
        <v>114</v>
      </c>
      <c r="O121" s="144" t="s">
        <v>222</v>
      </c>
      <c r="P121" s="149" t="str">
        <f>IFERROR(VLOOKUP(C121,TD!$B$32:$F$36,2,0)," ")</f>
        <v>O230117</v>
      </c>
      <c r="Q121" s="149" t="str">
        <f>IFERROR(VLOOKUP(C121,TD!$B$32:$F$36,3,0)," ")</f>
        <v>4503</v>
      </c>
      <c r="R121" s="149">
        <f>IFERROR(VLOOKUP(C121,TD!$B$32:$F$36,4,0)," ")</f>
        <v>20240255</v>
      </c>
      <c r="S121" s="144" t="s">
        <v>182</v>
      </c>
      <c r="T121" s="149" t="str">
        <f>IFERROR(VLOOKUP(S121,TD!$J$33:$K$43,2,0)," ")</f>
        <v>Servicio de inspecciones técnicas realizadas</v>
      </c>
      <c r="U121" s="181" t="str">
        <f t="shared" si="4"/>
        <v>06-Servicio de inspecciones técnicas realizadas</v>
      </c>
      <c r="V121" s="144" t="s">
        <v>235</v>
      </c>
      <c r="W121" s="149" t="str">
        <f>IFERROR(VLOOKUP(V121,TD!$N$33:$O$45,2,0)," ")</f>
        <v>Servicio prevención y control de incendios</v>
      </c>
      <c r="X121" s="181" t="str">
        <f t="shared" si="5"/>
        <v>035_Servicio prevención y control de incendios</v>
      </c>
      <c r="Y121" s="181" t="str">
        <f t="shared" si="6"/>
        <v>06-Servicio de inspecciones técnicas realizadas 035_Servicio prevención y control de incendios</v>
      </c>
      <c r="Z121" s="149" t="str">
        <f t="shared" si="7"/>
        <v>O23011745032024025506035</v>
      </c>
      <c r="AA121" s="149" t="str">
        <f>IFERROR(VLOOKUP(Y121,TD!$K$46:$L$64,2,0)," ")</f>
        <v>PM/0131/0106/45030350255</v>
      </c>
      <c r="AB121" s="148" t="s">
        <v>139</v>
      </c>
      <c r="AC121" s="178" t="s">
        <v>206</v>
      </c>
    </row>
    <row r="122" spans="2:29" s="28" customFormat="1" ht="57">
      <c r="B122" s="195">
        <v>20241326</v>
      </c>
      <c r="C122" s="142" t="s">
        <v>210</v>
      </c>
      <c r="D122" s="143" t="s">
        <v>168</v>
      </c>
      <c r="E122" s="144" t="s">
        <v>380</v>
      </c>
      <c r="F122" s="143" t="s">
        <v>887</v>
      </c>
      <c r="G122" s="143" t="s">
        <v>156</v>
      </c>
      <c r="H122" s="145">
        <v>80111600</v>
      </c>
      <c r="I122" s="146">
        <v>1</v>
      </c>
      <c r="J122" s="146">
        <v>1</v>
      </c>
      <c r="K122" s="147">
        <v>0</v>
      </c>
      <c r="L122" s="148">
        <v>5000000</v>
      </c>
      <c r="M122" s="143" t="s">
        <v>173</v>
      </c>
      <c r="N122" s="148" t="s">
        <v>114</v>
      </c>
      <c r="O122" s="144" t="s">
        <v>226</v>
      </c>
      <c r="P122" s="149" t="str">
        <f>IFERROR(VLOOKUP(C122,TD!$B$32:$F$36,2,0)," ")</f>
        <v>O230117</v>
      </c>
      <c r="Q122" s="149" t="str">
        <f>IFERROR(VLOOKUP(C122,TD!$B$32:$F$36,3,0)," ")</f>
        <v>4503</v>
      </c>
      <c r="R122" s="149">
        <f>IFERROR(VLOOKUP(C122,TD!$B$32:$F$36,4,0)," ")</f>
        <v>20240255</v>
      </c>
      <c r="S122" s="144" t="s">
        <v>180</v>
      </c>
      <c r="T122" s="149" t="str">
        <f>IFERROR(VLOOKUP(S122,TD!$J$33:$K$43,2,0)," ")</f>
        <v>Infraestructura Tecnológica   (Sistemas de Información y Tecnologia)</v>
      </c>
      <c r="U122" s="181" t="str">
        <f t="shared" si="4"/>
        <v>11-Infraestructura Tecnológica   (Sistemas de Información y Tecnologia)</v>
      </c>
      <c r="V122" s="144" t="s">
        <v>236</v>
      </c>
      <c r="W122" s="149" t="str">
        <f>IFERROR(VLOOKUP(V122,TD!$N$33:$O$45,2,0)," ")</f>
        <v>"Servicio de monitoreo y seguimiento para la gestión del riesgo"</v>
      </c>
      <c r="X122" s="181" t="str">
        <f t="shared" si="5"/>
        <v>018_"Servicio de monitoreo y seguimiento para la gestión del riesgo"</v>
      </c>
      <c r="Y122" s="181" t="str">
        <f t="shared" si="6"/>
        <v>11-Infraestructura Tecnológica   (Sistemas de Información y Tecnologia) 018_"Servicio de monitoreo y seguimiento para la gestión del riesgo"</v>
      </c>
      <c r="Z122" s="149" t="str">
        <f t="shared" si="7"/>
        <v>O23011745032024025511018</v>
      </c>
      <c r="AA122" s="149" t="str">
        <f>IFERROR(VLOOKUP(Y122,TD!$K$46:$L$64,2,0)," ")</f>
        <v>PM/0131/0111/45030180255</v>
      </c>
      <c r="AB122" s="148" t="s">
        <v>139</v>
      </c>
      <c r="AC122" s="178" t="s">
        <v>206</v>
      </c>
    </row>
    <row r="123" spans="2:29" s="28" customFormat="1" ht="57">
      <c r="B123" s="195">
        <v>20241327</v>
      </c>
      <c r="C123" s="142" t="s">
        <v>210</v>
      </c>
      <c r="D123" s="143" t="s">
        <v>168</v>
      </c>
      <c r="E123" s="144" t="s">
        <v>380</v>
      </c>
      <c r="F123" s="143" t="s">
        <v>888</v>
      </c>
      <c r="G123" s="143" t="s">
        <v>157</v>
      </c>
      <c r="H123" s="145">
        <v>80111600</v>
      </c>
      <c r="I123" s="146">
        <v>12</v>
      </c>
      <c r="J123" s="146">
        <v>1</v>
      </c>
      <c r="K123" s="147">
        <v>0</v>
      </c>
      <c r="L123" s="148">
        <v>3000000</v>
      </c>
      <c r="M123" s="143" t="s">
        <v>173</v>
      </c>
      <c r="N123" s="148" t="s">
        <v>114</v>
      </c>
      <c r="O123" s="144" t="s">
        <v>222</v>
      </c>
      <c r="P123" s="149" t="str">
        <f>IFERROR(VLOOKUP(C123,TD!$B$32:$F$36,2,0)," ")</f>
        <v>O230117</v>
      </c>
      <c r="Q123" s="149" t="str">
        <f>IFERROR(VLOOKUP(C123,TD!$B$32:$F$36,3,0)," ")</f>
        <v>4503</v>
      </c>
      <c r="R123" s="149">
        <f>IFERROR(VLOOKUP(C123,TD!$B$32:$F$36,4,0)," ")</f>
        <v>20240255</v>
      </c>
      <c r="S123" s="144" t="s">
        <v>178</v>
      </c>
      <c r="T123" s="149" t="str">
        <f>IFERROR(VLOOKUP(S123,TD!$J$33:$K$43,2,0)," ")</f>
        <v>Servicio de capacitaciones en gestión del riesgo de incendios  a la ciudadania.</v>
      </c>
      <c r="U123" s="181" t="str">
        <f t="shared" si="4"/>
        <v>05-Servicio de capacitaciones en gestión del riesgo de incendios  a la ciudadania.</v>
      </c>
      <c r="V123" s="144" t="s">
        <v>234</v>
      </c>
      <c r="W123" s="149" t="str">
        <f>IFERROR(VLOOKUP(V123,TD!$N$33:$O$45,2,0)," ")</f>
        <v>Servicio de educación informal</v>
      </c>
      <c r="X123" s="181" t="str">
        <f t="shared" si="5"/>
        <v>002_Servicio de educación informal</v>
      </c>
      <c r="Y123" s="181" t="str">
        <f t="shared" si="6"/>
        <v>05-Servicio de capacitaciones en gestión del riesgo de incendios  a la ciudadania. 002_Servicio de educación informal</v>
      </c>
      <c r="Z123" s="149" t="str">
        <f t="shared" si="7"/>
        <v>O23011745032024025505002</v>
      </c>
      <c r="AA123" s="149" t="str">
        <f>IFERROR(VLOOKUP(Y123,TD!$K$46:$L$64,2,0)," ")</f>
        <v>PM/0131/0105/45030020255</v>
      </c>
      <c r="AB123" s="148" t="s">
        <v>139</v>
      </c>
      <c r="AC123" s="178" t="s">
        <v>206</v>
      </c>
    </row>
    <row r="124" spans="2:29" s="28" customFormat="1" ht="57">
      <c r="B124" s="195">
        <v>20241328</v>
      </c>
      <c r="C124" s="142" t="s">
        <v>210</v>
      </c>
      <c r="D124" s="143" t="s">
        <v>168</v>
      </c>
      <c r="E124" s="144" t="s">
        <v>380</v>
      </c>
      <c r="F124" s="143" t="s">
        <v>889</v>
      </c>
      <c r="G124" s="143" t="s">
        <v>156</v>
      </c>
      <c r="H124" s="145">
        <v>80111600</v>
      </c>
      <c r="I124" s="146">
        <v>12</v>
      </c>
      <c r="J124" s="146">
        <v>1</v>
      </c>
      <c r="K124" s="147">
        <v>0</v>
      </c>
      <c r="L124" s="148">
        <v>4000000</v>
      </c>
      <c r="M124" s="143" t="s">
        <v>173</v>
      </c>
      <c r="N124" s="148" t="s">
        <v>114</v>
      </c>
      <c r="O124" s="144" t="s">
        <v>222</v>
      </c>
      <c r="P124" s="149" t="str">
        <f>IFERROR(VLOOKUP(C124,TD!$B$32:$F$36,2,0)," ")</f>
        <v>O230117</v>
      </c>
      <c r="Q124" s="149" t="str">
        <f>IFERROR(VLOOKUP(C124,TD!$B$32:$F$36,3,0)," ")</f>
        <v>4503</v>
      </c>
      <c r="R124" s="149">
        <f>IFERROR(VLOOKUP(C124,TD!$B$32:$F$36,4,0)," ")</f>
        <v>20240255</v>
      </c>
      <c r="S124" s="144" t="s">
        <v>178</v>
      </c>
      <c r="T124" s="149" t="str">
        <f>IFERROR(VLOOKUP(S124,TD!$J$33:$K$43,2,0)," ")</f>
        <v>Servicio de capacitaciones en gestión del riesgo de incendios  a la ciudadania.</v>
      </c>
      <c r="U124" s="181" t="str">
        <f t="shared" si="4"/>
        <v>05-Servicio de capacitaciones en gestión del riesgo de incendios  a la ciudadania.</v>
      </c>
      <c r="V124" s="144" t="s">
        <v>234</v>
      </c>
      <c r="W124" s="149" t="str">
        <f>IFERROR(VLOOKUP(V124,TD!$N$33:$O$45,2,0)," ")</f>
        <v>Servicio de educación informal</v>
      </c>
      <c r="X124" s="181" t="str">
        <f t="shared" si="5"/>
        <v>002_Servicio de educación informal</v>
      </c>
      <c r="Y124" s="181" t="str">
        <f t="shared" si="6"/>
        <v>05-Servicio de capacitaciones en gestión del riesgo de incendios  a la ciudadania. 002_Servicio de educación informal</v>
      </c>
      <c r="Z124" s="149" t="str">
        <f t="shared" si="7"/>
        <v>O23011745032024025505002</v>
      </c>
      <c r="AA124" s="149" t="str">
        <f>IFERROR(VLOOKUP(Y124,TD!$K$46:$L$64,2,0)," ")</f>
        <v>PM/0131/0105/45030020255</v>
      </c>
      <c r="AB124" s="148" t="s">
        <v>139</v>
      </c>
      <c r="AC124" s="178" t="s">
        <v>206</v>
      </c>
    </row>
    <row r="125" spans="2:29" s="28" customFormat="1" ht="57">
      <c r="B125" s="195">
        <v>20241329</v>
      </c>
      <c r="C125" s="142" t="s">
        <v>210</v>
      </c>
      <c r="D125" s="143" t="s">
        <v>168</v>
      </c>
      <c r="E125" s="144" t="s">
        <v>380</v>
      </c>
      <c r="F125" s="143" t="s">
        <v>890</v>
      </c>
      <c r="G125" s="143" t="s">
        <v>156</v>
      </c>
      <c r="H125" s="145">
        <v>80111600</v>
      </c>
      <c r="I125" s="146">
        <v>11</v>
      </c>
      <c r="J125" s="146">
        <v>2</v>
      </c>
      <c r="K125" s="147">
        <v>0</v>
      </c>
      <c r="L125" s="148">
        <v>8700000</v>
      </c>
      <c r="M125" s="143" t="s">
        <v>173</v>
      </c>
      <c r="N125" s="148" t="s">
        <v>114</v>
      </c>
      <c r="O125" s="144" t="s">
        <v>222</v>
      </c>
      <c r="P125" s="149" t="str">
        <f>IFERROR(VLOOKUP(C125,TD!$B$32:$F$36,2,0)," ")</f>
        <v>O230117</v>
      </c>
      <c r="Q125" s="149" t="str">
        <f>IFERROR(VLOOKUP(C125,TD!$B$32:$F$36,3,0)," ")</f>
        <v>4503</v>
      </c>
      <c r="R125" s="149">
        <f>IFERROR(VLOOKUP(C125,TD!$B$32:$F$36,4,0)," ")</f>
        <v>20240255</v>
      </c>
      <c r="S125" s="144" t="s">
        <v>178</v>
      </c>
      <c r="T125" s="149" t="str">
        <f>IFERROR(VLOOKUP(S125,TD!$J$33:$K$43,2,0)," ")</f>
        <v>Servicio de capacitaciones en gestión del riesgo de incendios  a la ciudadania.</v>
      </c>
      <c r="U125" s="181" t="str">
        <f t="shared" si="4"/>
        <v>05-Servicio de capacitaciones en gestión del riesgo de incendios  a la ciudadania.</v>
      </c>
      <c r="V125" s="144" t="s">
        <v>234</v>
      </c>
      <c r="W125" s="149" t="str">
        <f>IFERROR(VLOOKUP(V125,TD!$N$33:$O$45,2,0)," ")</f>
        <v>Servicio de educación informal</v>
      </c>
      <c r="X125" s="181" t="str">
        <f t="shared" si="5"/>
        <v>002_Servicio de educación informal</v>
      </c>
      <c r="Y125" s="181" t="str">
        <f t="shared" si="6"/>
        <v>05-Servicio de capacitaciones en gestión del riesgo de incendios  a la ciudadania. 002_Servicio de educación informal</v>
      </c>
      <c r="Z125" s="149" t="str">
        <f t="shared" si="7"/>
        <v>O23011745032024025505002</v>
      </c>
      <c r="AA125" s="149" t="str">
        <f>IFERROR(VLOOKUP(Y125,TD!$K$46:$L$64,2,0)," ")</f>
        <v>PM/0131/0105/45030020255</v>
      </c>
      <c r="AB125" s="148" t="s">
        <v>139</v>
      </c>
      <c r="AC125" s="178" t="s">
        <v>206</v>
      </c>
    </row>
    <row r="126" spans="2:29" s="28" customFormat="1" ht="57">
      <c r="B126" s="195">
        <v>20241330</v>
      </c>
      <c r="C126" s="142" t="s">
        <v>210</v>
      </c>
      <c r="D126" s="143" t="s">
        <v>168</v>
      </c>
      <c r="E126" s="144" t="s">
        <v>380</v>
      </c>
      <c r="F126" s="143" t="s">
        <v>891</v>
      </c>
      <c r="G126" s="143" t="s">
        <v>156</v>
      </c>
      <c r="H126" s="145">
        <v>80111600</v>
      </c>
      <c r="I126" s="146">
        <v>12</v>
      </c>
      <c r="J126" s="146">
        <v>1</v>
      </c>
      <c r="K126" s="147">
        <v>0</v>
      </c>
      <c r="L126" s="148">
        <v>5000000</v>
      </c>
      <c r="M126" s="143" t="s">
        <v>173</v>
      </c>
      <c r="N126" s="148" t="s">
        <v>114</v>
      </c>
      <c r="O126" s="144" t="s">
        <v>222</v>
      </c>
      <c r="P126" s="149" t="str">
        <f>IFERROR(VLOOKUP(C126,TD!$B$32:$F$36,2,0)," ")</f>
        <v>O230117</v>
      </c>
      <c r="Q126" s="149" t="str">
        <f>IFERROR(VLOOKUP(C126,TD!$B$32:$F$36,3,0)," ")</f>
        <v>4503</v>
      </c>
      <c r="R126" s="149">
        <f>IFERROR(VLOOKUP(C126,TD!$B$32:$F$36,4,0)," ")</f>
        <v>20240255</v>
      </c>
      <c r="S126" s="144" t="s">
        <v>178</v>
      </c>
      <c r="T126" s="149" t="str">
        <f>IFERROR(VLOOKUP(S126,TD!$J$33:$K$43,2,0)," ")</f>
        <v>Servicio de capacitaciones en gestión del riesgo de incendios  a la ciudadania.</v>
      </c>
      <c r="U126" s="181" t="str">
        <f t="shared" si="4"/>
        <v>05-Servicio de capacitaciones en gestión del riesgo de incendios  a la ciudadania.</v>
      </c>
      <c r="V126" s="144" t="s">
        <v>234</v>
      </c>
      <c r="W126" s="149" t="str">
        <f>IFERROR(VLOOKUP(V126,TD!$N$33:$O$45,2,0)," ")</f>
        <v>Servicio de educación informal</v>
      </c>
      <c r="X126" s="181" t="str">
        <f t="shared" si="5"/>
        <v>002_Servicio de educación informal</v>
      </c>
      <c r="Y126" s="181" t="str">
        <f t="shared" si="6"/>
        <v>05-Servicio de capacitaciones en gestión del riesgo de incendios  a la ciudadania. 002_Servicio de educación informal</v>
      </c>
      <c r="Z126" s="149" t="str">
        <f t="shared" si="7"/>
        <v>O23011745032024025505002</v>
      </c>
      <c r="AA126" s="149" t="str">
        <f>IFERROR(VLOOKUP(Y126,TD!$K$46:$L$64,2,0)," ")</f>
        <v>PM/0131/0105/45030020255</v>
      </c>
      <c r="AB126" s="148" t="s">
        <v>139</v>
      </c>
      <c r="AC126" s="178" t="s">
        <v>206</v>
      </c>
    </row>
    <row r="127" spans="2:29" s="28" customFormat="1" ht="57">
      <c r="B127" s="195">
        <v>20241331</v>
      </c>
      <c r="C127" s="142" t="s">
        <v>210</v>
      </c>
      <c r="D127" s="143" t="s">
        <v>168</v>
      </c>
      <c r="E127" s="144" t="s">
        <v>380</v>
      </c>
      <c r="F127" s="143" t="s">
        <v>892</v>
      </c>
      <c r="G127" s="143" t="s">
        <v>156</v>
      </c>
      <c r="H127" s="145">
        <v>80111600</v>
      </c>
      <c r="I127" s="146">
        <v>12</v>
      </c>
      <c r="J127" s="146">
        <v>1</v>
      </c>
      <c r="K127" s="147">
        <v>0</v>
      </c>
      <c r="L127" s="148">
        <v>9000000</v>
      </c>
      <c r="M127" s="143" t="s">
        <v>173</v>
      </c>
      <c r="N127" s="148" t="s">
        <v>114</v>
      </c>
      <c r="O127" s="144" t="s">
        <v>222</v>
      </c>
      <c r="P127" s="149" t="str">
        <f>IFERROR(VLOOKUP(C127,TD!$B$32:$F$36,2,0)," ")</f>
        <v>O230117</v>
      </c>
      <c r="Q127" s="149" t="str">
        <f>IFERROR(VLOOKUP(C127,TD!$B$32:$F$36,3,0)," ")</f>
        <v>4503</v>
      </c>
      <c r="R127" s="149">
        <f>IFERROR(VLOOKUP(C127,TD!$B$32:$F$36,4,0)," ")</f>
        <v>20240255</v>
      </c>
      <c r="S127" s="144" t="s">
        <v>178</v>
      </c>
      <c r="T127" s="149" t="str">
        <f>IFERROR(VLOOKUP(S127,TD!$J$33:$K$43,2,0)," ")</f>
        <v>Servicio de capacitaciones en gestión del riesgo de incendios  a la ciudadania.</v>
      </c>
      <c r="U127" s="181" t="str">
        <f t="shared" si="4"/>
        <v>05-Servicio de capacitaciones en gestión del riesgo de incendios  a la ciudadania.</v>
      </c>
      <c r="V127" s="144" t="s">
        <v>234</v>
      </c>
      <c r="W127" s="149" t="str">
        <f>IFERROR(VLOOKUP(V127,TD!$N$33:$O$45,2,0)," ")</f>
        <v>Servicio de educación informal</v>
      </c>
      <c r="X127" s="181" t="str">
        <f t="shared" si="5"/>
        <v>002_Servicio de educación informal</v>
      </c>
      <c r="Y127" s="181" t="str">
        <f t="shared" si="6"/>
        <v>05-Servicio de capacitaciones en gestión del riesgo de incendios  a la ciudadania. 002_Servicio de educación informal</v>
      </c>
      <c r="Z127" s="149" t="str">
        <f t="shared" si="7"/>
        <v>O23011745032024025505002</v>
      </c>
      <c r="AA127" s="149" t="str">
        <f>IFERROR(VLOOKUP(Y127,TD!$K$46:$L$64,2,0)," ")</f>
        <v>PM/0131/0105/45030020255</v>
      </c>
      <c r="AB127" s="148" t="s">
        <v>139</v>
      </c>
      <c r="AC127" s="178" t="s">
        <v>206</v>
      </c>
    </row>
    <row r="128" spans="2:29" s="28" customFormat="1" ht="57">
      <c r="B128" s="195">
        <v>20241332</v>
      </c>
      <c r="C128" s="142" t="s">
        <v>210</v>
      </c>
      <c r="D128" s="143" t="s">
        <v>168</v>
      </c>
      <c r="E128" s="144" t="s">
        <v>380</v>
      </c>
      <c r="F128" s="143" t="s">
        <v>893</v>
      </c>
      <c r="G128" s="143" t="s">
        <v>156</v>
      </c>
      <c r="H128" s="145">
        <v>80111600</v>
      </c>
      <c r="I128" s="146">
        <v>12</v>
      </c>
      <c r="J128" s="146">
        <v>1</v>
      </c>
      <c r="K128" s="147">
        <v>0</v>
      </c>
      <c r="L128" s="148">
        <v>5000000</v>
      </c>
      <c r="M128" s="143" t="s">
        <v>173</v>
      </c>
      <c r="N128" s="148" t="s">
        <v>114</v>
      </c>
      <c r="O128" s="144" t="s">
        <v>226</v>
      </c>
      <c r="P128" s="149" t="str">
        <f>IFERROR(VLOOKUP(C128,TD!$B$32:$F$36,2,0)," ")</f>
        <v>O230117</v>
      </c>
      <c r="Q128" s="149" t="str">
        <f>IFERROR(VLOOKUP(C128,TD!$B$32:$F$36,3,0)," ")</f>
        <v>4503</v>
      </c>
      <c r="R128" s="149">
        <f>IFERROR(VLOOKUP(C128,TD!$B$32:$F$36,4,0)," ")</f>
        <v>20240255</v>
      </c>
      <c r="S128" s="144" t="s">
        <v>180</v>
      </c>
      <c r="T128" s="149" t="str">
        <f>IFERROR(VLOOKUP(S128,TD!$J$33:$K$43,2,0)," ")</f>
        <v>Infraestructura Tecnológica   (Sistemas de Información y Tecnologia)</v>
      </c>
      <c r="U128" s="181" t="str">
        <f t="shared" si="4"/>
        <v>11-Infraestructura Tecnológica   (Sistemas de Información y Tecnologia)</v>
      </c>
      <c r="V128" s="144" t="s">
        <v>236</v>
      </c>
      <c r="W128" s="149" t="str">
        <f>IFERROR(VLOOKUP(V128,TD!$N$33:$O$45,2,0)," ")</f>
        <v>"Servicio de monitoreo y seguimiento para la gestión del riesgo"</v>
      </c>
      <c r="X128" s="181" t="str">
        <f t="shared" si="5"/>
        <v>018_"Servicio de monitoreo y seguimiento para la gestión del riesgo"</v>
      </c>
      <c r="Y128" s="181" t="str">
        <f t="shared" si="6"/>
        <v>11-Infraestructura Tecnológica   (Sistemas de Información y Tecnologia) 018_"Servicio de monitoreo y seguimiento para la gestión del riesgo"</v>
      </c>
      <c r="Z128" s="149" t="str">
        <f t="shared" si="7"/>
        <v>O23011745032024025511018</v>
      </c>
      <c r="AA128" s="149" t="str">
        <f>IFERROR(VLOOKUP(Y128,TD!$K$46:$L$64,2,0)," ")</f>
        <v>PM/0131/0111/45030180255</v>
      </c>
      <c r="AB128" s="148" t="s">
        <v>139</v>
      </c>
      <c r="AC128" s="178" t="s">
        <v>206</v>
      </c>
    </row>
    <row r="129" spans="2:29" s="28" customFormat="1" ht="57">
      <c r="B129" s="195">
        <v>20241333</v>
      </c>
      <c r="C129" s="142" t="s">
        <v>210</v>
      </c>
      <c r="D129" s="143" t="s">
        <v>168</v>
      </c>
      <c r="E129" s="144" t="s">
        <v>380</v>
      </c>
      <c r="F129" s="143" t="s">
        <v>894</v>
      </c>
      <c r="G129" s="143" t="s">
        <v>157</v>
      </c>
      <c r="H129" s="145">
        <v>80111600</v>
      </c>
      <c r="I129" s="146">
        <v>12</v>
      </c>
      <c r="J129" s="146">
        <v>1</v>
      </c>
      <c r="K129" s="147">
        <v>0</v>
      </c>
      <c r="L129" s="148">
        <v>2500000</v>
      </c>
      <c r="M129" s="143" t="s">
        <v>173</v>
      </c>
      <c r="N129" s="148" t="s">
        <v>114</v>
      </c>
      <c r="O129" s="144" t="s">
        <v>227</v>
      </c>
      <c r="P129" s="149" t="str">
        <f>IFERROR(VLOOKUP(C129,TD!$B$32:$F$36,2,0)," ")</f>
        <v>O230117</v>
      </c>
      <c r="Q129" s="149" t="str">
        <f>IFERROR(VLOOKUP(C129,TD!$B$32:$F$36,3,0)," ")</f>
        <v>4503</v>
      </c>
      <c r="R129" s="149">
        <f>IFERROR(VLOOKUP(C129,TD!$B$32:$F$36,4,0)," ")</f>
        <v>20240255</v>
      </c>
      <c r="S129" s="144" t="s">
        <v>180</v>
      </c>
      <c r="T129" s="149" t="str">
        <f>IFERROR(VLOOKUP(S129,TD!$J$33:$K$43,2,0)," ")</f>
        <v>Infraestructura Tecnológica   (Sistemas de Información y Tecnologia)</v>
      </c>
      <c r="U129" s="181" t="str">
        <f t="shared" si="4"/>
        <v>11-Infraestructura Tecnológica   (Sistemas de Información y Tecnologia)</v>
      </c>
      <c r="V129" s="144" t="s">
        <v>236</v>
      </c>
      <c r="W129" s="149" t="str">
        <f>IFERROR(VLOOKUP(V129,TD!$N$33:$O$45,2,0)," ")</f>
        <v>"Servicio de monitoreo y seguimiento para la gestión del riesgo"</v>
      </c>
      <c r="X129" s="181" t="str">
        <f t="shared" si="5"/>
        <v>018_"Servicio de monitoreo y seguimiento para la gestión del riesgo"</v>
      </c>
      <c r="Y129" s="181" t="str">
        <f t="shared" si="6"/>
        <v>11-Infraestructura Tecnológica   (Sistemas de Información y Tecnologia) 018_"Servicio de monitoreo y seguimiento para la gestión del riesgo"</v>
      </c>
      <c r="Z129" s="149" t="str">
        <f t="shared" si="7"/>
        <v>O23011745032024025511018</v>
      </c>
      <c r="AA129" s="149" t="str">
        <f>IFERROR(VLOOKUP(Y129,TD!$K$46:$L$64,2,0)," ")</f>
        <v>PM/0131/0111/45030180255</v>
      </c>
      <c r="AB129" s="148" t="s">
        <v>139</v>
      </c>
      <c r="AC129" s="178" t="s">
        <v>206</v>
      </c>
    </row>
    <row r="130" spans="2:29" s="28" customFormat="1" ht="57">
      <c r="B130" s="195">
        <v>20241334</v>
      </c>
      <c r="C130" s="142" t="s">
        <v>210</v>
      </c>
      <c r="D130" s="143" t="s">
        <v>168</v>
      </c>
      <c r="E130" s="144" t="s">
        <v>380</v>
      </c>
      <c r="F130" s="143" t="s">
        <v>895</v>
      </c>
      <c r="G130" s="143" t="s">
        <v>157</v>
      </c>
      <c r="H130" s="145">
        <v>80111600</v>
      </c>
      <c r="I130" s="146">
        <v>12</v>
      </c>
      <c r="J130" s="146">
        <v>1</v>
      </c>
      <c r="K130" s="147">
        <v>0</v>
      </c>
      <c r="L130" s="148">
        <v>2500000</v>
      </c>
      <c r="M130" s="143" t="s">
        <v>173</v>
      </c>
      <c r="N130" s="148" t="s">
        <v>114</v>
      </c>
      <c r="O130" s="144" t="s">
        <v>227</v>
      </c>
      <c r="P130" s="149" t="str">
        <f>IFERROR(VLOOKUP(C130,TD!$B$32:$F$36,2,0)," ")</f>
        <v>O230117</v>
      </c>
      <c r="Q130" s="149" t="str">
        <f>IFERROR(VLOOKUP(C130,TD!$B$32:$F$36,3,0)," ")</f>
        <v>4503</v>
      </c>
      <c r="R130" s="149">
        <f>IFERROR(VLOOKUP(C130,TD!$B$32:$F$36,4,0)," ")</f>
        <v>20240255</v>
      </c>
      <c r="S130" s="144" t="s">
        <v>180</v>
      </c>
      <c r="T130" s="149" t="str">
        <f>IFERROR(VLOOKUP(S130,TD!$J$33:$K$43,2,0)," ")</f>
        <v>Infraestructura Tecnológica   (Sistemas de Información y Tecnologia)</v>
      </c>
      <c r="U130" s="181" t="str">
        <f t="shared" si="4"/>
        <v>11-Infraestructura Tecnológica   (Sistemas de Información y Tecnologia)</v>
      </c>
      <c r="V130" s="144" t="s">
        <v>236</v>
      </c>
      <c r="W130" s="149" t="str">
        <f>IFERROR(VLOOKUP(V130,TD!$N$33:$O$45,2,0)," ")</f>
        <v>"Servicio de monitoreo y seguimiento para la gestión del riesgo"</v>
      </c>
      <c r="X130" s="181" t="str">
        <f t="shared" si="5"/>
        <v>018_"Servicio de monitoreo y seguimiento para la gestión del riesgo"</v>
      </c>
      <c r="Y130" s="181" t="str">
        <f t="shared" si="6"/>
        <v>11-Infraestructura Tecnológica   (Sistemas de Información y Tecnologia) 018_"Servicio de monitoreo y seguimiento para la gestión del riesgo"</v>
      </c>
      <c r="Z130" s="149" t="str">
        <f t="shared" si="7"/>
        <v>O23011745032024025511018</v>
      </c>
      <c r="AA130" s="149" t="str">
        <f>IFERROR(VLOOKUP(Y130,TD!$K$46:$L$64,2,0)," ")</f>
        <v>PM/0131/0111/45030180255</v>
      </c>
      <c r="AB130" s="148" t="s">
        <v>139</v>
      </c>
      <c r="AC130" s="178" t="s">
        <v>206</v>
      </c>
    </row>
    <row r="131" spans="2:29" s="28" customFormat="1" ht="57">
      <c r="B131" s="195">
        <v>20241335</v>
      </c>
      <c r="C131" s="142" t="s">
        <v>210</v>
      </c>
      <c r="D131" s="143" t="s">
        <v>168</v>
      </c>
      <c r="E131" s="144" t="s">
        <v>380</v>
      </c>
      <c r="F131" s="143" t="s">
        <v>896</v>
      </c>
      <c r="G131" s="143" t="s">
        <v>157</v>
      </c>
      <c r="H131" s="145">
        <v>80111600</v>
      </c>
      <c r="I131" s="146">
        <v>1</v>
      </c>
      <c r="J131" s="146">
        <v>1</v>
      </c>
      <c r="K131" s="147">
        <v>0</v>
      </c>
      <c r="L131" s="148">
        <v>3000000</v>
      </c>
      <c r="M131" s="143" t="s">
        <v>173</v>
      </c>
      <c r="N131" s="148" t="s">
        <v>114</v>
      </c>
      <c r="O131" s="144" t="s">
        <v>226</v>
      </c>
      <c r="P131" s="149" t="str">
        <f>IFERROR(VLOOKUP(C131,TD!$B$32:$F$36,2,0)," ")</f>
        <v>O230117</v>
      </c>
      <c r="Q131" s="149" t="str">
        <f>IFERROR(VLOOKUP(C131,TD!$B$32:$F$36,3,0)," ")</f>
        <v>4503</v>
      </c>
      <c r="R131" s="149">
        <f>IFERROR(VLOOKUP(C131,TD!$B$32:$F$36,4,0)," ")</f>
        <v>20240255</v>
      </c>
      <c r="S131" s="144" t="s">
        <v>180</v>
      </c>
      <c r="T131" s="149" t="str">
        <f>IFERROR(VLOOKUP(S131,TD!$J$33:$K$43,2,0)," ")</f>
        <v>Infraestructura Tecnológica   (Sistemas de Información y Tecnologia)</v>
      </c>
      <c r="U131" s="181" t="str">
        <f t="shared" si="4"/>
        <v>11-Infraestructura Tecnológica   (Sistemas de Información y Tecnologia)</v>
      </c>
      <c r="V131" s="144" t="s">
        <v>236</v>
      </c>
      <c r="W131" s="149" t="str">
        <f>IFERROR(VLOOKUP(V131,TD!$N$33:$O$45,2,0)," ")</f>
        <v>"Servicio de monitoreo y seguimiento para la gestión del riesgo"</v>
      </c>
      <c r="X131" s="181" t="str">
        <f t="shared" si="5"/>
        <v>018_"Servicio de monitoreo y seguimiento para la gestión del riesgo"</v>
      </c>
      <c r="Y131" s="181" t="str">
        <f t="shared" si="6"/>
        <v>11-Infraestructura Tecnológica   (Sistemas de Información y Tecnologia) 018_"Servicio de monitoreo y seguimiento para la gestión del riesgo"</v>
      </c>
      <c r="Z131" s="149" t="str">
        <f t="shared" si="7"/>
        <v>O23011745032024025511018</v>
      </c>
      <c r="AA131" s="149" t="str">
        <f>IFERROR(VLOOKUP(Y131,TD!$K$46:$L$64,2,0)," ")</f>
        <v>PM/0131/0111/45030180255</v>
      </c>
      <c r="AB131" s="148" t="s">
        <v>139</v>
      </c>
      <c r="AC131" s="178" t="s">
        <v>206</v>
      </c>
    </row>
    <row r="132" spans="2:29" s="28" customFormat="1" ht="57">
      <c r="B132" s="196">
        <v>20241336</v>
      </c>
      <c r="C132" s="142" t="s">
        <v>210</v>
      </c>
      <c r="D132" s="143" t="s">
        <v>168</v>
      </c>
      <c r="E132" s="144" t="s">
        <v>380</v>
      </c>
      <c r="F132" s="143" t="s">
        <v>394</v>
      </c>
      <c r="G132" s="143" t="s">
        <v>157</v>
      </c>
      <c r="H132" s="145">
        <v>80111600</v>
      </c>
      <c r="I132" s="146">
        <v>11</v>
      </c>
      <c r="J132" s="146">
        <v>3</v>
      </c>
      <c r="K132" s="147">
        <v>0</v>
      </c>
      <c r="L132" s="148">
        <v>9000000</v>
      </c>
      <c r="M132" s="143" t="s">
        <v>173</v>
      </c>
      <c r="N132" s="148" t="s">
        <v>114</v>
      </c>
      <c r="O132" s="144" t="s">
        <v>226</v>
      </c>
      <c r="P132" s="149" t="str">
        <f>IFERROR(VLOOKUP(C132,TD!$B$32:$F$36,2,0)," ")</f>
        <v>O230117</v>
      </c>
      <c r="Q132" s="149" t="str">
        <f>IFERROR(VLOOKUP(C132,TD!$B$32:$F$36,3,0)," ")</f>
        <v>4503</v>
      </c>
      <c r="R132" s="149">
        <f>IFERROR(VLOOKUP(C132,TD!$B$32:$F$36,4,0)," ")</f>
        <v>20240255</v>
      </c>
      <c r="S132" s="144" t="s">
        <v>180</v>
      </c>
      <c r="T132" s="149" t="str">
        <f>IFERROR(VLOOKUP(S132,TD!$J$33:$K$43,2,0)," ")</f>
        <v>Infraestructura Tecnológica   (Sistemas de Información y Tecnologia)</v>
      </c>
      <c r="U132" s="181" t="str">
        <f t="shared" si="4"/>
        <v>11-Infraestructura Tecnológica   (Sistemas de Información y Tecnologia)</v>
      </c>
      <c r="V132" s="144" t="s">
        <v>236</v>
      </c>
      <c r="W132" s="149" t="str">
        <f>IFERROR(VLOOKUP(V132,TD!$N$33:$O$45,2,0)," ")</f>
        <v>"Servicio de monitoreo y seguimiento para la gestión del riesgo"</v>
      </c>
      <c r="X132" s="181" t="str">
        <f t="shared" si="5"/>
        <v>018_"Servicio de monitoreo y seguimiento para la gestión del riesgo"</v>
      </c>
      <c r="Y132" s="181" t="str">
        <f t="shared" si="6"/>
        <v>11-Infraestructura Tecnológica   (Sistemas de Información y Tecnologia) 018_"Servicio de monitoreo y seguimiento para la gestión del riesgo"</v>
      </c>
      <c r="Z132" s="149" t="str">
        <f t="shared" si="7"/>
        <v>O23011745032024025511018</v>
      </c>
      <c r="AA132" s="149" t="str">
        <f>IFERROR(VLOOKUP(Y132,TD!$K$46:$L$64,2,0)," ")</f>
        <v>PM/0131/0111/45030180255</v>
      </c>
      <c r="AB132" s="148" t="s">
        <v>139</v>
      </c>
      <c r="AC132" s="178" t="s">
        <v>205</v>
      </c>
    </row>
    <row r="133" spans="2:29" s="28" customFormat="1" ht="57">
      <c r="B133" s="196">
        <v>20241337</v>
      </c>
      <c r="C133" s="142" t="s">
        <v>210</v>
      </c>
      <c r="D133" s="143" t="s">
        <v>168</v>
      </c>
      <c r="E133" s="144" t="s">
        <v>380</v>
      </c>
      <c r="F133" s="143" t="s">
        <v>897</v>
      </c>
      <c r="G133" s="143" t="s">
        <v>157</v>
      </c>
      <c r="H133" s="145">
        <v>80111600</v>
      </c>
      <c r="I133" s="146">
        <v>11</v>
      </c>
      <c r="J133" s="146">
        <v>3</v>
      </c>
      <c r="K133" s="147">
        <v>0</v>
      </c>
      <c r="L133" s="148">
        <v>7943460</v>
      </c>
      <c r="M133" s="143" t="s">
        <v>173</v>
      </c>
      <c r="N133" s="148" t="s">
        <v>114</v>
      </c>
      <c r="O133" s="144" t="s">
        <v>222</v>
      </c>
      <c r="P133" s="149" t="str">
        <f>IFERROR(VLOOKUP(C133,TD!$B$32:$F$36,2,0)," ")</f>
        <v>O230117</v>
      </c>
      <c r="Q133" s="149" t="str">
        <f>IFERROR(VLOOKUP(C133,TD!$B$32:$F$36,3,0)," ")</f>
        <v>4503</v>
      </c>
      <c r="R133" s="149">
        <f>IFERROR(VLOOKUP(C133,TD!$B$32:$F$36,4,0)," ")</f>
        <v>20240255</v>
      </c>
      <c r="S133" s="144" t="s">
        <v>178</v>
      </c>
      <c r="T133" s="149" t="str">
        <f>IFERROR(VLOOKUP(S133,TD!$J$33:$K$43,2,0)," ")</f>
        <v>Servicio de capacitaciones en gestión del riesgo de incendios  a la ciudadania.</v>
      </c>
      <c r="U133" s="181" t="str">
        <f t="shared" si="4"/>
        <v>05-Servicio de capacitaciones en gestión del riesgo de incendios  a la ciudadania.</v>
      </c>
      <c r="V133" s="144" t="s">
        <v>234</v>
      </c>
      <c r="W133" s="149" t="str">
        <f>IFERROR(VLOOKUP(V133,TD!$N$33:$O$45,2,0)," ")</f>
        <v>Servicio de educación informal</v>
      </c>
      <c r="X133" s="181" t="str">
        <f t="shared" si="5"/>
        <v>002_Servicio de educación informal</v>
      </c>
      <c r="Y133" s="181" t="str">
        <f t="shared" si="6"/>
        <v>05-Servicio de capacitaciones en gestión del riesgo de incendios  a la ciudadania. 002_Servicio de educación informal</v>
      </c>
      <c r="Z133" s="149" t="str">
        <f t="shared" si="7"/>
        <v>O23011745032024025505002</v>
      </c>
      <c r="AA133" s="149" t="str">
        <f>IFERROR(VLOOKUP(Y133,TD!$K$46:$L$64,2,0)," ")</f>
        <v>PM/0131/0105/45030020255</v>
      </c>
      <c r="AB133" s="148" t="s">
        <v>139</v>
      </c>
      <c r="AC133" s="178" t="s">
        <v>205</v>
      </c>
    </row>
    <row r="134" spans="2:29" s="28" customFormat="1" ht="57">
      <c r="B134" s="195">
        <v>20241338</v>
      </c>
      <c r="C134" s="142" t="s">
        <v>347</v>
      </c>
      <c r="D134" s="143" t="s">
        <v>167</v>
      </c>
      <c r="E134" s="144" t="s">
        <v>839</v>
      </c>
      <c r="F134" s="143" t="s">
        <v>898</v>
      </c>
      <c r="G134" s="143" t="s">
        <v>120</v>
      </c>
      <c r="H134" s="145" t="s">
        <v>899</v>
      </c>
      <c r="I134" s="146">
        <v>10</v>
      </c>
      <c r="J134" s="146">
        <v>1</v>
      </c>
      <c r="K134" s="147">
        <v>0</v>
      </c>
      <c r="L134" s="148">
        <v>80000000</v>
      </c>
      <c r="M134" s="143" t="s">
        <v>173</v>
      </c>
      <c r="N134" s="148" t="s">
        <v>96</v>
      </c>
      <c r="O134" s="144" t="s">
        <v>348</v>
      </c>
      <c r="P134" s="149" t="str">
        <f>IFERROR(VLOOKUP(C134,TD!$B$32:$F$36,2,0)," ")</f>
        <v>NA</v>
      </c>
      <c r="Q134" s="149" t="str">
        <f>IFERROR(VLOOKUP(C134,TD!$B$32:$F$36,3,0)," ")</f>
        <v>NA</v>
      </c>
      <c r="R134" s="149" t="str">
        <f>IFERROR(VLOOKUP(C134,TD!$B$32:$F$36,4,0)," ")</f>
        <v>NA</v>
      </c>
      <c r="S134" s="144" t="s">
        <v>546</v>
      </c>
      <c r="T134" s="149" t="str">
        <f>IFERROR(VLOOKUP(S134,TD!$J$33:$K$43,2,0)," ")</f>
        <v>N/A</v>
      </c>
      <c r="U134" s="184" t="str">
        <f t="shared" si="4"/>
        <v>N/A-N/A</v>
      </c>
      <c r="V134" s="144" t="s">
        <v>546</v>
      </c>
      <c r="W134" s="149" t="str">
        <f>IFERROR(VLOOKUP(V134,TD!$N$33:$O$45,2,0)," ")</f>
        <v>N/A</v>
      </c>
      <c r="X134" s="184" t="str">
        <f t="shared" si="5"/>
        <v>N/A_N/A</v>
      </c>
      <c r="Y134" s="184" t="str">
        <f t="shared" si="6"/>
        <v>N/A-N/A N/A_N/A</v>
      </c>
      <c r="Z134" s="149" t="str">
        <f t="shared" si="7"/>
        <v>NANANAN/AN/A</v>
      </c>
      <c r="AA134" s="149" t="str">
        <f>IFERROR(VLOOKUP(Y134,TD!$K$46:$L$64,2,0)," ")</f>
        <v>N/A</v>
      </c>
      <c r="AB134" s="148" t="s">
        <v>349</v>
      </c>
      <c r="AC134" s="178" t="s">
        <v>206</v>
      </c>
    </row>
    <row r="135" spans="2:29" s="28" customFormat="1" ht="57">
      <c r="B135" s="196">
        <v>20241339</v>
      </c>
      <c r="C135" s="142" t="s">
        <v>209</v>
      </c>
      <c r="D135" s="143" t="s">
        <v>167</v>
      </c>
      <c r="E135" s="144" t="s">
        <v>839</v>
      </c>
      <c r="F135" s="143" t="s">
        <v>909</v>
      </c>
      <c r="G135" s="143" t="s">
        <v>156</v>
      </c>
      <c r="H135" s="145" t="s">
        <v>587</v>
      </c>
      <c r="I135" s="146">
        <v>10</v>
      </c>
      <c r="J135" s="146">
        <v>3</v>
      </c>
      <c r="K135" s="147">
        <v>0</v>
      </c>
      <c r="L135" s="148">
        <v>18000000</v>
      </c>
      <c r="M135" s="143" t="s">
        <v>173</v>
      </c>
      <c r="N135" s="148" t="s">
        <v>114</v>
      </c>
      <c r="O135" s="144" t="s">
        <v>220</v>
      </c>
      <c r="P135" s="149" t="str">
        <f>IFERROR(VLOOKUP(C135,TD!$B$32:$F$36,2,0)," ")</f>
        <v>O230117</v>
      </c>
      <c r="Q135" s="149" t="str">
        <f>IFERROR(VLOOKUP(C135,TD!$B$32:$F$36,3,0)," ")</f>
        <v>4599</v>
      </c>
      <c r="R135" s="149">
        <f>IFERROR(VLOOKUP(C135,TD!$B$32:$F$36,4,0)," ")</f>
        <v>20240207</v>
      </c>
      <c r="S135" s="144" t="s">
        <v>186</v>
      </c>
      <c r="T135" s="149" t="str">
        <f>IFERROR(VLOOKUP(S135,TD!$J$33:$K$43,2,0)," ")</f>
        <v>Infraestructura física, mantenimiento y dotación (Sedes construidas, mantenidas reforzadas)</v>
      </c>
      <c r="U135" s="185" t="str">
        <f t="shared" si="4"/>
        <v>08-Infraestructura física, mantenimiento y dotación (Sedes construidas, mantenidas reforzadas)</v>
      </c>
      <c r="V135" s="144" t="s">
        <v>239</v>
      </c>
      <c r="W135" s="149" t="str">
        <f>IFERROR(VLOOKUP(V135,TD!$N$33:$O$45,2,0)," ")</f>
        <v>Sedes mantenidas</v>
      </c>
      <c r="X135" s="185" t="str">
        <f t="shared" si="5"/>
        <v>016_Sedes mantenidas</v>
      </c>
      <c r="Y135" s="185" t="str">
        <f t="shared" si="6"/>
        <v>08-Infraestructura física, mantenimiento y dotación (Sedes construidas, mantenidas reforzadas) 016_Sedes mantenidas</v>
      </c>
      <c r="Z135" s="149" t="str">
        <f t="shared" si="7"/>
        <v>O23011745992024020708016</v>
      </c>
      <c r="AA135" s="149" t="str">
        <f>IFERROR(VLOOKUP(Y135,TD!$K$46:$L$64,2,0)," ")</f>
        <v>PM/0131/0108/45990160207</v>
      </c>
      <c r="AB135" s="148" t="s">
        <v>139</v>
      </c>
      <c r="AC135" s="178" t="s">
        <v>205</v>
      </c>
    </row>
    <row r="136" spans="2:29" s="28" customFormat="1" ht="57">
      <c r="B136" s="196">
        <v>20241340</v>
      </c>
      <c r="C136" s="142" t="s">
        <v>209</v>
      </c>
      <c r="D136" s="143" t="s">
        <v>167</v>
      </c>
      <c r="E136" s="144" t="s">
        <v>839</v>
      </c>
      <c r="F136" s="143" t="s">
        <v>900</v>
      </c>
      <c r="G136" s="143" t="s">
        <v>157</v>
      </c>
      <c r="H136" s="145" t="s">
        <v>587</v>
      </c>
      <c r="I136" s="146">
        <v>10</v>
      </c>
      <c r="J136" s="146">
        <v>3</v>
      </c>
      <c r="K136" s="147">
        <v>0</v>
      </c>
      <c r="L136" s="148">
        <v>9234000</v>
      </c>
      <c r="M136" s="143" t="s">
        <v>173</v>
      </c>
      <c r="N136" s="148" t="s">
        <v>114</v>
      </c>
      <c r="O136" s="144" t="s">
        <v>220</v>
      </c>
      <c r="P136" s="149" t="str">
        <f>IFERROR(VLOOKUP(C136,TD!$B$32:$F$36,2,0)," ")</f>
        <v>O230117</v>
      </c>
      <c r="Q136" s="149" t="str">
        <f>IFERROR(VLOOKUP(C136,TD!$B$32:$F$36,3,0)," ")</f>
        <v>4599</v>
      </c>
      <c r="R136" s="149">
        <f>IFERROR(VLOOKUP(C136,TD!$B$32:$F$36,4,0)," ")</f>
        <v>20240207</v>
      </c>
      <c r="S136" s="144" t="s">
        <v>186</v>
      </c>
      <c r="T136" s="149" t="str">
        <f>IFERROR(VLOOKUP(S136,TD!$J$33:$K$43,2,0)," ")</f>
        <v>Infraestructura física, mantenimiento y dotación (Sedes construidas, mantenidas reforzadas)</v>
      </c>
      <c r="U136" s="185" t="str">
        <f t="shared" si="4"/>
        <v>08-Infraestructura física, mantenimiento y dotación (Sedes construidas, mantenidas reforzadas)</v>
      </c>
      <c r="V136" s="144" t="s">
        <v>239</v>
      </c>
      <c r="W136" s="149" t="str">
        <f>IFERROR(VLOOKUP(V136,TD!$N$33:$O$45,2,0)," ")</f>
        <v>Sedes mantenidas</v>
      </c>
      <c r="X136" s="185" t="str">
        <f t="shared" si="5"/>
        <v>016_Sedes mantenidas</v>
      </c>
      <c r="Y136" s="185" t="str">
        <f t="shared" si="6"/>
        <v>08-Infraestructura física, mantenimiento y dotación (Sedes construidas, mantenidas reforzadas) 016_Sedes mantenidas</v>
      </c>
      <c r="Z136" s="149" t="str">
        <f t="shared" si="7"/>
        <v>O23011745992024020708016</v>
      </c>
      <c r="AA136" s="149" t="str">
        <f>IFERROR(VLOOKUP(Y136,TD!$K$46:$L$64,2,0)," ")</f>
        <v>PM/0131/0108/45990160207</v>
      </c>
      <c r="AB136" s="148" t="s">
        <v>139</v>
      </c>
      <c r="AC136" s="178" t="s">
        <v>205</v>
      </c>
    </row>
    <row r="137" spans="2:29" s="28" customFormat="1" ht="57">
      <c r="B137" s="196">
        <v>20241341</v>
      </c>
      <c r="C137" s="142" t="s">
        <v>209</v>
      </c>
      <c r="D137" s="143" t="s">
        <v>167</v>
      </c>
      <c r="E137" s="144" t="s">
        <v>839</v>
      </c>
      <c r="F137" s="143" t="s">
        <v>901</v>
      </c>
      <c r="G137" s="143" t="s">
        <v>156</v>
      </c>
      <c r="H137" s="145" t="s">
        <v>587</v>
      </c>
      <c r="I137" s="146">
        <v>10</v>
      </c>
      <c r="J137" s="146">
        <v>3</v>
      </c>
      <c r="K137" s="147">
        <v>0</v>
      </c>
      <c r="L137" s="148">
        <v>16707360</v>
      </c>
      <c r="M137" s="143" t="s">
        <v>173</v>
      </c>
      <c r="N137" s="148" t="s">
        <v>114</v>
      </c>
      <c r="O137" s="144" t="s">
        <v>220</v>
      </c>
      <c r="P137" s="149" t="str">
        <f>IFERROR(VLOOKUP(C137,TD!$B$32:$F$36,2,0)," ")</f>
        <v>O230117</v>
      </c>
      <c r="Q137" s="149" t="str">
        <f>IFERROR(VLOOKUP(C137,TD!$B$32:$F$36,3,0)," ")</f>
        <v>4599</v>
      </c>
      <c r="R137" s="149">
        <f>IFERROR(VLOOKUP(C137,TD!$B$32:$F$36,4,0)," ")</f>
        <v>20240207</v>
      </c>
      <c r="S137" s="144" t="s">
        <v>186</v>
      </c>
      <c r="T137" s="149" t="str">
        <f>IFERROR(VLOOKUP(S137,TD!$J$33:$K$43,2,0)," ")</f>
        <v>Infraestructura física, mantenimiento y dotación (Sedes construidas, mantenidas reforzadas)</v>
      </c>
      <c r="U137" s="185" t="str">
        <f t="shared" si="4"/>
        <v>08-Infraestructura física, mantenimiento y dotación (Sedes construidas, mantenidas reforzadas)</v>
      </c>
      <c r="V137" s="144" t="s">
        <v>239</v>
      </c>
      <c r="W137" s="149" t="str">
        <f>IFERROR(VLOOKUP(V137,TD!$N$33:$O$45,2,0)," ")</f>
        <v>Sedes mantenidas</v>
      </c>
      <c r="X137" s="185" t="str">
        <f t="shared" si="5"/>
        <v>016_Sedes mantenidas</v>
      </c>
      <c r="Y137" s="185" t="str">
        <f t="shared" si="6"/>
        <v>08-Infraestructura física, mantenimiento y dotación (Sedes construidas, mantenidas reforzadas) 016_Sedes mantenidas</v>
      </c>
      <c r="Z137" s="149" t="str">
        <f t="shared" si="7"/>
        <v>O23011745992024020708016</v>
      </c>
      <c r="AA137" s="149" t="str">
        <f>IFERROR(VLOOKUP(Y137,TD!$K$46:$L$64,2,0)," ")</f>
        <v>PM/0131/0108/45990160207</v>
      </c>
      <c r="AB137" s="148" t="s">
        <v>139</v>
      </c>
      <c r="AC137" s="178" t="s">
        <v>205</v>
      </c>
    </row>
    <row r="138" spans="2:29" s="28" customFormat="1" ht="57">
      <c r="B138" s="196">
        <v>20241342</v>
      </c>
      <c r="C138" s="142" t="s">
        <v>209</v>
      </c>
      <c r="D138" s="143" t="s">
        <v>167</v>
      </c>
      <c r="E138" s="144" t="s">
        <v>839</v>
      </c>
      <c r="F138" s="143" t="s">
        <v>902</v>
      </c>
      <c r="G138" s="143" t="s">
        <v>156</v>
      </c>
      <c r="H138" s="145" t="s">
        <v>587</v>
      </c>
      <c r="I138" s="146">
        <v>10</v>
      </c>
      <c r="J138" s="146">
        <v>3</v>
      </c>
      <c r="K138" s="147">
        <v>0</v>
      </c>
      <c r="L138" s="148">
        <v>12165360</v>
      </c>
      <c r="M138" s="143" t="s">
        <v>173</v>
      </c>
      <c r="N138" s="148" t="s">
        <v>114</v>
      </c>
      <c r="O138" s="144" t="s">
        <v>220</v>
      </c>
      <c r="P138" s="149" t="str">
        <f>IFERROR(VLOOKUP(C138,TD!$B$32:$F$36,2,0)," ")</f>
        <v>O230117</v>
      </c>
      <c r="Q138" s="149" t="str">
        <f>IFERROR(VLOOKUP(C138,TD!$B$32:$F$36,3,0)," ")</f>
        <v>4599</v>
      </c>
      <c r="R138" s="149">
        <f>IFERROR(VLOOKUP(C138,TD!$B$32:$F$36,4,0)," ")</f>
        <v>20240207</v>
      </c>
      <c r="S138" s="144" t="s">
        <v>186</v>
      </c>
      <c r="T138" s="149" t="str">
        <f>IFERROR(VLOOKUP(S138,TD!$J$33:$K$43,2,0)," ")</f>
        <v>Infraestructura física, mantenimiento y dotación (Sedes construidas, mantenidas reforzadas)</v>
      </c>
      <c r="U138" s="185" t="str">
        <f t="shared" si="4"/>
        <v>08-Infraestructura física, mantenimiento y dotación (Sedes construidas, mantenidas reforzadas)</v>
      </c>
      <c r="V138" s="144" t="s">
        <v>239</v>
      </c>
      <c r="W138" s="149" t="str">
        <f>IFERROR(VLOOKUP(V138,TD!$N$33:$O$45,2,0)," ")</f>
        <v>Sedes mantenidas</v>
      </c>
      <c r="X138" s="185" t="str">
        <f t="shared" si="5"/>
        <v>016_Sedes mantenidas</v>
      </c>
      <c r="Y138" s="185" t="str">
        <f t="shared" si="6"/>
        <v>08-Infraestructura física, mantenimiento y dotación (Sedes construidas, mantenidas reforzadas) 016_Sedes mantenidas</v>
      </c>
      <c r="Z138" s="149" t="str">
        <f t="shared" si="7"/>
        <v>O23011745992024020708016</v>
      </c>
      <c r="AA138" s="149" t="str">
        <f>IFERROR(VLOOKUP(Y138,TD!$K$46:$L$64,2,0)," ")</f>
        <v>PM/0131/0108/45990160207</v>
      </c>
      <c r="AB138" s="148" t="s">
        <v>139</v>
      </c>
      <c r="AC138" s="178" t="s">
        <v>205</v>
      </c>
    </row>
    <row r="139" spans="2:29" s="28" customFormat="1" ht="57">
      <c r="B139" s="196">
        <v>20241343</v>
      </c>
      <c r="C139" s="142" t="s">
        <v>210</v>
      </c>
      <c r="D139" s="143" t="s">
        <v>167</v>
      </c>
      <c r="E139" s="144" t="s">
        <v>839</v>
      </c>
      <c r="F139" s="143" t="s">
        <v>906</v>
      </c>
      <c r="G139" s="143" t="s">
        <v>156</v>
      </c>
      <c r="H139" s="145">
        <v>80111600</v>
      </c>
      <c r="I139" s="146">
        <v>10</v>
      </c>
      <c r="J139" s="146">
        <v>3</v>
      </c>
      <c r="K139" s="147">
        <v>0</v>
      </c>
      <c r="L139" s="148">
        <v>15000000</v>
      </c>
      <c r="M139" s="143" t="s">
        <v>173</v>
      </c>
      <c r="N139" s="148" t="s">
        <v>114</v>
      </c>
      <c r="O139" s="144" t="s">
        <v>229</v>
      </c>
      <c r="P139" s="149" t="str">
        <f>IFERROR(VLOOKUP(C139,TD!$B$32:$F$36,2,0)," ")</f>
        <v>O230117</v>
      </c>
      <c r="Q139" s="149" t="str">
        <f>IFERROR(VLOOKUP(C139,TD!$B$32:$F$36,3,0)," ")</f>
        <v>4503</v>
      </c>
      <c r="R139" s="149">
        <f>IFERROR(VLOOKUP(C139,TD!$B$32:$F$36,4,0)," ")</f>
        <v>20240255</v>
      </c>
      <c r="S139" s="144" t="s">
        <v>186</v>
      </c>
      <c r="T139" s="149" t="str">
        <f>IFERROR(VLOOKUP(S139,TD!$J$33:$K$43,2,0)," ")</f>
        <v>Infraestructura física, mantenimiento y dotación (Sedes construidas, mantenidas reforzadas)</v>
      </c>
      <c r="U139" s="186" t="str">
        <f t="shared" ref="U139:U202" si="8">CONCATENATE(S139,"-",T139)</f>
        <v>08-Infraestructura física, mantenimiento y dotación (Sedes construidas, mantenidas reforzadas)</v>
      </c>
      <c r="V139" s="144" t="s">
        <v>237</v>
      </c>
      <c r="W139" s="149" t="str">
        <f>IFERROR(VLOOKUP(V139,TD!$N$33:$O$45,2,0)," ")</f>
        <v>Estaciones de bomberos adecuadas</v>
      </c>
      <c r="X139" s="186" t="str">
        <f t="shared" ref="X139:X202" si="9">CONCATENATE(V139,"_",W139)</f>
        <v>014_Estaciones de bomberos adecuadas</v>
      </c>
      <c r="Y139" s="186" t="str">
        <f t="shared" ref="Y139:Y202" si="10">CONCATENATE(U139," ",X139)</f>
        <v>08-Infraestructura física, mantenimiento y dotación (Sedes construidas, mantenidas reforzadas) 014_Estaciones de bomberos adecuadas</v>
      </c>
      <c r="Z139" s="149" t="str">
        <f t="shared" ref="Z139:Z202" si="11">CONCATENATE(P139,Q139,R139,S139,V139)</f>
        <v>O23011745032024025508014</v>
      </c>
      <c r="AA139" s="149" t="str">
        <f>IFERROR(VLOOKUP(Y139,TD!$K$46:$L$64,2,0)," ")</f>
        <v>PM/0131/0108/45030140255</v>
      </c>
      <c r="AB139" s="148" t="s">
        <v>139</v>
      </c>
      <c r="AC139" s="178" t="s">
        <v>205</v>
      </c>
    </row>
    <row r="140" spans="2:29" s="28" customFormat="1" ht="57">
      <c r="B140" s="196">
        <v>20241344</v>
      </c>
      <c r="C140" s="142" t="s">
        <v>210</v>
      </c>
      <c r="D140" s="143" t="s">
        <v>167</v>
      </c>
      <c r="E140" s="144" t="s">
        <v>839</v>
      </c>
      <c r="F140" s="143" t="s">
        <v>907</v>
      </c>
      <c r="G140" s="143" t="s">
        <v>156</v>
      </c>
      <c r="H140" s="145">
        <v>80111600</v>
      </c>
      <c r="I140" s="146">
        <v>10</v>
      </c>
      <c r="J140" s="146">
        <v>3</v>
      </c>
      <c r="K140" s="147">
        <v>0</v>
      </c>
      <c r="L140" s="148">
        <v>18000000</v>
      </c>
      <c r="M140" s="143" t="s">
        <v>173</v>
      </c>
      <c r="N140" s="148" t="s">
        <v>114</v>
      </c>
      <c r="O140" s="144" t="s">
        <v>230</v>
      </c>
      <c r="P140" s="149" t="str">
        <f>IFERROR(VLOOKUP(C140,TD!$B$32:$F$36,2,0)," ")</f>
        <v>O230117</v>
      </c>
      <c r="Q140" s="149" t="str">
        <f>IFERROR(VLOOKUP(C140,TD!$B$32:$F$36,3,0)," ")</f>
        <v>4503</v>
      </c>
      <c r="R140" s="149">
        <f>IFERROR(VLOOKUP(C140,TD!$B$32:$F$36,4,0)," ")</f>
        <v>20240255</v>
      </c>
      <c r="S140" s="144" t="s">
        <v>186</v>
      </c>
      <c r="T140" s="149" t="str">
        <f>IFERROR(VLOOKUP(S140,TD!$J$33:$K$43,2,0)," ")</f>
        <v>Infraestructura física, mantenimiento y dotación (Sedes construidas, mantenidas reforzadas)</v>
      </c>
      <c r="U140" s="186" t="str">
        <f t="shared" si="8"/>
        <v>08-Infraestructura física, mantenimiento y dotación (Sedes construidas, mantenidas reforzadas)</v>
      </c>
      <c r="V140" s="144" t="s">
        <v>238</v>
      </c>
      <c r="W140" s="149" t="str">
        <f>IFERROR(VLOOKUP(V140,TD!$N$33:$O$45,2,0)," ")</f>
        <v>Estaciones de bomberos construidas</v>
      </c>
      <c r="X140" s="186" t="str">
        <f t="shared" si="9"/>
        <v>015_Estaciones de bomberos construidas</v>
      </c>
      <c r="Y140" s="186" t="str">
        <f t="shared" si="10"/>
        <v>08-Infraestructura física, mantenimiento y dotación (Sedes construidas, mantenidas reforzadas) 015_Estaciones de bomberos construidas</v>
      </c>
      <c r="Z140" s="149" t="str">
        <f t="shared" si="11"/>
        <v>O23011745032024025508015</v>
      </c>
      <c r="AA140" s="149" t="str">
        <f>IFERROR(VLOOKUP(Y140,TD!$K$46:$L$64,2,0)," ")</f>
        <v>PM/0131/0108/45030150255</v>
      </c>
      <c r="AB140" s="148" t="s">
        <v>121</v>
      </c>
      <c r="AC140" s="178" t="s">
        <v>205</v>
      </c>
    </row>
    <row r="141" spans="2:29" s="28" customFormat="1" ht="71.25">
      <c r="B141" s="196">
        <v>20241345</v>
      </c>
      <c r="C141" s="142" t="s">
        <v>210</v>
      </c>
      <c r="D141" s="143" t="s">
        <v>167</v>
      </c>
      <c r="E141" s="144" t="s">
        <v>839</v>
      </c>
      <c r="F141" s="143" t="s">
        <v>908</v>
      </c>
      <c r="G141" s="143" t="s">
        <v>156</v>
      </c>
      <c r="H141" s="145">
        <v>80111600</v>
      </c>
      <c r="I141" s="146">
        <v>10</v>
      </c>
      <c r="J141" s="146">
        <v>3</v>
      </c>
      <c r="K141" s="147">
        <v>0</v>
      </c>
      <c r="L141" s="148">
        <v>18000000</v>
      </c>
      <c r="M141" s="143" t="s">
        <v>173</v>
      </c>
      <c r="N141" s="148" t="s">
        <v>114</v>
      </c>
      <c r="O141" s="144" t="s">
        <v>231</v>
      </c>
      <c r="P141" s="149" t="str">
        <f>IFERROR(VLOOKUP(C141,TD!$B$32:$F$36,2,0)," ")</f>
        <v>O230117</v>
      </c>
      <c r="Q141" s="149" t="str">
        <f>IFERROR(VLOOKUP(C141,TD!$B$32:$F$36,3,0)," ")</f>
        <v>4503</v>
      </c>
      <c r="R141" s="149">
        <f>IFERROR(VLOOKUP(C141,TD!$B$32:$F$36,4,0)," ")</f>
        <v>20240255</v>
      </c>
      <c r="S141" s="144" t="s">
        <v>186</v>
      </c>
      <c r="T141" s="149" t="str">
        <f>IFERROR(VLOOKUP(S141,TD!$J$33:$K$43,2,0)," ")</f>
        <v>Infraestructura física, mantenimiento y dotación (Sedes construidas, mantenidas reforzadas)</v>
      </c>
      <c r="U141" s="186" t="str">
        <f t="shared" si="8"/>
        <v>08-Infraestructura física, mantenimiento y dotación (Sedes construidas, mantenidas reforzadas)</v>
      </c>
      <c r="V141" s="144" t="s">
        <v>295</v>
      </c>
      <c r="W141" s="149" t="str">
        <f>IFERROR(VLOOKUP(V141,TD!$N$33:$O$45,2,0)," ")</f>
        <v>Documentos de lineamientos técnicos</v>
      </c>
      <c r="X141" s="186" t="str">
        <f t="shared" si="9"/>
        <v>031__Documentos de lineamientos técnicos</v>
      </c>
      <c r="Y141" s="186" t="str">
        <f t="shared" si="10"/>
        <v>08-Infraestructura física, mantenimiento y dotación (Sedes construidas, mantenidas reforzadas) 031__Documentos de lineamientos técnicos</v>
      </c>
      <c r="Z141" s="149" t="str">
        <f t="shared" si="11"/>
        <v>O23011745032024025508031_</v>
      </c>
      <c r="AA141" s="149" t="str">
        <f>IFERROR(VLOOKUP(Y141,TD!$K$46:$L$64,2,0)," ")</f>
        <v>PM/0131/0108/45030310255</v>
      </c>
      <c r="AB141" s="148" t="s">
        <v>139</v>
      </c>
      <c r="AC141" s="178" t="s">
        <v>205</v>
      </c>
    </row>
    <row r="142" spans="2:29" s="28" customFormat="1" ht="57">
      <c r="B142" s="196">
        <v>20241346</v>
      </c>
      <c r="C142" s="142" t="s">
        <v>347</v>
      </c>
      <c r="D142" s="143" t="s">
        <v>167</v>
      </c>
      <c r="E142" s="144" t="s">
        <v>839</v>
      </c>
      <c r="F142" s="143" t="s">
        <v>910</v>
      </c>
      <c r="G142" s="143" t="s">
        <v>156</v>
      </c>
      <c r="H142" s="145" t="s">
        <v>587</v>
      </c>
      <c r="I142" s="146">
        <v>8</v>
      </c>
      <c r="J142" s="146">
        <v>3</v>
      </c>
      <c r="K142" s="147">
        <v>0</v>
      </c>
      <c r="L142" s="148">
        <v>18664800</v>
      </c>
      <c r="M142" s="143" t="s">
        <v>173</v>
      </c>
      <c r="N142" s="148" t="s">
        <v>114</v>
      </c>
      <c r="O142" s="144" t="s">
        <v>348</v>
      </c>
      <c r="P142" s="149" t="str">
        <f>IFERROR(VLOOKUP(C142,TD!$B$32:$F$36,2,0)," ")</f>
        <v>NA</v>
      </c>
      <c r="Q142" s="149" t="str">
        <f>IFERROR(VLOOKUP(C142,TD!$B$32:$F$36,3,0)," ")</f>
        <v>NA</v>
      </c>
      <c r="R142" s="149" t="str">
        <f>IFERROR(VLOOKUP(C142,TD!$B$32:$F$36,4,0)," ")</f>
        <v>NA</v>
      </c>
      <c r="S142" s="144" t="s">
        <v>546</v>
      </c>
      <c r="T142" s="149" t="str">
        <f>IFERROR(VLOOKUP(S142,TD!$J$33:$K$43,2,0)," ")</f>
        <v>N/A</v>
      </c>
      <c r="U142" s="186" t="str">
        <f t="shared" si="8"/>
        <v>N/A-N/A</v>
      </c>
      <c r="V142" s="144" t="s">
        <v>546</v>
      </c>
      <c r="W142" s="149" t="str">
        <f>IFERROR(VLOOKUP(V142,TD!$N$33:$O$45,2,0)," ")</f>
        <v>N/A</v>
      </c>
      <c r="X142" s="186" t="str">
        <f t="shared" si="9"/>
        <v>N/A_N/A</v>
      </c>
      <c r="Y142" s="186" t="str">
        <f t="shared" si="10"/>
        <v>N/A-N/A N/A_N/A</v>
      </c>
      <c r="Z142" s="149" t="str">
        <f t="shared" si="11"/>
        <v>NANANAN/AN/A</v>
      </c>
      <c r="AA142" s="149" t="str">
        <f>IFERROR(VLOOKUP(Y142,TD!$K$46:$L$64,2,0)," ")</f>
        <v>N/A</v>
      </c>
      <c r="AB142" s="148" t="s">
        <v>349</v>
      </c>
      <c r="AC142" s="178" t="s">
        <v>205</v>
      </c>
    </row>
    <row r="143" spans="2:29" s="28" customFormat="1" ht="57">
      <c r="B143" s="195">
        <v>20241347</v>
      </c>
      <c r="C143" s="142" t="s">
        <v>209</v>
      </c>
      <c r="D143" s="143" t="s">
        <v>164</v>
      </c>
      <c r="E143" s="144" t="s">
        <v>359</v>
      </c>
      <c r="F143" s="143" t="s">
        <v>911</v>
      </c>
      <c r="G143" s="143" t="s">
        <v>156</v>
      </c>
      <c r="H143" s="145">
        <v>80111600</v>
      </c>
      <c r="I143" s="146">
        <v>1</v>
      </c>
      <c r="J143" s="146">
        <v>0</v>
      </c>
      <c r="K143" s="147">
        <v>10</v>
      </c>
      <c r="L143" s="148">
        <v>2433333</v>
      </c>
      <c r="M143" s="143" t="s">
        <v>173</v>
      </c>
      <c r="N143" s="148" t="s">
        <v>114</v>
      </c>
      <c r="O143" s="144" t="s">
        <v>220</v>
      </c>
      <c r="P143" s="149" t="str">
        <f>IFERROR(VLOOKUP(C143,TD!$B$32:$F$36,2,0)," ")</f>
        <v>O230117</v>
      </c>
      <c r="Q143" s="149" t="str">
        <f>IFERROR(VLOOKUP(C143,TD!$B$32:$F$36,3,0)," ")</f>
        <v>4599</v>
      </c>
      <c r="R143" s="149">
        <f>IFERROR(VLOOKUP(C143,TD!$B$32:$F$36,4,0)," ")</f>
        <v>20240207</v>
      </c>
      <c r="S143" s="144" t="s">
        <v>186</v>
      </c>
      <c r="T143" s="149" t="str">
        <f>IFERROR(VLOOKUP(S143,TD!$J$33:$K$43,2,0)," ")</f>
        <v>Infraestructura física, mantenimiento y dotación (Sedes construidas, mantenidas reforzadas)</v>
      </c>
      <c r="U143" s="181" t="str">
        <f t="shared" si="8"/>
        <v>08-Infraestructura física, mantenimiento y dotación (Sedes construidas, mantenidas reforzadas)</v>
      </c>
      <c r="V143" s="144" t="s">
        <v>239</v>
      </c>
      <c r="W143" s="149" t="str">
        <f>IFERROR(VLOOKUP(V143,TD!$N$33:$O$45,2,0)," ")</f>
        <v>Sedes mantenidas</v>
      </c>
      <c r="X143" s="181" t="str">
        <f t="shared" si="9"/>
        <v>016_Sedes mantenidas</v>
      </c>
      <c r="Y143" s="181" t="str">
        <f t="shared" si="10"/>
        <v>08-Infraestructura física, mantenimiento y dotación (Sedes construidas, mantenidas reforzadas) 016_Sedes mantenidas</v>
      </c>
      <c r="Z143" s="149" t="str">
        <f t="shared" si="11"/>
        <v>O23011745992024020708016</v>
      </c>
      <c r="AA143" s="149" t="str">
        <f>IFERROR(VLOOKUP(Y143,TD!$K$46:$L$64,2,0)," ")</f>
        <v>PM/0131/0108/45990160207</v>
      </c>
      <c r="AB143" s="148" t="s">
        <v>139</v>
      </c>
      <c r="AC143" s="178" t="s">
        <v>206</v>
      </c>
    </row>
    <row r="144" spans="2:29" s="28" customFormat="1" ht="57">
      <c r="B144" s="195">
        <v>20241348</v>
      </c>
      <c r="C144" s="142" t="s">
        <v>209</v>
      </c>
      <c r="D144" s="143" t="s">
        <v>164</v>
      </c>
      <c r="E144" s="144" t="s">
        <v>359</v>
      </c>
      <c r="F144" s="143" t="s">
        <v>912</v>
      </c>
      <c r="G144" s="143" t="s">
        <v>156</v>
      </c>
      <c r="H144" s="145">
        <v>80111600</v>
      </c>
      <c r="I144" s="146">
        <v>2</v>
      </c>
      <c r="J144" s="146">
        <v>0</v>
      </c>
      <c r="K144" s="147">
        <v>15</v>
      </c>
      <c r="L144" s="148">
        <v>3650000</v>
      </c>
      <c r="M144" s="143" t="s">
        <v>173</v>
      </c>
      <c r="N144" s="148" t="s">
        <v>114</v>
      </c>
      <c r="O144" s="144" t="s">
        <v>220</v>
      </c>
      <c r="P144" s="149" t="str">
        <f>IFERROR(VLOOKUP(C144,TD!$B$32:$F$36,2,0)," ")</f>
        <v>O230117</v>
      </c>
      <c r="Q144" s="149" t="str">
        <f>IFERROR(VLOOKUP(C144,TD!$B$32:$F$36,3,0)," ")</f>
        <v>4599</v>
      </c>
      <c r="R144" s="149">
        <f>IFERROR(VLOOKUP(C144,TD!$B$32:$F$36,4,0)," ")</f>
        <v>20240207</v>
      </c>
      <c r="S144" s="144" t="s">
        <v>186</v>
      </c>
      <c r="T144" s="149" t="str">
        <f>IFERROR(VLOOKUP(S144,TD!$J$33:$K$43,2,0)," ")</f>
        <v>Infraestructura física, mantenimiento y dotación (Sedes construidas, mantenidas reforzadas)</v>
      </c>
      <c r="U144" s="181" t="str">
        <f t="shared" si="8"/>
        <v>08-Infraestructura física, mantenimiento y dotación (Sedes construidas, mantenidas reforzadas)</v>
      </c>
      <c r="V144" s="144" t="s">
        <v>239</v>
      </c>
      <c r="W144" s="149" t="str">
        <f>IFERROR(VLOOKUP(V144,TD!$N$33:$O$45,2,0)," ")</f>
        <v>Sedes mantenidas</v>
      </c>
      <c r="X144" s="181" t="str">
        <f t="shared" si="9"/>
        <v>016_Sedes mantenidas</v>
      </c>
      <c r="Y144" s="181" t="str">
        <f t="shared" si="10"/>
        <v>08-Infraestructura física, mantenimiento y dotación (Sedes construidas, mantenidas reforzadas) 016_Sedes mantenidas</v>
      </c>
      <c r="Z144" s="149" t="str">
        <f t="shared" si="11"/>
        <v>O23011745992024020708016</v>
      </c>
      <c r="AA144" s="149" t="str">
        <f>IFERROR(VLOOKUP(Y144,TD!$K$46:$L$64,2,0)," ")</f>
        <v>PM/0131/0108/45990160207</v>
      </c>
      <c r="AB144" s="148" t="s">
        <v>139</v>
      </c>
      <c r="AC144" s="178" t="s">
        <v>206</v>
      </c>
    </row>
    <row r="145" spans="2:29" s="28" customFormat="1" ht="57">
      <c r="B145" s="195">
        <v>20241349</v>
      </c>
      <c r="C145" s="142" t="s">
        <v>209</v>
      </c>
      <c r="D145" s="143" t="s">
        <v>164</v>
      </c>
      <c r="E145" s="144" t="s">
        <v>359</v>
      </c>
      <c r="F145" s="143" t="s">
        <v>913</v>
      </c>
      <c r="G145" s="143" t="s">
        <v>157</v>
      </c>
      <c r="H145" s="145">
        <v>80111600</v>
      </c>
      <c r="I145" s="146">
        <v>1</v>
      </c>
      <c r="J145" s="146">
        <v>0</v>
      </c>
      <c r="K145" s="147">
        <v>6</v>
      </c>
      <c r="L145" s="148">
        <v>730008</v>
      </c>
      <c r="M145" s="143" t="s">
        <v>173</v>
      </c>
      <c r="N145" s="148" t="s">
        <v>114</v>
      </c>
      <c r="O145" s="144" t="s">
        <v>220</v>
      </c>
      <c r="P145" s="149" t="str">
        <f>IFERROR(VLOOKUP(C145,TD!$B$32:$F$36,2,0)," ")</f>
        <v>O230117</v>
      </c>
      <c r="Q145" s="149" t="str">
        <f>IFERROR(VLOOKUP(C145,TD!$B$32:$F$36,3,0)," ")</f>
        <v>4599</v>
      </c>
      <c r="R145" s="149">
        <f>IFERROR(VLOOKUP(C145,TD!$B$32:$F$36,4,0)," ")</f>
        <v>20240207</v>
      </c>
      <c r="S145" s="144" t="s">
        <v>186</v>
      </c>
      <c r="T145" s="149" t="str">
        <f>IFERROR(VLOOKUP(S145,TD!$J$33:$K$43,2,0)," ")</f>
        <v>Infraestructura física, mantenimiento y dotación (Sedes construidas, mantenidas reforzadas)</v>
      </c>
      <c r="U145" s="181" t="str">
        <f t="shared" si="8"/>
        <v>08-Infraestructura física, mantenimiento y dotación (Sedes construidas, mantenidas reforzadas)</v>
      </c>
      <c r="V145" s="144" t="s">
        <v>239</v>
      </c>
      <c r="W145" s="149" t="str">
        <f>IFERROR(VLOOKUP(V145,TD!$N$33:$O$45,2,0)," ")</f>
        <v>Sedes mantenidas</v>
      </c>
      <c r="X145" s="181" t="str">
        <f t="shared" si="9"/>
        <v>016_Sedes mantenidas</v>
      </c>
      <c r="Y145" s="181" t="str">
        <f t="shared" si="10"/>
        <v>08-Infraestructura física, mantenimiento y dotación (Sedes construidas, mantenidas reforzadas) 016_Sedes mantenidas</v>
      </c>
      <c r="Z145" s="149" t="str">
        <f t="shared" si="11"/>
        <v>O23011745992024020708016</v>
      </c>
      <c r="AA145" s="149" t="str">
        <f>IFERROR(VLOOKUP(Y145,TD!$K$46:$L$64,2,0)," ")</f>
        <v>PM/0131/0108/45990160207</v>
      </c>
      <c r="AB145" s="148" t="s">
        <v>139</v>
      </c>
      <c r="AC145" s="178" t="s">
        <v>206</v>
      </c>
    </row>
    <row r="146" spans="2:29" s="28" customFormat="1" ht="57">
      <c r="B146" s="195">
        <v>20241350</v>
      </c>
      <c r="C146" s="142" t="s">
        <v>209</v>
      </c>
      <c r="D146" s="143" t="s">
        <v>163</v>
      </c>
      <c r="E146" s="144" t="s">
        <v>364</v>
      </c>
      <c r="F146" s="143" t="s">
        <v>914</v>
      </c>
      <c r="G146" s="143" t="s">
        <v>154</v>
      </c>
      <c r="H146" s="145">
        <v>81112401</v>
      </c>
      <c r="I146" s="146">
        <v>12</v>
      </c>
      <c r="J146" s="146">
        <v>2</v>
      </c>
      <c r="K146" s="147">
        <v>0</v>
      </c>
      <c r="L146" s="148">
        <v>1523360</v>
      </c>
      <c r="M146" s="143" t="s">
        <v>173</v>
      </c>
      <c r="N146" s="148" t="s">
        <v>124</v>
      </c>
      <c r="O146" s="144" t="s">
        <v>216</v>
      </c>
      <c r="P146" s="149" t="str">
        <f>IFERROR(VLOOKUP(C146,TD!$B$32:$F$36,2,0)," ")</f>
        <v>O230117</v>
      </c>
      <c r="Q146" s="149" t="str">
        <f>IFERROR(VLOOKUP(C146,TD!$B$32:$F$36,3,0)," ")</f>
        <v>4599</v>
      </c>
      <c r="R146" s="149">
        <f>IFERROR(VLOOKUP(C146,TD!$B$32:$F$36,4,0)," ")</f>
        <v>20240207</v>
      </c>
      <c r="S146" s="144" t="s">
        <v>180</v>
      </c>
      <c r="T146" s="149" t="str">
        <f>IFERROR(VLOOKUP(S146,TD!$J$33:$K$43,2,0)," ")</f>
        <v>Infraestructura Tecnológica   (Sistemas de Información y Tecnologia)</v>
      </c>
      <c r="U146" s="150" t="str">
        <f t="shared" si="8"/>
        <v>11-Infraestructura Tecnológica   (Sistemas de Información y Tecnologia)</v>
      </c>
      <c r="V146" s="144" t="s">
        <v>240</v>
      </c>
      <c r="W146" s="149" t="str">
        <f>IFERROR(VLOOKUP(V146,TD!$N$33:$O$45,2,0)," ")</f>
        <v>Servicios tecnológicos</v>
      </c>
      <c r="X146" s="150" t="str">
        <f t="shared" si="9"/>
        <v>007_Servicios tecnológicos</v>
      </c>
      <c r="Y146" s="150" t="str">
        <f t="shared" si="10"/>
        <v>11-Infraestructura Tecnológica   (Sistemas de Información y Tecnologia) 007_Servicios tecnológicos</v>
      </c>
      <c r="Z146" s="149" t="str">
        <f t="shared" si="11"/>
        <v>O23011745992024020711007</v>
      </c>
      <c r="AA146" s="149" t="str">
        <f>IFERROR(VLOOKUP(Y146,TD!$K$46:$L$64,2,0)," ")</f>
        <v>PM/0131/0111/45990070207</v>
      </c>
      <c r="AB146" s="148" t="s">
        <v>131</v>
      </c>
      <c r="AC146" s="178" t="s">
        <v>206</v>
      </c>
    </row>
    <row r="147" spans="2:29" s="28" customFormat="1" ht="57">
      <c r="B147" s="195">
        <v>20241351</v>
      </c>
      <c r="C147" s="142" t="s">
        <v>209</v>
      </c>
      <c r="D147" s="143" t="s">
        <v>163</v>
      </c>
      <c r="E147" s="144" t="s">
        <v>364</v>
      </c>
      <c r="F147" s="143" t="s">
        <v>915</v>
      </c>
      <c r="G147" s="143" t="s">
        <v>154</v>
      </c>
      <c r="H147" s="145">
        <v>81112401</v>
      </c>
      <c r="I147" s="146">
        <v>12</v>
      </c>
      <c r="J147" s="146">
        <v>2</v>
      </c>
      <c r="K147" s="147">
        <v>0</v>
      </c>
      <c r="L147" s="148">
        <v>15670454</v>
      </c>
      <c r="M147" s="143" t="s">
        <v>173</v>
      </c>
      <c r="N147" s="148" t="s">
        <v>124</v>
      </c>
      <c r="O147" s="144" t="s">
        <v>216</v>
      </c>
      <c r="P147" s="149" t="str">
        <f>IFERROR(VLOOKUP(C147,TD!$B$32:$F$36,2,0)," ")</f>
        <v>O230117</v>
      </c>
      <c r="Q147" s="149" t="str">
        <f>IFERROR(VLOOKUP(C147,TD!$B$32:$F$36,3,0)," ")</f>
        <v>4599</v>
      </c>
      <c r="R147" s="149">
        <f>IFERROR(VLOOKUP(C147,TD!$B$32:$F$36,4,0)," ")</f>
        <v>20240207</v>
      </c>
      <c r="S147" s="144" t="s">
        <v>180</v>
      </c>
      <c r="T147" s="149" t="str">
        <f>IFERROR(VLOOKUP(S147,TD!$J$33:$K$43,2,0)," ")</f>
        <v>Infraestructura Tecnológica   (Sistemas de Información y Tecnologia)</v>
      </c>
      <c r="U147" s="150" t="str">
        <f t="shared" si="8"/>
        <v>11-Infraestructura Tecnológica   (Sistemas de Información y Tecnologia)</v>
      </c>
      <c r="V147" s="144" t="s">
        <v>240</v>
      </c>
      <c r="W147" s="149" t="str">
        <f>IFERROR(VLOOKUP(V147,TD!$N$33:$O$45,2,0)," ")</f>
        <v>Servicios tecnológicos</v>
      </c>
      <c r="X147" s="150" t="str">
        <f t="shared" si="9"/>
        <v>007_Servicios tecnológicos</v>
      </c>
      <c r="Y147" s="150" t="str">
        <f t="shared" si="10"/>
        <v>11-Infraestructura Tecnológica   (Sistemas de Información y Tecnologia) 007_Servicios tecnológicos</v>
      </c>
      <c r="Z147" s="149" t="str">
        <f t="shared" si="11"/>
        <v>O23011745992024020711007</v>
      </c>
      <c r="AA147" s="149" t="str">
        <f>IFERROR(VLOOKUP(Y147,TD!$K$46:$L$64,2,0)," ")</f>
        <v>PM/0131/0111/45990070207</v>
      </c>
      <c r="AB147" s="148" t="s">
        <v>131</v>
      </c>
      <c r="AC147" s="178" t="s">
        <v>206</v>
      </c>
    </row>
    <row r="148" spans="2:29" s="28" customFormat="1" ht="42.75">
      <c r="B148" s="196">
        <v>20241352</v>
      </c>
      <c r="C148" s="142" t="s">
        <v>209</v>
      </c>
      <c r="D148" s="143" t="s">
        <v>163</v>
      </c>
      <c r="E148" s="144" t="s">
        <v>364</v>
      </c>
      <c r="F148" s="143" t="s">
        <v>916</v>
      </c>
      <c r="G148" s="143" t="s">
        <v>155</v>
      </c>
      <c r="H148" s="145">
        <v>46171619</v>
      </c>
      <c r="I148" s="146">
        <v>10</v>
      </c>
      <c r="J148" s="146">
        <v>7</v>
      </c>
      <c r="K148" s="147">
        <v>0</v>
      </c>
      <c r="L148" s="148">
        <v>42000000</v>
      </c>
      <c r="M148" s="143" t="s">
        <v>173</v>
      </c>
      <c r="N148" s="148" t="s">
        <v>101</v>
      </c>
      <c r="O148" s="144" t="s">
        <v>215</v>
      </c>
      <c r="P148" s="149" t="str">
        <f>IFERROR(VLOOKUP(C148,TD!$B$32:$F$36,2,0)," ")</f>
        <v>O230117</v>
      </c>
      <c r="Q148" s="149" t="str">
        <f>IFERROR(VLOOKUP(C148,TD!$B$32:$F$36,3,0)," ")</f>
        <v>4599</v>
      </c>
      <c r="R148" s="149">
        <f>IFERROR(VLOOKUP(C148,TD!$B$32:$F$36,4,0)," ")</f>
        <v>20240207</v>
      </c>
      <c r="S148" s="144" t="s">
        <v>180</v>
      </c>
      <c r="T148" s="149" t="str">
        <f>IFERROR(VLOOKUP(S148,TD!$J$33:$K$43,2,0)," ")</f>
        <v>Infraestructura Tecnológica   (Sistemas de Información y Tecnologia)</v>
      </c>
      <c r="U148" s="150" t="str">
        <f t="shared" si="8"/>
        <v>11-Infraestructura Tecnológica   (Sistemas de Información y Tecnologia)</v>
      </c>
      <c r="V148" s="144" t="s">
        <v>240</v>
      </c>
      <c r="W148" s="149" t="str">
        <f>IFERROR(VLOOKUP(V148,TD!$N$33:$O$45,2,0)," ")</f>
        <v>Servicios tecnológicos</v>
      </c>
      <c r="X148" s="150" t="str">
        <f t="shared" si="9"/>
        <v>007_Servicios tecnológicos</v>
      </c>
      <c r="Y148" s="150" t="str">
        <f t="shared" si="10"/>
        <v>11-Infraestructura Tecnológica   (Sistemas de Información y Tecnologia) 007_Servicios tecnológicos</v>
      </c>
      <c r="Z148" s="149" t="str">
        <f t="shared" si="11"/>
        <v>O23011745992024020711007</v>
      </c>
      <c r="AA148" s="149" t="str">
        <f>IFERROR(VLOOKUP(Y148,TD!$K$46:$L$64,2,0)," ")</f>
        <v>PM/0131/0111/45990070207</v>
      </c>
      <c r="AB148" s="148" t="s">
        <v>126</v>
      </c>
      <c r="AC148" s="178" t="s">
        <v>205</v>
      </c>
    </row>
    <row r="149" spans="2:29" s="28" customFormat="1" ht="71.25">
      <c r="B149" s="196">
        <v>20241353</v>
      </c>
      <c r="C149" s="142" t="s">
        <v>209</v>
      </c>
      <c r="D149" s="143" t="s">
        <v>163</v>
      </c>
      <c r="E149" s="144" t="s">
        <v>364</v>
      </c>
      <c r="F149" s="143" t="s">
        <v>917</v>
      </c>
      <c r="G149" s="143" t="s">
        <v>155</v>
      </c>
      <c r="H149" s="145">
        <v>46171619</v>
      </c>
      <c r="I149" s="146">
        <v>10</v>
      </c>
      <c r="J149" s="146">
        <v>2</v>
      </c>
      <c r="K149" s="147">
        <v>0</v>
      </c>
      <c r="L149" s="148">
        <v>45047000</v>
      </c>
      <c r="M149" s="143" t="s">
        <v>173</v>
      </c>
      <c r="N149" s="148" t="s">
        <v>124</v>
      </c>
      <c r="O149" s="144" t="s">
        <v>216</v>
      </c>
      <c r="P149" s="149" t="str">
        <f>IFERROR(VLOOKUP(C149,TD!$B$32:$F$36,2,0)," ")</f>
        <v>O230117</v>
      </c>
      <c r="Q149" s="149" t="str">
        <f>IFERROR(VLOOKUP(C149,TD!$B$32:$F$36,3,0)," ")</f>
        <v>4599</v>
      </c>
      <c r="R149" s="149">
        <f>IFERROR(VLOOKUP(C149,TD!$B$32:$F$36,4,0)," ")</f>
        <v>20240207</v>
      </c>
      <c r="S149" s="144" t="s">
        <v>180</v>
      </c>
      <c r="T149" s="149" t="str">
        <f>IFERROR(VLOOKUP(S149,TD!$J$33:$K$43,2,0)," ")</f>
        <v>Infraestructura Tecnológica   (Sistemas de Información y Tecnologia)</v>
      </c>
      <c r="U149" s="150" t="str">
        <f t="shared" si="8"/>
        <v>11-Infraestructura Tecnológica   (Sistemas de Información y Tecnologia)</v>
      </c>
      <c r="V149" s="144" t="s">
        <v>240</v>
      </c>
      <c r="W149" s="149" t="str">
        <f>IFERROR(VLOOKUP(V149,TD!$N$33:$O$45,2,0)," ")</f>
        <v>Servicios tecnológicos</v>
      </c>
      <c r="X149" s="150" t="str">
        <f t="shared" si="9"/>
        <v>007_Servicios tecnológicos</v>
      </c>
      <c r="Y149" s="150" t="str">
        <f t="shared" si="10"/>
        <v>11-Infraestructura Tecnológica   (Sistemas de Información y Tecnologia) 007_Servicios tecnológicos</v>
      </c>
      <c r="Z149" s="149" t="str">
        <f t="shared" si="11"/>
        <v>O23011745992024020711007</v>
      </c>
      <c r="AA149" s="149" t="str">
        <f>IFERROR(VLOOKUP(Y149,TD!$K$46:$L$64,2,0)," ")</f>
        <v>PM/0131/0111/45990070207</v>
      </c>
      <c r="AB149" s="148" t="s">
        <v>126</v>
      </c>
      <c r="AC149" s="178" t="s">
        <v>205</v>
      </c>
    </row>
    <row r="150" spans="2:29" s="28" customFormat="1" ht="42.75">
      <c r="B150" s="196">
        <v>20241354</v>
      </c>
      <c r="C150" s="142" t="s">
        <v>209</v>
      </c>
      <c r="D150" s="143" t="s">
        <v>163</v>
      </c>
      <c r="E150" s="144" t="s">
        <v>364</v>
      </c>
      <c r="F150" s="143" t="s">
        <v>918</v>
      </c>
      <c r="G150" s="143" t="s">
        <v>155</v>
      </c>
      <c r="H150" s="145">
        <v>46171619</v>
      </c>
      <c r="I150" s="146">
        <v>10</v>
      </c>
      <c r="J150" s="146">
        <v>2</v>
      </c>
      <c r="K150" s="147">
        <v>0</v>
      </c>
      <c r="L150" s="148">
        <v>40413000</v>
      </c>
      <c r="M150" s="143" t="s">
        <v>173</v>
      </c>
      <c r="N150" s="148" t="s">
        <v>124</v>
      </c>
      <c r="O150" s="144" t="s">
        <v>216</v>
      </c>
      <c r="P150" s="149" t="str">
        <f>IFERROR(VLOOKUP(C150,TD!$B$32:$F$36,2,0)," ")</f>
        <v>O230117</v>
      </c>
      <c r="Q150" s="149" t="str">
        <f>IFERROR(VLOOKUP(C150,TD!$B$32:$F$36,3,0)," ")</f>
        <v>4599</v>
      </c>
      <c r="R150" s="149">
        <f>IFERROR(VLOOKUP(C150,TD!$B$32:$F$36,4,0)," ")</f>
        <v>20240207</v>
      </c>
      <c r="S150" s="144" t="s">
        <v>180</v>
      </c>
      <c r="T150" s="149" t="str">
        <f>IFERROR(VLOOKUP(S150,TD!$J$33:$K$43,2,0)," ")</f>
        <v>Infraestructura Tecnológica   (Sistemas de Información y Tecnologia)</v>
      </c>
      <c r="U150" s="150" t="str">
        <f t="shared" si="8"/>
        <v>11-Infraestructura Tecnológica   (Sistemas de Información y Tecnologia)</v>
      </c>
      <c r="V150" s="144" t="s">
        <v>240</v>
      </c>
      <c r="W150" s="149" t="str">
        <f>IFERROR(VLOOKUP(V150,TD!$N$33:$O$45,2,0)," ")</f>
        <v>Servicios tecnológicos</v>
      </c>
      <c r="X150" s="150" t="str">
        <f t="shared" si="9"/>
        <v>007_Servicios tecnológicos</v>
      </c>
      <c r="Y150" s="150" t="str">
        <f t="shared" si="10"/>
        <v>11-Infraestructura Tecnológica   (Sistemas de Información y Tecnologia) 007_Servicios tecnológicos</v>
      </c>
      <c r="Z150" s="149" t="str">
        <f t="shared" si="11"/>
        <v>O23011745992024020711007</v>
      </c>
      <c r="AA150" s="149" t="str">
        <f>IFERROR(VLOOKUP(Y150,TD!$K$46:$L$64,2,0)," ")</f>
        <v>PM/0131/0111/45990070207</v>
      </c>
      <c r="AB150" s="148" t="s">
        <v>126</v>
      </c>
      <c r="AC150" s="178" t="s">
        <v>205</v>
      </c>
    </row>
    <row r="151" spans="2:29" s="28" customFormat="1" ht="57">
      <c r="B151" s="196">
        <v>20241355</v>
      </c>
      <c r="C151" s="142" t="s">
        <v>209</v>
      </c>
      <c r="D151" s="143" t="s">
        <v>163</v>
      </c>
      <c r="E151" s="144" t="s">
        <v>364</v>
      </c>
      <c r="F151" s="143" t="s">
        <v>919</v>
      </c>
      <c r="G151" s="143" t="s">
        <v>155</v>
      </c>
      <c r="H151" s="145">
        <v>46171619</v>
      </c>
      <c r="I151" s="146">
        <v>10</v>
      </c>
      <c r="J151" s="146">
        <v>2</v>
      </c>
      <c r="K151" s="147">
        <v>0</v>
      </c>
      <c r="L151" s="148">
        <v>35376000</v>
      </c>
      <c r="M151" s="143" t="s">
        <v>173</v>
      </c>
      <c r="N151" s="148" t="s">
        <v>124</v>
      </c>
      <c r="O151" s="144" t="s">
        <v>216</v>
      </c>
      <c r="P151" s="149" t="str">
        <f>IFERROR(VLOOKUP(C151,TD!$B$32:$F$36,2,0)," ")</f>
        <v>O230117</v>
      </c>
      <c r="Q151" s="149" t="str">
        <f>IFERROR(VLOOKUP(C151,TD!$B$32:$F$36,3,0)," ")</f>
        <v>4599</v>
      </c>
      <c r="R151" s="149">
        <f>IFERROR(VLOOKUP(C151,TD!$B$32:$F$36,4,0)," ")</f>
        <v>20240207</v>
      </c>
      <c r="S151" s="144" t="s">
        <v>180</v>
      </c>
      <c r="T151" s="149" t="str">
        <f>IFERROR(VLOOKUP(S151,TD!$J$33:$K$43,2,0)," ")</f>
        <v>Infraestructura Tecnológica   (Sistemas de Información y Tecnologia)</v>
      </c>
      <c r="U151" s="150" t="str">
        <f t="shared" si="8"/>
        <v>11-Infraestructura Tecnológica   (Sistemas de Información y Tecnologia)</v>
      </c>
      <c r="V151" s="144" t="s">
        <v>240</v>
      </c>
      <c r="W151" s="149" t="str">
        <f>IFERROR(VLOOKUP(V151,TD!$N$33:$O$45,2,0)," ")</f>
        <v>Servicios tecnológicos</v>
      </c>
      <c r="X151" s="150" t="str">
        <f t="shared" si="9"/>
        <v>007_Servicios tecnológicos</v>
      </c>
      <c r="Y151" s="150" t="str">
        <f t="shared" si="10"/>
        <v>11-Infraestructura Tecnológica   (Sistemas de Información y Tecnologia) 007_Servicios tecnológicos</v>
      </c>
      <c r="Z151" s="149" t="str">
        <f t="shared" si="11"/>
        <v>O23011745992024020711007</v>
      </c>
      <c r="AA151" s="149" t="str">
        <f>IFERROR(VLOOKUP(Y151,TD!$K$46:$L$64,2,0)," ")</f>
        <v>PM/0131/0111/45990070207</v>
      </c>
      <c r="AB151" s="148" t="s">
        <v>126</v>
      </c>
      <c r="AC151" s="178" t="s">
        <v>205</v>
      </c>
    </row>
    <row r="152" spans="2:29" s="28" customFormat="1" ht="42.75">
      <c r="B152" s="196">
        <v>20241356</v>
      </c>
      <c r="C152" s="142" t="s">
        <v>209</v>
      </c>
      <c r="D152" s="143" t="s">
        <v>163</v>
      </c>
      <c r="E152" s="144" t="s">
        <v>364</v>
      </c>
      <c r="F152" s="143" t="s">
        <v>920</v>
      </c>
      <c r="G152" s="143" t="s">
        <v>155</v>
      </c>
      <c r="H152" s="145" t="s">
        <v>924</v>
      </c>
      <c r="I152" s="146">
        <v>10</v>
      </c>
      <c r="J152" s="146">
        <v>2</v>
      </c>
      <c r="K152" s="147">
        <v>0</v>
      </c>
      <c r="L152" s="148">
        <v>1219316067</v>
      </c>
      <c r="M152" s="143" t="s">
        <v>173</v>
      </c>
      <c r="N152" s="148" t="s">
        <v>124</v>
      </c>
      <c r="O152" s="144" t="s">
        <v>216</v>
      </c>
      <c r="P152" s="149" t="str">
        <f>IFERROR(VLOOKUP(C152,TD!$B$32:$F$36,2,0)," ")</f>
        <v>O230117</v>
      </c>
      <c r="Q152" s="149" t="str">
        <f>IFERROR(VLOOKUP(C152,TD!$B$32:$F$36,3,0)," ")</f>
        <v>4599</v>
      </c>
      <c r="R152" s="149">
        <f>IFERROR(VLOOKUP(C152,TD!$B$32:$F$36,4,0)," ")</f>
        <v>20240207</v>
      </c>
      <c r="S152" s="144" t="s">
        <v>180</v>
      </c>
      <c r="T152" s="149" t="str">
        <f>IFERROR(VLOOKUP(S152,TD!$J$33:$K$43,2,0)," ")</f>
        <v>Infraestructura Tecnológica   (Sistemas de Información y Tecnologia)</v>
      </c>
      <c r="U152" s="150" t="str">
        <f t="shared" si="8"/>
        <v>11-Infraestructura Tecnológica   (Sistemas de Información y Tecnologia)</v>
      </c>
      <c r="V152" s="144" t="s">
        <v>240</v>
      </c>
      <c r="W152" s="149" t="str">
        <f>IFERROR(VLOOKUP(V152,TD!$N$33:$O$45,2,0)," ")</f>
        <v>Servicios tecnológicos</v>
      </c>
      <c r="X152" s="150" t="str">
        <f t="shared" si="9"/>
        <v>007_Servicios tecnológicos</v>
      </c>
      <c r="Y152" s="150" t="str">
        <f t="shared" si="10"/>
        <v>11-Infraestructura Tecnológica   (Sistemas de Información y Tecnologia) 007_Servicios tecnológicos</v>
      </c>
      <c r="Z152" s="149" t="str">
        <f t="shared" si="11"/>
        <v>O23011745992024020711007</v>
      </c>
      <c r="AA152" s="149" t="str">
        <f>IFERROR(VLOOKUP(Y152,TD!$K$46:$L$64,2,0)," ")</f>
        <v>PM/0131/0111/45990070207</v>
      </c>
      <c r="AB152" s="148" t="s">
        <v>126</v>
      </c>
      <c r="AC152" s="178" t="s">
        <v>205</v>
      </c>
    </row>
    <row r="153" spans="2:29" s="28" customFormat="1" ht="57">
      <c r="B153" s="196">
        <v>20241357</v>
      </c>
      <c r="C153" s="142" t="s">
        <v>209</v>
      </c>
      <c r="D153" s="143" t="s">
        <v>163</v>
      </c>
      <c r="E153" s="144" t="s">
        <v>364</v>
      </c>
      <c r="F153" s="143" t="s">
        <v>921</v>
      </c>
      <c r="G153" s="143" t="s">
        <v>157</v>
      </c>
      <c r="H153" s="145">
        <v>80111600</v>
      </c>
      <c r="I153" s="146">
        <v>11</v>
      </c>
      <c r="J153" s="146">
        <v>3</v>
      </c>
      <c r="K153" s="147">
        <v>0</v>
      </c>
      <c r="L153" s="148">
        <v>11100000</v>
      </c>
      <c r="M153" s="143" t="s">
        <v>173</v>
      </c>
      <c r="N153" s="148" t="s">
        <v>114</v>
      </c>
      <c r="O153" s="144" t="s">
        <v>215</v>
      </c>
      <c r="P153" s="149" t="str">
        <f>IFERROR(VLOOKUP(C153,TD!$B$32:$F$36,2,0)," ")</f>
        <v>O230117</v>
      </c>
      <c r="Q153" s="149" t="str">
        <f>IFERROR(VLOOKUP(C153,TD!$B$32:$F$36,3,0)," ")</f>
        <v>4599</v>
      </c>
      <c r="R153" s="149">
        <f>IFERROR(VLOOKUP(C153,TD!$B$32:$F$36,4,0)," ")</f>
        <v>20240207</v>
      </c>
      <c r="S153" s="144" t="s">
        <v>180</v>
      </c>
      <c r="T153" s="149" t="str">
        <f>IFERROR(VLOOKUP(S153,TD!$J$33:$K$43,2,0)," ")</f>
        <v>Infraestructura Tecnológica   (Sistemas de Información y Tecnologia)</v>
      </c>
      <c r="U153" s="150" t="str">
        <f t="shared" si="8"/>
        <v>11-Infraestructura Tecnológica   (Sistemas de Información y Tecnologia)</v>
      </c>
      <c r="V153" s="144" t="s">
        <v>240</v>
      </c>
      <c r="W153" s="149" t="str">
        <f>IFERROR(VLOOKUP(V153,TD!$N$33:$O$45,2,0)," ")</f>
        <v>Servicios tecnológicos</v>
      </c>
      <c r="X153" s="150" t="str">
        <f t="shared" si="9"/>
        <v>007_Servicios tecnológicos</v>
      </c>
      <c r="Y153" s="150" t="str">
        <f t="shared" si="10"/>
        <v>11-Infraestructura Tecnológica   (Sistemas de Información y Tecnologia) 007_Servicios tecnológicos</v>
      </c>
      <c r="Z153" s="149" t="str">
        <f t="shared" si="11"/>
        <v>O23011745992024020711007</v>
      </c>
      <c r="AA153" s="149" t="str">
        <f>IFERROR(VLOOKUP(Y153,TD!$K$46:$L$64,2,0)," ")</f>
        <v>PM/0131/0111/45990070207</v>
      </c>
      <c r="AB153" s="148" t="s">
        <v>139</v>
      </c>
      <c r="AC153" s="178" t="s">
        <v>205</v>
      </c>
    </row>
    <row r="154" spans="2:29" s="28" customFormat="1" ht="57">
      <c r="B154" s="196">
        <v>20241358</v>
      </c>
      <c r="C154" s="142" t="s">
        <v>209</v>
      </c>
      <c r="D154" s="143" t="s">
        <v>163</v>
      </c>
      <c r="E154" s="144" t="s">
        <v>364</v>
      </c>
      <c r="F154" s="143" t="s">
        <v>922</v>
      </c>
      <c r="G154" s="143" t="s">
        <v>156</v>
      </c>
      <c r="H154" s="145">
        <v>80111600</v>
      </c>
      <c r="I154" s="146">
        <v>11</v>
      </c>
      <c r="J154" s="146">
        <v>3</v>
      </c>
      <c r="K154" s="147">
        <v>0</v>
      </c>
      <c r="L154" s="148">
        <v>21000000</v>
      </c>
      <c r="M154" s="143" t="s">
        <v>173</v>
      </c>
      <c r="N154" s="148" t="s">
        <v>114</v>
      </c>
      <c r="O154" s="144" t="s">
        <v>215</v>
      </c>
      <c r="P154" s="149" t="str">
        <f>IFERROR(VLOOKUP(C154,TD!$B$32:$F$36,2,0)," ")</f>
        <v>O230117</v>
      </c>
      <c r="Q154" s="149" t="str">
        <f>IFERROR(VLOOKUP(C154,TD!$B$32:$F$36,3,0)," ")</f>
        <v>4599</v>
      </c>
      <c r="R154" s="149">
        <f>IFERROR(VLOOKUP(C154,TD!$B$32:$F$36,4,0)," ")</f>
        <v>20240207</v>
      </c>
      <c r="S154" s="144" t="s">
        <v>180</v>
      </c>
      <c r="T154" s="149" t="str">
        <f>IFERROR(VLOOKUP(S154,TD!$J$33:$K$43,2,0)," ")</f>
        <v>Infraestructura Tecnológica   (Sistemas de Información y Tecnologia)</v>
      </c>
      <c r="U154" s="150" t="str">
        <f t="shared" si="8"/>
        <v>11-Infraestructura Tecnológica   (Sistemas de Información y Tecnologia)</v>
      </c>
      <c r="V154" s="144" t="s">
        <v>240</v>
      </c>
      <c r="W154" s="149" t="str">
        <f>IFERROR(VLOOKUP(V154,TD!$N$33:$O$45,2,0)," ")</f>
        <v>Servicios tecnológicos</v>
      </c>
      <c r="X154" s="150" t="str">
        <f t="shared" si="9"/>
        <v>007_Servicios tecnológicos</v>
      </c>
      <c r="Y154" s="150" t="str">
        <f t="shared" si="10"/>
        <v>11-Infraestructura Tecnológica   (Sistemas de Información y Tecnologia) 007_Servicios tecnológicos</v>
      </c>
      <c r="Z154" s="149" t="str">
        <f t="shared" si="11"/>
        <v>O23011745992024020711007</v>
      </c>
      <c r="AA154" s="149" t="str">
        <f>IFERROR(VLOOKUP(Y154,TD!$K$46:$L$64,2,0)," ")</f>
        <v>PM/0131/0111/45990070207</v>
      </c>
      <c r="AB154" s="148" t="s">
        <v>139</v>
      </c>
      <c r="AC154" s="178" t="s">
        <v>205</v>
      </c>
    </row>
    <row r="155" spans="2:29" s="28" customFormat="1" ht="57">
      <c r="B155" s="196">
        <v>20241359</v>
      </c>
      <c r="C155" s="142" t="s">
        <v>209</v>
      </c>
      <c r="D155" s="143" t="s">
        <v>163</v>
      </c>
      <c r="E155" s="144" t="s">
        <v>364</v>
      </c>
      <c r="F155" s="143" t="s">
        <v>923</v>
      </c>
      <c r="G155" s="143" t="s">
        <v>156</v>
      </c>
      <c r="H155" s="145">
        <v>80111600</v>
      </c>
      <c r="I155" s="146">
        <v>11</v>
      </c>
      <c r="J155" s="146">
        <v>3</v>
      </c>
      <c r="K155" s="147">
        <v>0</v>
      </c>
      <c r="L155" s="148">
        <v>21000000</v>
      </c>
      <c r="M155" s="143" t="s">
        <v>173</v>
      </c>
      <c r="N155" s="148" t="s">
        <v>114</v>
      </c>
      <c r="O155" s="144" t="s">
        <v>215</v>
      </c>
      <c r="P155" s="149" t="str">
        <f>IFERROR(VLOOKUP(C155,TD!$B$32:$F$36,2,0)," ")</f>
        <v>O230117</v>
      </c>
      <c r="Q155" s="149" t="str">
        <f>IFERROR(VLOOKUP(C155,TD!$B$32:$F$36,3,0)," ")</f>
        <v>4599</v>
      </c>
      <c r="R155" s="149">
        <f>IFERROR(VLOOKUP(C155,TD!$B$32:$F$36,4,0)," ")</f>
        <v>20240207</v>
      </c>
      <c r="S155" s="144" t="s">
        <v>180</v>
      </c>
      <c r="T155" s="149" t="str">
        <f>IFERROR(VLOOKUP(S155,TD!$J$33:$K$43,2,0)," ")</f>
        <v>Infraestructura Tecnológica   (Sistemas de Información y Tecnologia)</v>
      </c>
      <c r="U155" s="150" t="str">
        <f t="shared" si="8"/>
        <v>11-Infraestructura Tecnológica   (Sistemas de Información y Tecnologia)</v>
      </c>
      <c r="V155" s="144" t="s">
        <v>240</v>
      </c>
      <c r="W155" s="149" t="str">
        <f>IFERROR(VLOOKUP(V155,TD!$N$33:$O$45,2,0)," ")</f>
        <v>Servicios tecnológicos</v>
      </c>
      <c r="X155" s="150" t="str">
        <f t="shared" si="9"/>
        <v>007_Servicios tecnológicos</v>
      </c>
      <c r="Y155" s="150" t="str">
        <f t="shared" si="10"/>
        <v>11-Infraestructura Tecnológica   (Sistemas de Información y Tecnologia) 007_Servicios tecnológicos</v>
      </c>
      <c r="Z155" s="149" t="str">
        <f t="shared" si="11"/>
        <v>O23011745992024020711007</v>
      </c>
      <c r="AA155" s="149" t="str">
        <f>IFERROR(VLOOKUP(Y155,TD!$K$46:$L$64,2,0)," ")</f>
        <v>PM/0131/0111/45990070207</v>
      </c>
      <c r="AB155" s="148" t="s">
        <v>139</v>
      </c>
      <c r="AC155" s="178" t="s">
        <v>205</v>
      </c>
    </row>
    <row r="156" spans="2:29" s="28" customFormat="1" ht="57">
      <c r="B156" s="195">
        <v>20241360</v>
      </c>
      <c r="C156" s="142" t="s">
        <v>209</v>
      </c>
      <c r="D156" s="143" t="s">
        <v>46</v>
      </c>
      <c r="E156" s="144" t="s">
        <v>364</v>
      </c>
      <c r="F156" s="143" t="s">
        <v>926</v>
      </c>
      <c r="G156" s="143" t="s">
        <v>156</v>
      </c>
      <c r="H156" s="145">
        <v>80111600</v>
      </c>
      <c r="I156" s="146">
        <v>12</v>
      </c>
      <c r="J156" s="146">
        <v>0</v>
      </c>
      <c r="K156" s="147">
        <v>24</v>
      </c>
      <c r="L156" s="148">
        <v>7440000</v>
      </c>
      <c r="M156" s="143" t="s">
        <v>173</v>
      </c>
      <c r="N156" s="148" t="s">
        <v>114</v>
      </c>
      <c r="O156" s="144" t="s">
        <v>220</v>
      </c>
      <c r="P156" s="149" t="str">
        <f>IFERROR(VLOOKUP(C156,TD!$B$32:$F$36,2,0)," ")</f>
        <v>O230117</v>
      </c>
      <c r="Q156" s="149" t="str">
        <f>IFERROR(VLOOKUP(C156,TD!$B$32:$F$36,3,0)," ")</f>
        <v>4599</v>
      </c>
      <c r="R156" s="149">
        <f>IFERROR(VLOOKUP(C156,TD!$B$32:$F$36,4,0)," ")</f>
        <v>20240207</v>
      </c>
      <c r="S156" s="144" t="s">
        <v>186</v>
      </c>
      <c r="T156" s="149" t="str">
        <f>IFERROR(VLOOKUP(S156,TD!$J$33:$K$43,2,0)," ")</f>
        <v>Infraestructura física, mantenimiento y dotación (Sedes construidas, mantenidas reforzadas)</v>
      </c>
      <c r="U156" s="181" t="str">
        <f t="shared" si="8"/>
        <v>08-Infraestructura física, mantenimiento y dotación (Sedes construidas, mantenidas reforzadas)</v>
      </c>
      <c r="V156" s="144" t="s">
        <v>239</v>
      </c>
      <c r="W156" s="149" t="str">
        <f>IFERROR(VLOOKUP(V156,TD!$N$33:$O$45,2,0)," ")</f>
        <v>Sedes mantenidas</v>
      </c>
      <c r="X156" s="181" t="str">
        <f t="shared" si="9"/>
        <v>016_Sedes mantenidas</v>
      </c>
      <c r="Y156" s="181" t="str">
        <f t="shared" si="10"/>
        <v>08-Infraestructura física, mantenimiento y dotación (Sedes construidas, mantenidas reforzadas) 016_Sedes mantenidas</v>
      </c>
      <c r="Z156" s="149" t="str">
        <f t="shared" si="11"/>
        <v>O23011745992024020708016</v>
      </c>
      <c r="AA156" s="149" t="str">
        <f>IFERROR(VLOOKUP(Y156,TD!$K$46:$L$64,2,0)," ")</f>
        <v>PM/0131/0108/45990160207</v>
      </c>
      <c r="AB156" s="148" t="s">
        <v>139</v>
      </c>
      <c r="AC156" s="178" t="s">
        <v>206</v>
      </c>
    </row>
    <row r="157" spans="2:29" s="28" customFormat="1" ht="57">
      <c r="B157" s="195">
        <v>20241361</v>
      </c>
      <c r="C157" s="142" t="s">
        <v>209</v>
      </c>
      <c r="D157" s="143" t="s">
        <v>46</v>
      </c>
      <c r="E157" s="144" t="s">
        <v>364</v>
      </c>
      <c r="F157" s="143" t="s">
        <v>927</v>
      </c>
      <c r="G157" s="143" t="s">
        <v>156</v>
      </c>
      <c r="H157" s="145">
        <v>80111600</v>
      </c>
      <c r="I157" s="146">
        <v>11</v>
      </c>
      <c r="J157" s="146">
        <v>2</v>
      </c>
      <c r="K157" s="147">
        <v>0</v>
      </c>
      <c r="L157" s="148">
        <v>16000000</v>
      </c>
      <c r="M157" s="143" t="s">
        <v>173</v>
      </c>
      <c r="N157" s="148" t="s">
        <v>114</v>
      </c>
      <c r="O157" s="144" t="s">
        <v>220</v>
      </c>
      <c r="P157" s="149" t="str">
        <f>IFERROR(VLOOKUP(C157,TD!$B$32:$F$36,2,0)," ")</f>
        <v>O230117</v>
      </c>
      <c r="Q157" s="149" t="str">
        <f>IFERROR(VLOOKUP(C157,TD!$B$32:$F$36,3,0)," ")</f>
        <v>4599</v>
      </c>
      <c r="R157" s="149">
        <f>IFERROR(VLOOKUP(C157,TD!$B$32:$F$36,4,0)," ")</f>
        <v>20240207</v>
      </c>
      <c r="S157" s="144" t="s">
        <v>186</v>
      </c>
      <c r="T157" s="149" t="str">
        <f>IFERROR(VLOOKUP(S157,TD!$J$33:$K$43,2,0)," ")</f>
        <v>Infraestructura física, mantenimiento y dotación (Sedes construidas, mantenidas reforzadas)</v>
      </c>
      <c r="U157" s="181" t="str">
        <f t="shared" si="8"/>
        <v>08-Infraestructura física, mantenimiento y dotación (Sedes construidas, mantenidas reforzadas)</v>
      </c>
      <c r="V157" s="144" t="s">
        <v>239</v>
      </c>
      <c r="W157" s="149" t="str">
        <f>IFERROR(VLOOKUP(V157,TD!$N$33:$O$45,2,0)," ")</f>
        <v>Sedes mantenidas</v>
      </c>
      <c r="X157" s="181" t="str">
        <f t="shared" si="9"/>
        <v>016_Sedes mantenidas</v>
      </c>
      <c r="Y157" s="181" t="str">
        <f t="shared" si="10"/>
        <v>08-Infraestructura física, mantenimiento y dotación (Sedes construidas, mantenidas reforzadas) 016_Sedes mantenidas</v>
      </c>
      <c r="Z157" s="149" t="str">
        <f t="shared" si="11"/>
        <v>O23011745992024020708016</v>
      </c>
      <c r="AA157" s="149" t="str">
        <f>IFERROR(VLOOKUP(Y157,TD!$K$46:$L$64,2,0)," ")</f>
        <v>PM/0131/0108/45990160207</v>
      </c>
      <c r="AB157" s="148" t="s">
        <v>139</v>
      </c>
      <c r="AC157" s="178" t="s">
        <v>206</v>
      </c>
    </row>
    <row r="158" spans="2:29" s="28" customFormat="1" ht="57">
      <c r="B158" s="195">
        <v>20241362</v>
      </c>
      <c r="C158" s="142" t="s">
        <v>209</v>
      </c>
      <c r="D158" s="143" t="s">
        <v>46</v>
      </c>
      <c r="E158" s="144" t="s">
        <v>364</v>
      </c>
      <c r="F158" s="143" t="s">
        <v>928</v>
      </c>
      <c r="G158" s="143" t="s">
        <v>156</v>
      </c>
      <c r="H158" s="145">
        <v>80111600</v>
      </c>
      <c r="I158" s="146">
        <v>12</v>
      </c>
      <c r="J158" s="146">
        <v>0</v>
      </c>
      <c r="K158" s="147">
        <v>25</v>
      </c>
      <c r="L158" s="148">
        <v>5600000</v>
      </c>
      <c r="M158" s="143" t="s">
        <v>173</v>
      </c>
      <c r="N158" s="148" t="s">
        <v>114</v>
      </c>
      <c r="O158" s="144" t="s">
        <v>220</v>
      </c>
      <c r="P158" s="149" t="str">
        <f>IFERROR(VLOOKUP(C158,TD!$B$32:$F$36,2,0)," ")</f>
        <v>O230117</v>
      </c>
      <c r="Q158" s="149" t="str">
        <f>IFERROR(VLOOKUP(C158,TD!$B$32:$F$36,3,0)," ")</f>
        <v>4599</v>
      </c>
      <c r="R158" s="149">
        <f>IFERROR(VLOOKUP(C158,TD!$B$32:$F$36,4,0)," ")</f>
        <v>20240207</v>
      </c>
      <c r="S158" s="144" t="s">
        <v>186</v>
      </c>
      <c r="T158" s="149" t="str">
        <f>IFERROR(VLOOKUP(S158,TD!$J$33:$K$43,2,0)," ")</f>
        <v>Infraestructura física, mantenimiento y dotación (Sedes construidas, mantenidas reforzadas)</v>
      </c>
      <c r="U158" s="181" t="str">
        <f t="shared" si="8"/>
        <v>08-Infraestructura física, mantenimiento y dotación (Sedes construidas, mantenidas reforzadas)</v>
      </c>
      <c r="V158" s="144" t="s">
        <v>239</v>
      </c>
      <c r="W158" s="149" t="str">
        <f>IFERROR(VLOOKUP(V158,TD!$N$33:$O$45,2,0)," ")</f>
        <v>Sedes mantenidas</v>
      </c>
      <c r="X158" s="181" t="str">
        <f t="shared" si="9"/>
        <v>016_Sedes mantenidas</v>
      </c>
      <c r="Y158" s="181" t="str">
        <f t="shared" si="10"/>
        <v>08-Infraestructura física, mantenimiento y dotación (Sedes construidas, mantenidas reforzadas) 016_Sedes mantenidas</v>
      </c>
      <c r="Z158" s="149" t="str">
        <f t="shared" si="11"/>
        <v>O23011745992024020708016</v>
      </c>
      <c r="AA158" s="149" t="str">
        <f>IFERROR(VLOOKUP(Y158,TD!$K$46:$L$64,2,0)," ")</f>
        <v>PM/0131/0108/45990160207</v>
      </c>
      <c r="AB158" s="148" t="s">
        <v>139</v>
      </c>
      <c r="AC158" s="178" t="s">
        <v>206</v>
      </c>
    </row>
    <row r="159" spans="2:29" s="28" customFormat="1" ht="57">
      <c r="B159" s="195">
        <v>20241363</v>
      </c>
      <c r="C159" s="142" t="s">
        <v>209</v>
      </c>
      <c r="D159" s="143" t="s">
        <v>46</v>
      </c>
      <c r="E159" s="144" t="s">
        <v>364</v>
      </c>
      <c r="F159" s="143" t="s">
        <v>929</v>
      </c>
      <c r="G159" s="143" t="s">
        <v>156</v>
      </c>
      <c r="H159" s="145">
        <v>80111600</v>
      </c>
      <c r="I159" s="146">
        <v>12</v>
      </c>
      <c r="J159" s="146">
        <v>1</v>
      </c>
      <c r="K159" s="147">
        <v>9</v>
      </c>
      <c r="L159" s="148">
        <v>5460000</v>
      </c>
      <c r="M159" s="143" t="s">
        <v>173</v>
      </c>
      <c r="N159" s="148" t="s">
        <v>114</v>
      </c>
      <c r="O159" s="144" t="s">
        <v>220</v>
      </c>
      <c r="P159" s="149" t="str">
        <f>IFERROR(VLOOKUP(C159,TD!$B$32:$F$36,2,0)," ")</f>
        <v>O230117</v>
      </c>
      <c r="Q159" s="149" t="str">
        <f>IFERROR(VLOOKUP(C159,TD!$B$32:$F$36,3,0)," ")</f>
        <v>4599</v>
      </c>
      <c r="R159" s="149">
        <f>IFERROR(VLOOKUP(C159,TD!$B$32:$F$36,4,0)," ")</f>
        <v>20240207</v>
      </c>
      <c r="S159" s="144" t="s">
        <v>186</v>
      </c>
      <c r="T159" s="149" t="str">
        <f>IFERROR(VLOOKUP(S159,TD!$J$33:$K$43,2,0)," ")</f>
        <v>Infraestructura física, mantenimiento y dotación (Sedes construidas, mantenidas reforzadas)</v>
      </c>
      <c r="U159" s="181" t="str">
        <f t="shared" si="8"/>
        <v>08-Infraestructura física, mantenimiento y dotación (Sedes construidas, mantenidas reforzadas)</v>
      </c>
      <c r="V159" s="144" t="s">
        <v>239</v>
      </c>
      <c r="W159" s="149" t="str">
        <f>IFERROR(VLOOKUP(V159,TD!$N$33:$O$45,2,0)," ")</f>
        <v>Sedes mantenidas</v>
      </c>
      <c r="X159" s="181" t="str">
        <f t="shared" si="9"/>
        <v>016_Sedes mantenidas</v>
      </c>
      <c r="Y159" s="181" t="str">
        <f t="shared" si="10"/>
        <v>08-Infraestructura física, mantenimiento y dotación (Sedes construidas, mantenidas reforzadas) 016_Sedes mantenidas</v>
      </c>
      <c r="Z159" s="149" t="str">
        <f t="shared" si="11"/>
        <v>O23011745992024020708016</v>
      </c>
      <c r="AA159" s="149" t="str">
        <f>IFERROR(VLOOKUP(Y159,TD!$K$46:$L$64,2,0)," ")</f>
        <v>PM/0131/0108/45990160207</v>
      </c>
      <c r="AB159" s="148" t="s">
        <v>139</v>
      </c>
      <c r="AC159" s="178" t="s">
        <v>206</v>
      </c>
    </row>
    <row r="160" spans="2:29" s="28" customFormat="1" ht="85.5">
      <c r="B160" s="195">
        <v>20241364</v>
      </c>
      <c r="C160" s="142" t="s">
        <v>209</v>
      </c>
      <c r="D160" s="143" t="s">
        <v>46</v>
      </c>
      <c r="E160" s="144" t="s">
        <v>364</v>
      </c>
      <c r="F160" s="143" t="s">
        <v>930</v>
      </c>
      <c r="G160" s="143" t="s">
        <v>156</v>
      </c>
      <c r="H160" s="145">
        <v>80111600</v>
      </c>
      <c r="I160" s="146">
        <v>12</v>
      </c>
      <c r="J160" s="146">
        <v>1</v>
      </c>
      <c r="K160" s="147">
        <v>17</v>
      </c>
      <c r="L160" s="148">
        <v>6580000</v>
      </c>
      <c r="M160" s="143" t="s">
        <v>173</v>
      </c>
      <c r="N160" s="148" t="s">
        <v>114</v>
      </c>
      <c r="O160" s="144" t="s">
        <v>220</v>
      </c>
      <c r="P160" s="149" t="str">
        <f>IFERROR(VLOOKUP(C160,TD!$B$32:$F$36,2,0)," ")</f>
        <v>O230117</v>
      </c>
      <c r="Q160" s="149" t="str">
        <f>IFERROR(VLOOKUP(C160,TD!$B$32:$F$36,3,0)," ")</f>
        <v>4599</v>
      </c>
      <c r="R160" s="149">
        <f>IFERROR(VLOOKUP(C160,TD!$B$32:$F$36,4,0)," ")</f>
        <v>20240207</v>
      </c>
      <c r="S160" s="144" t="s">
        <v>186</v>
      </c>
      <c r="T160" s="149" t="str">
        <f>IFERROR(VLOOKUP(S160,TD!$J$33:$K$43,2,0)," ")</f>
        <v>Infraestructura física, mantenimiento y dotación (Sedes construidas, mantenidas reforzadas)</v>
      </c>
      <c r="U160" s="181" t="str">
        <f t="shared" si="8"/>
        <v>08-Infraestructura física, mantenimiento y dotación (Sedes construidas, mantenidas reforzadas)</v>
      </c>
      <c r="V160" s="144" t="s">
        <v>239</v>
      </c>
      <c r="W160" s="149" t="str">
        <f>IFERROR(VLOOKUP(V160,TD!$N$33:$O$45,2,0)," ")</f>
        <v>Sedes mantenidas</v>
      </c>
      <c r="X160" s="181" t="str">
        <f t="shared" si="9"/>
        <v>016_Sedes mantenidas</v>
      </c>
      <c r="Y160" s="181" t="str">
        <f t="shared" si="10"/>
        <v>08-Infraestructura física, mantenimiento y dotación (Sedes construidas, mantenidas reforzadas) 016_Sedes mantenidas</v>
      </c>
      <c r="Z160" s="149" t="str">
        <f t="shared" si="11"/>
        <v>O23011745992024020708016</v>
      </c>
      <c r="AA160" s="149" t="str">
        <f>IFERROR(VLOOKUP(Y160,TD!$K$46:$L$64,2,0)," ")</f>
        <v>PM/0131/0108/45990160207</v>
      </c>
      <c r="AB160" s="148" t="s">
        <v>139</v>
      </c>
      <c r="AC160" s="178" t="s">
        <v>206</v>
      </c>
    </row>
    <row r="161" spans="2:29" s="28" customFormat="1" ht="57">
      <c r="B161" s="195">
        <v>20241365</v>
      </c>
      <c r="C161" s="142" t="s">
        <v>209</v>
      </c>
      <c r="D161" s="143" t="s">
        <v>46</v>
      </c>
      <c r="E161" s="144" t="s">
        <v>364</v>
      </c>
      <c r="F161" s="143" t="s">
        <v>931</v>
      </c>
      <c r="G161" s="143" t="s">
        <v>157</v>
      </c>
      <c r="H161" s="145">
        <v>80111600</v>
      </c>
      <c r="I161" s="146">
        <v>12</v>
      </c>
      <c r="J161" s="146">
        <v>1</v>
      </c>
      <c r="K161" s="147">
        <v>16</v>
      </c>
      <c r="L161" s="148">
        <v>5596666</v>
      </c>
      <c r="M161" s="143" t="s">
        <v>173</v>
      </c>
      <c r="N161" s="148" t="s">
        <v>114</v>
      </c>
      <c r="O161" s="144" t="s">
        <v>220</v>
      </c>
      <c r="P161" s="149" t="str">
        <f>IFERROR(VLOOKUP(C161,TD!$B$32:$F$36,2,0)," ")</f>
        <v>O230117</v>
      </c>
      <c r="Q161" s="149" t="str">
        <f>IFERROR(VLOOKUP(C161,TD!$B$32:$F$36,3,0)," ")</f>
        <v>4599</v>
      </c>
      <c r="R161" s="149">
        <f>IFERROR(VLOOKUP(C161,TD!$B$32:$F$36,4,0)," ")</f>
        <v>20240207</v>
      </c>
      <c r="S161" s="144" t="s">
        <v>186</v>
      </c>
      <c r="T161" s="149" t="str">
        <f>IFERROR(VLOOKUP(S161,TD!$J$33:$K$43,2,0)," ")</f>
        <v>Infraestructura física, mantenimiento y dotación (Sedes construidas, mantenidas reforzadas)</v>
      </c>
      <c r="U161" s="181" t="str">
        <f t="shared" si="8"/>
        <v>08-Infraestructura física, mantenimiento y dotación (Sedes construidas, mantenidas reforzadas)</v>
      </c>
      <c r="V161" s="144" t="s">
        <v>239</v>
      </c>
      <c r="W161" s="149" t="str">
        <f>IFERROR(VLOOKUP(V161,TD!$N$33:$O$45,2,0)," ")</f>
        <v>Sedes mantenidas</v>
      </c>
      <c r="X161" s="181" t="str">
        <f t="shared" si="9"/>
        <v>016_Sedes mantenidas</v>
      </c>
      <c r="Y161" s="181" t="str">
        <f t="shared" si="10"/>
        <v>08-Infraestructura física, mantenimiento y dotación (Sedes construidas, mantenidas reforzadas) 016_Sedes mantenidas</v>
      </c>
      <c r="Z161" s="149" t="str">
        <f t="shared" si="11"/>
        <v>O23011745992024020708016</v>
      </c>
      <c r="AA161" s="149" t="str">
        <f>IFERROR(VLOOKUP(Y161,TD!$K$46:$L$64,2,0)," ")</f>
        <v>PM/0131/0108/45990160207</v>
      </c>
      <c r="AB161" s="148" t="s">
        <v>139</v>
      </c>
      <c r="AC161" s="178" t="s">
        <v>206</v>
      </c>
    </row>
    <row r="162" spans="2:29" s="28" customFormat="1" ht="57">
      <c r="B162" s="195">
        <v>20241366</v>
      </c>
      <c r="C162" s="142" t="s">
        <v>209</v>
      </c>
      <c r="D162" s="143" t="s">
        <v>162</v>
      </c>
      <c r="E162" s="144" t="s">
        <v>364</v>
      </c>
      <c r="F162" s="143" t="s">
        <v>932</v>
      </c>
      <c r="G162" s="143" t="s">
        <v>156</v>
      </c>
      <c r="H162" s="145">
        <v>80111600</v>
      </c>
      <c r="I162" s="146">
        <v>12</v>
      </c>
      <c r="J162" s="146">
        <v>1</v>
      </c>
      <c r="K162" s="147">
        <v>0</v>
      </c>
      <c r="L162" s="148">
        <v>9600000</v>
      </c>
      <c r="M162" s="143" t="s">
        <v>173</v>
      </c>
      <c r="N162" s="148" t="s">
        <v>114</v>
      </c>
      <c r="O162" s="144" t="s">
        <v>221</v>
      </c>
      <c r="P162" s="149" t="str">
        <f>IFERROR(VLOOKUP(C162,TD!$B$32:$F$36,2,0)," ")</f>
        <v>O230117</v>
      </c>
      <c r="Q162" s="149" t="str">
        <f>IFERROR(VLOOKUP(C162,TD!$B$32:$F$36,3,0)," ")</f>
        <v>4599</v>
      </c>
      <c r="R162" s="149">
        <f>IFERROR(VLOOKUP(C162,TD!$B$32:$F$36,4,0)," ")</f>
        <v>20240207</v>
      </c>
      <c r="S162" s="144" t="s">
        <v>194</v>
      </c>
      <c r="T162" s="149" t="str">
        <f>IFERROR(VLOOKUP(S162,TD!$J$33:$K$43,2,0)," ")</f>
        <v>Servicios para la planeación y sistemas de gestión y comunicación estratégica</v>
      </c>
      <c r="U162" s="181" t="str">
        <f t="shared" si="8"/>
        <v>13-Servicios para la planeación y sistemas de gestión y comunicación estratégica</v>
      </c>
      <c r="V162" s="144" t="s">
        <v>243</v>
      </c>
      <c r="W162" s="149" t="str">
        <f>IFERROR(VLOOKUP(V162,TD!$N$33:$O$45,2,0)," ")</f>
        <v>Documentos de planeación</v>
      </c>
      <c r="X162" s="181" t="str">
        <f t="shared" si="9"/>
        <v>019_Documentos de planeación</v>
      </c>
      <c r="Y162" s="181" t="str">
        <f t="shared" si="10"/>
        <v>13-Servicios para la planeación y sistemas de gestión y comunicación estratégica 019_Documentos de planeación</v>
      </c>
      <c r="Z162" s="149" t="str">
        <f t="shared" si="11"/>
        <v>O23011745992024020713019</v>
      </c>
      <c r="AA162" s="149" t="str">
        <f>IFERROR(VLOOKUP(Y162,TD!$K$46:$L$64,2,0)," ")</f>
        <v>PM/0131/0113/45990190207</v>
      </c>
      <c r="AB162" s="148" t="s">
        <v>139</v>
      </c>
      <c r="AC162" s="178" t="s">
        <v>206</v>
      </c>
    </row>
    <row r="163" spans="2:29" s="28" customFormat="1" ht="57">
      <c r="B163" s="195">
        <v>20241367</v>
      </c>
      <c r="C163" s="142" t="s">
        <v>209</v>
      </c>
      <c r="D163" s="143" t="s">
        <v>162</v>
      </c>
      <c r="E163" s="144" t="s">
        <v>364</v>
      </c>
      <c r="F163" s="143" t="s">
        <v>933</v>
      </c>
      <c r="G163" s="143" t="s">
        <v>156</v>
      </c>
      <c r="H163" s="145">
        <v>80111600</v>
      </c>
      <c r="I163" s="146">
        <v>12</v>
      </c>
      <c r="J163" s="146">
        <v>1</v>
      </c>
      <c r="K163" s="147">
        <v>4</v>
      </c>
      <c r="L163" s="148">
        <v>5666667</v>
      </c>
      <c r="M163" s="143" t="s">
        <v>173</v>
      </c>
      <c r="N163" s="148" t="s">
        <v>114</v>
      </c>
      <c r="O163" s="144" t="s">
        <v>221</v>
      </c>
      <c r="P163" s="149" t="str">
        <f>IFERROR(VLOOKUP(C163,TD!$B$32:$F$36,2,0)," ")</f>
        <v>O230117</v>
      </c>
      <c r="Q163" s="149" t="str">
        <f>IFERROR(VLOOKUP(C163,TD!$B$32:$F$36,3,0)," ")</f>
        <v>4599</v>
      </c>
      <c r="R163" s="149">
        <f>IFERROR(VLOOKUP(C163,TD!$B$32:$F$36,4,0)," ")</f>
        <v>20240207</v>
      </c>
      <c r="S163" s="144" t="s">
        <v>194</v>
      </c>
      <c r="T163" s="149" t="str">
        <f>IFERROR(VLOOKUP(S163,TD!$J$33:$K$43,2,0)," ")</f>
        <v>Servicios para la planeación y sistemas de gestión y comunicación estratégica</v>
      </c>
      <c r="U163" s="181" t="str">
        <f t="shared" si="8"/>
        <v>13-Servicios para la planeación y sistemas de gestión y comunicación estratégica</v>
      </c>
      <c r="V163" s="144" t="s">
        <v>243</v>
      </c>
      <c r="W163" s="149" t="str">
        <f>IFERROR(VLOOKUP(V163,TD!$N$33:$O$45,2,0)," ")</f>
        <v>Documentos de planeación</v>
      </c>
      <c r="X163" s="181" t="str">
        <f t="shared" si="9"/>
        <v>019_Documentos de planeación</v>
      </c>
      <c r="Y163" s="181" t="str">
        <f t="shared" si="10"/>
        <v>13-Servicios para la planeación y sistemas de gestión y comunicación estratégica 019_Documentos de planeación</v>
      </c>
      <c r="Z163" s="149" t="str">
        <f t="shared" si="11"/>
        <v>O23011745992024020713019</v>
      </c>
      <c r="AA163" s="149" t="str">
        <f>IFERROR(VLOOKUP(Y163,TD!$K$46:$L$64,2,0)," ")</f>
        <v>PM/0131/0113/45990190207</v>
      </c>
      <c r="AB163" s="148" t="s">
        <v>139</v>
      </c>
      <c r="AC163" s="178" t="s">
        <v>206</v>
      </c>
    </row>
    <row r="164" spans="2:29" s="28" customFormat="1" ht="71.25">
      <c r="B164" s="195">
        <v>20241368</v>
      </c>
      <c r="C164" s="142" t="s">
        <v>209</v>
      </c>
      <c r="D164" s="143" t="s">
        <v>162</v>
      </c>
      <c r="E164" s="144" t="s">
        <v>364</v>
      </c>
      <c r="F164" s="143" t="s">
        <v>934</v>
      </c>
      <c r="G164" s="143" t="s">
        <v>156</v>
      </c>
      <c r="H164" s="145">
        <v>80111600</v>
      </c>
      <c r="I164" s="146">
        <v>12</v>
      </c>
      <c r="J164" s="146">
        <v>0</v>
      </c>
      <c r="K164" s="147">
        <v>17.000001428571426</v>
      </c>
      <c r="L164" s="148">
        <v>3966667</v>
      </c>
      <c r="M164" s="143" t="s">
        <v>173</v>
      </c>
      <c r="N164" s="148" t="s">
        <v>114</v>
      </c>
      <c r="O164" s="144" t="s">
        <v>221</v>
      </c>
      <c r="P164" s="149" t="str">
        <f>IFERROR(VLOOKUP(C164,TD!$B$32:$F$36,2,0)," ")</f>
        <v>O230117</v>
      </c>
      <c r="Q164" s="149" t="str">
        <f>IFERROR(VLOOKUP(C164,TD!$B$32:$F$36,3,0)," ")</f>
        <v>4599</v>
      </c>
      <c r="R164" s="149">
        <f>IFERROR(VLOOKUP(C164,TD!$B$32:$F$36,4,0)," ")</f>
        <v>20240207</v>
      </c>
      <c r="S164" s="144" t="s">
        <v>194</v>
      </c>
      <c r="T164" s="149" t="str">
        <f>IFERROR(VLOOKUP(S164,TD!$J$33:$K$43,2,0)," ")</f>
        <v>Servicios para la planeación y sistemas de gestión y comunicación estratégica</v>
      </c>
      <c r="U164" s="181" t="str">
        <f t="shared" si="8"/>
        <v>13-Servicios para la planeación y sistemas de gestión y comunicación estratégica</v>
      </c>
      <c r="V164" s="144" t="s">
        <v>243</v>
      </c>
      <c r="W164" s="149" t="str">
        <f>IFERROR(VLOOKUP(V164,TD!$N$33:$O$45,2,0)," ")</f>
        <v>Documentos de planeación</v>
      </c>
      <c r="X164" s="181" t="str">
        <f t="shared" si="9"/>
        <v>019_Documentos de planeación</v>
      </c>
      <c r="Y164" s="181" t="str">
        <f t="shared" si="10"/>
        <v>13-Servicios para la planeación y sistemas de gestión y comunicación estratégica 019_Documentos de planeación</v>
      </c>
      <c r="Z164" s="149" t="str">
        <f t="shared" si="11"/>
        <v>O23011745992024020713019</v>
      </c>
      <c r="AA164" s="149" t="str">
        <f>IFERROR(VLOOKUP(Y164,TD!$K$46:$L$64,2,0)," ")</f>
        <v>PM/0131/0113/45990190207</v>
      </c>
      <c r="AB164" s="148" t="s">
        <v>139</v>
      </c>
      <c r="AC164" s="178" t="s">
        <v>206</v>
      </c>
    </row>
    <row r="165" spans="2:29" s="28" customFormat="1" ht="57">
      <c r="B165" s="195">
        <v>20241369</v>
      </c>
      <c r="C165" s="142" t="s">
        <v>209</v>
      </c>
      <c r="D165" s="143" t="s">
        <v>162</v>
      </c>
      <c r="E165" s="144" t="s">
        <v>364</v>
      </c>
      <c r="F165" s="143" t="s">
        <v>935</v>
      </c>
      <c r="G165" s="143" t="s">
        <v>156</v>
      </c>
      <c r="H165" s="145">
        <v>80111600</v>
      </c>
      <c r="I165" s="146">
        <v>12</v>
      </c>
      <c r="J165" s="146">
        <v>0</v>
      </c>
      <c r="K165" s="147">
        <v>25.000002000000002</v>
      </c>
      <c r="L165" s="148">
        <v>4166667</v>
      </c>
      <c r="M165" s="143" t="s">
        <v>173</v>
      </c>
      <c r="N165" s="148" t="s">
        <v>114</v>
      </c>
      <c r="O165" s="144" t="s">
        <v>221</v>
      </c>
      <c r="P165" s="149" t="str">
        <f>IFERROR(VLOOKUP(C165,TD!$B$32:$F$36,2,0)," ")</f>
        <v>O230117</v>
      </c>
      <c r="Q165" s="149" t="str">
        <f>IFERROR(VLOOKUP(C165,TD!$B$32:$F$36,3,0)," ")</f>
        <v>4599</v>
      </c>
      <c r="R165" s="149">
        <f>IFERROR(VLOOKUP(C165,TD!$B$32:$F$36,4,0)," ")</f>
        <v>20240207</v>
      </c>
      <c r="S165" s="144" t="s">
        <v>194</v>
      </c>
      <c r="T165" s="149" t="str">
        <f>IFERROR(VLOOKUP(S165,TD!$J$33:$K$43,2,0)," ")</f>
        <v>Servicios para la planeación y sistemas de gestión y comunicación estratégica</v>
      </c>
      <c r="U165" s="181" t="str">
        <f t="shared" si="8"/>
        <v>13-Servicios para la planeación y sistemas de gestión y comunicación estratégica</v>
      </c>
      <c r="V165" s="144" t="s">
        <v>243</v>
      </c>
      <c r="W165" s="149" t="str">
        <f>IFERROR(VLOOKUP(V165,TD!$N$33:$O$45,2,0)," ")</f>
        <v>Documentos de planeación</v>
      </c>
      <c r="X165" s="181" t="str">
        <f t="shared" si="9"/>
        <v>019_Documentos de planeación</v>
      </c>
      <c r="Y165" s="181" t="str">
        <f t="shared" si="10"/>
        <v>13-Servicios para la planeación y sistemas de gestión y comunicación estratégica 019_Documentos de planeación</v>
      </c>
      <c r="Z165" s="149" t="str">
        <f t="shared" si="11"/>
        <v>O23011745992024020713019</v>
      </c>
      <c r="AA165" s="149" t="str">
        <f>IFERROR(VLOOKUP(Y165,TD!$K$46:$L$64,2,0)," ")</f>
        <v>PM/0131/0113/45990190207</v>
      </c>
      <c r="AB165" s="148" t="s">
        <v>139</v>
      </c>
      <c r="AC165" s="178" t="s">
        <v>206</v>
      </c>
    </row>
    <row r="166" spans="2:29" s="28" customFormat="1" ht="57">
      <c r="B166" s="195">
        <v>20241370</v>
      </c>
      <c r="C166" s="142" t="s">
        <v>209</v>
      </c>
      <c r="D166" s="143" t="s">
        <v>162</v>
      </c>
      <c r="E166" s="144" t="s">
        <v>364</v>
      </c>
      <c r="F166" s="143" t="s">
        <v>936</v>
      </c>
      <c r="G166" s="143" t="s">
        <v>156</v>
      </c>
      <c r="H166" s="145">
        <v>80111600</v>
      </c>
      <c r="I166" s="146">
        <v>12</v>
      </c>
      <c r="J166" s="146">
        <v>0</v>
      </c>
      <c r="K166" s="147">
        <v>22.000002000000002</v>
      </c>
      <c r="L166" s="148">
        <v>3666667</v>
      </c>
      <c r="M166" s="143" t="s">
        <v>173</v>
      </c>
      <c r="N166" s="148" t="s">
        <v>114</v>
      </c>
      <c r="O166" s="144" t="s">
        <v>221</v>
      </c>
      <c r="P166" s="149" t="str">
        <f>IFERROR(VLOOKUP(C166,TD!$B$32:$F$36,2,0)," ")</f>
        <v>O230117</v>
      </c>
      <c r="Q166" s="149" t="str">
        <f>IFERROR(VLOOKUP(C166,TD!$B$32:$F$36,3,0)," ")</f>
        <v>4599</v>
      </c>
      <c r="R166" s="149">
        <f>IFERROR(VLOOKUP(C166,TD!$B$32:$F$36,4,0)," ")</f>
        <v>20240207</v>
      </c>
      <c r="S166" s="144" t="s">
        <v>194</v>
      </c>
      <c r="T166" s="149" t="str">
        <f>IFERROR(VLOOKUP(S166,TD!$J$33:$K$43,2,0)," ")</f>
        <v>Servicios para la planeación y sistemas de gestión y comunicación estratégica</v>
      </c>
      <c r="U166" s="181" t="str">
        <f t="shared" si="8"/>
        <v>13-Servicios para la planeación y sistemas de gestión y comunicación estratégica</v>
      </c>
      <c r="V166" s="144" t="s">
        <v>243</v>
      </c>
      <c r="W166" s="149" t="str">
        <f>IFERROR(VLOOKUP(V166,TD!$N$33:$O$45,2,0)," ")</f>
        <v>Documentos de planeación</v>
      </c>
      <c r="X166" s="181" t="str">
        <f t="shared" si="9"/>
        <v>019_Documentos de planeación</v>
      </c>
      <c r="Y166" s="181" t="str">
        <f t="shared" si="10"/>
        <v>13-Servicios para la planeación y sistemas de gestión y comunicación estratégica 019_Documentos de planeación</v>
      </c>
      <c r="Z166" s="149" t="str">
        <f t="shared" si="11"/>
        <v>O23011745992024020713019</v>
      </c>
      <c r="AA166" s="149" t="str">
        <f>IFERROR(VLOOKUP(Y166,TD!$K$46:$L$64,2,0)," ")</f>
        <v>PM/0131/0113/45990190207</v>
      </c>
      <c r="AB166" s="148" t="s">
        <v>139</v>
      </c>
      <c r="AC166" s="178" t="s">
        <v>206</v>
      </c>
    </row>
    <row r="167" spans="2:29" s="28" customFormat="1" ht="57">
      <c r="B167" s="195">
        <v>20241371</v>
      </c>
      <c r="C167" s="142" t="s">
        <v>209</v>
      </c>
      <c r="D167" s="143" t="s">
        <v>162</v>
      </c>
      <c r="E167" s="144" t="s">
        <v>364</v>
      </c>
      <c r="F167" s="143" t="s">
        <v>937</v>
      </c>
      <c r="G167" s="143" t="s">
        <v>157</v>
      </c>
      <c r="H167" s="145">
        <v>80111600</v>
      </c>
      <c r="I167" s="146">
        <v>12</v>
      </c>
      <c r="J167" s="146">
        <v>0</v>
      </c>
      <c r="K167" s="147">
        <v>23.000002638856635</v>
      </c>
      <c r="L167" s="148">
        <v>2905299</v>
      </c>
      <c r="M167" s="143" t="s">
        <v>173</v>
      </c>
      <c r="N167" s="148" t="s">
        <v>114</v>
      </c>
      <c r="O167" s="144" t="s">
        <v>221</v>
      </c>
      <c r="P167" s="149" t="str">
        <f>IFERROR(VLOOKUP(C167,TD!$B$32:$F$36,2,0)," ")</f>
        <v>O230117</v>
      </c>
      <c r="Q167" s="149" t="str">
        <f>IFERROR(VLOOKUP(C167,TD!$B$32:$F$36,3,0)," ")</f>
        <v>4599</v>
      </c>
      <c r="R167" s="149">
        <f>IFERROR(VLOOKUP(C167,TD!$B$32:$F$36,4,0)," ")</f>
        <v>20240207</v>
      </c>
      <c r="S167" s="144" t="s">
        <v>194</v>
      </c>
      <c r="T167" s="149" t="str">
        <f>IFERROR(VLOOKUP(S167,TD!$J$33:$K$43,2,0)," ")</f>
        <v>Servicios para la planeación y sistemas de gestión y comunicación estratégica</v>
      </c>
      <c r="U167" s="181" t="str">
        <f t="shared" si="8"/>
        <v>13-Servicios para la planeación y sistemas de gestión y comunicación estratégica</v>
      </c>
      <c r="V167" s="144" t="s">
        <v>243</v>
      </c>
      <c r="W167" s="149" t="str">
        <f>IFERROR(VLOOKUP(V167,TD!$N$33:$O$45,2,0)," ")</f>
        <v>Documentos de planeación</v>
      </c>
      <c r="X167" s="181" t="str">
        <f t="shared" si="9"/>
        <v>019_Documentos de planeación</v>
      </c>
      <c r="Y167" s="181" t="str">
        <f t="shared" si="10"/>
        <v>13-Servicios para la planeación y sistemas de gestión y comunicación estratégica 019_Documentos de planeación</v>
      </c>
      <c r="Z167" s="149" t="str">
        <f t="shared" si="11"/>
        <v>O23011745992024020713019</v>
      </c>
      <c r="AA167" s="149" t="str">
        <f>IFERROR(VLOOKUP(Y167,TD!$K$46:$L$64,2,0)," ")</f>
        <v>PM/0131/0113/45990190207</v>
      </c>
      <c r="AB167" s="148" t="s">
        <v>139</v>
      </c>
      <c r="AC167" s="178" t="s">
        <v>206</v>
      </c>
    </row>
    <row r="168" spans="2:29" s="28" customFormat="1" ht="57">
      <c r="B168" s="195">
        <v>20241372</v>
      </c>
      <c r="C168" s="142" t="s">
        <v>209</v>
      </c>
      <c r="D168" s="143" t="s">
        <v>162</v>
      </c>
      <c r="E168" s="144" t="s">
        <v>364</v>
      </c>
      <c r="F168" s="143" t="s">
        <v>938</v>
      </c>
      <c r="G168" s="143" t="s">
        <v>156</v>
      </c>
      <c r="H168" s="145">
        <v>80111600</v>
      </c>
      <c r="I168" s="146">
        <v>12</v>
      </c>
      <c r="J168" s="146">
        <v>0</v>
      </c>
      <c r="K168" s="147">
        <v>25.000002000000002</v>
      </c>
      <c r="L168" s="148">
        <v>4166667</v>
      </c>
      <c r="M168" s="143" t="s">
        <v>173</v>
      </c>
      <c r="N168" s="148" t="s">
        <v>114</v>
      </c>
      <c r="O168" s="144" t="s">
        <v>221</v>
      </c>
      <c r="P168" s="149" t="str">
        <f>IFERROR(VLOOKUP(C168,TD!$B$32:$F$36,2,0)," ")</f>
        <v>O230117</v>
      </c>
      <c r="Q168" s="149" t="str">
        <f>IFERROR(VLOOKUP(C168,TD!$B$32:$F$36,3,0)," ")</f>
        <v>4599</v>
      </c>
      <c r="R168" s="149">
        <f>IFERROR(VLOOKUP(C168,TD!$B$32:$F$36,4,0)," ")</f>
        <v>20240207</v>
      </c>
      <c r="S168" s="144" t="s">
        <v>194</v>
      </c>
      <c r="T168" s="149" t="str">
        <f>IFERROR(VLOOKUP(S168,TD!$J$33:$K$43,2,0)," ")</f>
        <v>Servicios para la planeación y sistemas de gestión y comunicación estratégica</v>
      </c>
      <c r="U168" s="181" t="str">
        <f t="shared" si="8"/>
        <v>13-Servicios para la planeación y sistemas de gestión y comunicación estratégica</v>
      </c>
      <c r="V168" s="144" t="s">
        <v>243</v>
      </c>
      <c r="W168" s="149" t="str">
        <f>IFERROR(VLOOKUP(V168,TD!$N$33:$O$45,2,0)," ")</f>
        <v>Documentos de planeación</v>
      </c>
      <c r="X168" s="181" t="str">
        <f t="shared" si="9"/>
        <v>019_Documentos de planeación</v>
      </c>
      <c r="Y168" s="181" t="str">
        <f t="shared" si="10"/>
        <v>13-Servicios para la planeación y sistemas de gestión y comunicación estratégica 019_Documentos de planeación</v>
      </c>
      <c r="Z168" s="149" t="str">
        <f t="shared" si="11"/>
        <v>O23011745992024020713019</v>
      </c>
      <c r="AA168" s="149" t="str">
        <f>IFERROR(VLOOKUP(Y168,TD!$K$46:$L$64,2,0)," ")</f>
        <v>PM/0131/0113/45990190207</v>
      </c>
      <c r="AB168" s="148" t="s">
        <v>139</v>
      </c>
      <c r="AC168" s="178" t="s">
        <v>206</v>
      </c>
    </row>
    <row r="169" spans="2:29" s="28" customFormat="1" ht="57">
      <c r="B169" s="195">
        <v>20241373</v>
      </c>
      <c r="C169" s="142" t="s">
        <v>209</v>
      </c>
      <c r="D169" s="143" t="s">
        <v>162</v>
      </c>
      <c r="E169" s="144" t="s">
        <v>364</v>
      </c>
      <c r="F169" s="143" t="s">
        <v>939</v>
      </c>
      <c r="G169" s="143" t="s">
        <v>157</v>
      </c>
      <c r="H169" s="145">
        <v>80111600</v>
      </c>
      <c r="I169" s="146">
        <v>12</v>
      </c>
      <c r="J169" s="146">
        <v>0</v>
      </c>
      <c r="K169" s="147">
        <v>19.000002985074627</v>
      </c>
      <c r="L169" s="148">
        <v>2121667</v>
      </c>
      <c r="M169" s="143" t="s">
        <v>173</v>
      </c>
      <c r="N169" s="148" t="s">
        <v>114</v>
      </c>
      <c r="O169" s="144" t="s">
        <v>221</v>
      </c>
      <c r="P169" s="149" t="str">
        <f>IFERROR(VLOOKUP(C169,TD!$B$32:$F$36,2,0)," ")</f>
        <v>O230117</v>
      </c>
      <c r="Q169" s="149" t="str">
        <f>IFERROR(VLOOKUP(C169,TD!$B$32:$F$36,3,0)," ")</f>
        <v>4599</v>
      </c>
      <c r="R169" s="149">
        <f>IFERROR(VLOOKUP(C169,TD!$B$32:$F$36,4,0)," ")</f>
        <v>20240207</v>
      </c>
      <c r="S169" s="144" t="s">
        <v>194</v>
      </c>
      <c r="T169" s="149" t="str">
        <f>IFERROR(VLOOKUP(S169,TD!$J$33:$K$43,2,0)," ")</f>
        <v>Servicios para la planeación y sistemas de gestión y comunicación estratégica</v>
      </c>
      <c r="U169" s="181" t="str">
        <f t="shared" si="8"/>
        <v>13-Servicios para la planeación y sistemas de gestión y comunicación estratégica</v>
      </c>
      <c r="V169" s="144" t="s">
        <v>243</v>
      </c>
      <c r="W169" s="149" t="str">
        <f>IFERROR(VLOOKUP(V169,TD!$N$33:$O$45,2,0)," ")</f>
        <v>Documentos de planeación</v>
      </c>
      <c r="X169" s="181" t="str">
        <f t="shared" si="9"/>
        <v>019_Documentos de planeación</v>
      </c>
      <c r="Y169" s="181" t="str">
        <f t="shared" si="10"/>
        <v>13-Servicios para la planeación y sistemas de gestión y comunicación estratégica 019_Documentos de planeación</v>
      </c>
      <c r="Z169" s="149" t="str">
        <f t="shared" si="11"/>
        <v>O23011745992024020713019</v>
      </c>
      <c r="AA169" s="149" t="str">
        <f>IFERROR(VLOOKUP(Y169,TD!$K$46:$L$64,2,0)," ")</f>
        <v>PM/0131/0113/45990190207</v>
      </c>
      <c r="AB169" s="148" t="s">
        <v>139</v>
      </c>
      <c r="AC169" s="178" t="s">
        <v>206</v>
      </c>
    </row>
    <row r="170" spans="2:29" s="28" customFormat="1" ht="57">
      <c r="B170" s="195">
        <v>20241374</v>
      </c>
      <c r="C170" s="142" t="s">
        <v>209</v>
      </c>
      <c r="D170" s="143" t="s">
        <v>162</v>
      </c>
      <c r="E170" s="144" t="s">
        <v>364</v>
      </c>
      <c r="F170" s="143" t="s">
        <v>940</v>
      </c>
      <c r="G170" s="143" t="s">
        <v>156</v>
      </c>
      <c r="H170" s="145">
        <v>80111600</v>
      </c>
      <c r="I170" s="146">
        <v>12</v>
      </c>
      <c r="J170" s="146">
        <v>1</v>
      </c>
      <c r="K170" s="147">
        <v>5</v>
      </c>
      <c r="L170" s="148">
        <v>5016666</v>
      </c>
      <c r="M170" s="143" t="s">
        <v>173</v>
      </c>
      <c r="N170" s="148" t="s">
        <v>114</v>
      </c>
      <c r="O170" s="144" t="s">
        <v>221</v>
      </c>
      <c r="P170" s="149" t="str">
        <f>IFERROR(VLOOKUP(C170,TD!$B$32:$F$36,2,0)," ")</f>
        <v>O230117</v>
      </c>
      <c r="Q170" s="149" t="str">
        <f>IFERROR(VLOOKUP(C170,TD!$B$32:$F$36,3,0)," ")</f>
        <v>4599</v>
      </c>
      <c r="R170" s="149">
        <f>IFERROR(VLOOKUP(C170,TD!$B$32:$F$36,4,0)," ")</f>
        <v>20240207</v>
      </c>
      <c r="S170" s="144" t="s">
        <v>194</v>
      </c>
      <c r="T170" s="149" t="str">
        <f>IFERROR(VLOOKUP(S170,TD!$J$33:$K$43,2,0)," ")</f>
        <v>Servicios para la planeación y sistemas de gestión y comunicación estratégica</v>
      </c>
      <c r="U170" s="181" t="str">
        <f t="shared" si="8"/>
        <v>13-Servicios para la planeación y sistemas de gestión y comunicación estratégica</v>
      </c>
      <c r="V170" s="144" t="s">
        <v>243</v>
      </c>
      <c r="W170" s="149" t="str">
        <f>IFERROR(VLOOKUP(V170,TD!$N$33:$O$45,2,0)," ")</f>
        <v>Documentos de planeación</v>
      </c>
      <c r="X170" s="181" t="str">
        <f t="shared" si="9"/>
        <v>019_Documentos de planeación</v>
      </c>
      <c r="Y170" s="181" t="str">
        <f t="shared" si="10"/>
        <v>13-Servicios para la planeación y sistemas de gestión y comunicación estratégica 019_Documentos de planeación</v>
      </c>
      <c r="Z170" s="149" t="str">
        <f t="shared" si="11"/>
        <v>O23011745992024020713019</v>
      </c>
      <c r="AA170" s="149" t="str">
        <f>IFERROR(VLOOKUP(Y170,TD!$K$46:$L$64,2,0)," ")</f>
        <v>PM/0131/0113/45990190207</v>
      </c>
      <c r="AB170" s="148" t="s">
        <v>139</v>
      </c>
      <c r="AC170" s="178" t="s">
        <v>206</v>
      </c>
    </row>
    <row r="171" spans="2:29" s="28" customFormat="1" ht="99.75">
      <c r="B171" s="196">
        <v>20241375</v>
      </c>
      <c r="C171" s="142" t="s">
        <v>209</v>
      </c>
      <c r="D171" s="143" t="s">
        <v>37</v>
      </c>
      <c r="E171" s="144" t="s">
        <v>406</v>
      </c>
      <c r="F171" s="143" t="s">
        <v>941</v>
      </c>
      <c r="G171" s="143" t="s">
        <v>156</v>
      </c>
      <c r="H171" s="145">
        <v>80111600</v>
      </c>
      <c r="I171" s="146">
        <v>11</v>
      </c>
      <c r="J171" s="146">
        <v>3</v>
      </c>
      <c r="K171" s="147">
        <v>0</v>
      </c>
      <c r="L171" s="148">
        <v>21000000</v>
      </c>
      <c r="M171" s="143" t="s">
        <v>173</v>
      </c>
      <c r="N171" s="148" t="s">
        <v>114</v>
      </c>
      <c r="O171" s="144" t="s">
        <v>213</v>
      </c>
      <c r="P171" s="149" t="str">
        <f>IFERROR(VLOOKUP(C171,TD!$B$32:$F$36,2,0)," ")</f>
        <v>O230117</v>
      </c>
      <c r="Q171" s="149" t="str">
        <f>IFERROR(VLOOKUP(C171,TD!$B$32:$F$36,3,0)," ")</f>
        <v>4599</v>
      </c>
      <c r="R171" s="149">
        <f>IFERROR(VLOOKUP(C171,TD!$B$32:$F$36,4,0)," ")</f>
        <v>20240207</v>
      </c>
      <c r="S171" s="144" t="s">
        <v>194</v>
      </c>
      <c r="T171" s="149" t="str">
        <f>IFERROR(VLOOKUP(S171,TD!$J$33:$K$43,2,0)," ")</f>
        <v>Servicios para la planeación y sistemas de gestión y comunicación estratégica</v>
      </c>
      <c r="U171" s="54" t="str">
        <f t="shared" si="8"/>
        <v>13-Servicios para la planeación y sistemas de gestión y comunicación estratégica</v>
      </c>
      <c r="V171" s="144" t="s">
        <v>242</v>
      </c>
      <c r="W171" s="149" t="str">
        <f>IFERROR(VLOOKUP(V171,TD!$N$33:$O$45,2,0)," ")</f>
        <v>Servicio de Implementación Sistemas de Gestión</v>
      </c>
      <c r="X171" s="54" t="str">
        <f t="shared" si="9"/>
        <v>023_Servicio de Implementación Sistemas de Gestión</v>
      </c>
      <c r="Y171" s="54" t="str">
        <f t="shared" si="10"/>
        <v>13-Servicios para la planeación y sistemas de gestión y comunicación estratégica 023_Servicio de Implementación Sistemas de Gestión</v>
      </c>
      <c r="Z171" s="149" t="str">
        <f t="shared" si="11"/>
        <v>O23011745992024020713023</v>
      </c>
      <c r="AA171" s="149" t="str">
        <f>IFERROR(VLOOKUP(Y171,TD!$K$46:$L$64,2,0)," ")</f>
        <v>PM/0131/0113/45990230207</v>
      </c>
      <c r="AB171" s="148" t="s">
        <v>139</v>
      </c>
      <c r="AC171" s="178" t="s">
        <v>206</v>
      </c>
    </row>
    <row r="172" spans="2:29" s="28" customFormat="1" ht="28.5">
      <c r="B172" s="85">
        <v>20240037</v>
      </c>
      <c r="C172" s="53" t="s">
        <v>347</v>
      </c>
      <c r="D172" s="130" t="s">
        <v>167</v>
      </c>
      <c r="E172" s="54" t="s">
        <v>839</v>
      </c>
      <c r="F172" s="130" t="s">
        <v>679</v>
      </c>
      <c r="G172" s="130" t="s">
        <v>120</v>
      </c>
      <c r="H172" s="55" t="s">
        <v>586</v>
      </c>
      <c r="I172" s="131">
        <v>7</v>
      </c>
      <c r="J172" s="131">
        <v>8</v>
      </c>
      <c r="K172" s="56">
        <v>0</v>
      </c>
      <c r="L172" s="57">
        <v>58500000</v>
      </c>
      <c r="M172" s="130" t="s">
        <v>173</v>
      </c>
      <c r="N172" s="57" t="s">
        <v>101</v>
      </c>
      <c r="O172" s="54" t="s">
        <v>348</v>
      </c>
      <c r="P172" s="132" t="str">
        <f>IFERROR(VLOOKUP(C172,TD!$B$32:$F$36,2,0)," ")</f>
        <v>NA</v>
      </c>
      <c r="Q172" s="132" t="str">
        <f>IFERROR(VLOOKUP(C172,TD!$B$32:$F$36,3,0)," ")</f>
        <v>NA</v>
      </c>
      <c r="R172" s="132" t="str">
        <f>IFERROR(VLOOKUP(C172,TD!$B$32:$F$36,4,0)," ")</f>
        <v>NA</v>
      </c>
      <c r="S172" s="54" t="s">
        <v>546</v>
      </c>
      <c r="T172" s="132" t="str">
        <f>IFERROR(VLOOKUP(S172,TD!$J$33:$K$43,2,0)," ")</f>
        <v>N/A</v>
      </c>
      <c r="U172" s="54" t="str">
        <f t="shared" si="8"/>
        <v>N/A-N/A</v>
      </c>
      <c r="V172" s="54" t="s">
        <v>546</v>
      </c>
      <c r="W172" s="132" t="str">
        <f>IFERROR(VLOOKUP(V172,TD!$N$33:$O$45,2,0)," ")</f>
        <v>N/A</v>
      </c>
      <c r="X172" s="54" t="str">
        <f t="shared" si="9"/>
        <v>N/A_N/A</v>
      </c>
      <c r="Y172" s="54" t="str">
        <f t="shared" si="10"/>
        <v>N/A-N/A N/A_N/A</v>
      </c>
      <c r="Z172" s="132" t="str">
        <f t="shared" si="11"/>
        <v>NANANAN/AN/A</v>
      </c>
      <c r="AA172" s="132" t="str">
        <f>IFERROR(VLOOKUP(Y172,TD!$K$46:$L$64,2,0)," ")</f>
        <v>N/A</v>
      </c>
      <c r="AB172" s="57" t="s">
        <v>349</v>
      </c>
      <c r="AC172" s="133" t="s">
        <v>205</v>
      </c>
    </row>
    <row r="173" spans="2:29" s="28" customFormat="1" ht="71.25">
      <c r="B173" s="85">
        <v>20240068</v>
      </c>
      <c r="C173" s="53" t="s">
        <v>210</v>
      </c>
      <c r="D173" s="130" t="s">
        <v>169</v>
      </c>
      <c r="E173" s="54" t="s">
        <v>804</v>
      </c>
      <c r="F173" s="130" t="s">
        <v>692</v>
      </c>
      <c r="G173" s="130" t="s">
        <v>97</v>
      </c>
      <c r="H173" s="117">
        <v>25172500</v>
      </c>
      <c r="I173" s="131">
        <v>7</v>
      </c>
      <c r="J173" s="131">
        <v>12</v>
      </c>
      <c r="K173" s="56">
        <v>0</v>
      </c>
      <c r="L173" s="57">
        <v>250000000</v>
      </c>
      <c r="M173" s="130" t="s">
        <v>173</v>
      </c>
      <c r="N173" s="57" t="s">
        <v>96</v>
      </c>
      <c r="O173" s="54" t="s">
        <v>225</v>
      </c>
      <c r="P173" s="132" t="str">
        <f>IFERROR(VLOOKUP(C173,TD!$B$32:$F$36,2,0)," ")</f>
        <v>O230117</v>
      </c>
      <c r="Q173" s="132" t="str">
        <f>IFERROR(VLOOKUP(C173,TD!$B$32:$F$36,3,0)," ")</f>
        <v>4503</v>
      </c>
      <c r="R173" s="132">
        <f>IFERROR(VLOOKUP(C173,TD!$B$32:$F$36,4,0)," ")</f>
        <v>20240255</v>
      </c>
      <c r="S173" s="54" t="s">
        <v>188</v>
      </c>
      <c r="T173" s="132" t="str">
        <f>IFERROR(VLOOKUP(S173,TD!$J$33:$K$43,2,0)," ")</f>
        <v>Servicio de mantenimiento, dotación (HEA´s y equipo menor) y adquisición de vehiculos   especializados para la atención de emergencias.</v>
      </c>
      <c r="U173" s="54" t="str">
        <f t="shared" si="8"/>
        <v>09-Servicio de mantenimiento, dotación (HEA´s y equipo menor) y adquisición de vehiculos   especializados para la atención de emergencias.</v>
      </c>
      <c r="V173" s="54" t="s">
        <v>233</v>
      </c>
      <c r="W173" s="132" t="str">
        <f>IFERROR(VLOOKUP(V173,TD!$N$33:$O$45,2,0)," ")</f>
        <v>Servicio de atención a emergencias y desastres</v>
      </c>
      <c r="X173" s="54" t="str">
        <f t="shared" si="9"/>
        <v>004_Servicio de atención a emergencias y desastres</v>
      </c>
      <c r="Y173" s="54" t="str">
        <f t="shared" si="10"/>
        <v>09-Servicio de mantenimiento, dotación (HEA´s y equipo menor) y adquisición de vehiculos   especializados para la atención de emergencias. 004_Servicio de atención a emergencias y desastres</v>
      </c>
      <c r="Z173" s="132" t="str">
        <f t="shared" si="11"/>
        <v>O23011745032024025509004</v>
      </c>
      <c r="AA173" s="132" t="str">
        <f>IFERROR(VLOOKUP(Y173,TD!$K$46:$L$64,2,0)," ")</f>
        <v>PM/0131/0109/45030040255</v>
      </c>
      <c r="AB173" s="57" t="s">
        <v>88</v>
      </c>
      <c r="AC173" s="133" t="s">
        <v>205</v>
      </c>
    </row>
    <row r="174" spans="2:29" s="28" customFormat="1" ht="71.25">
      <c r="B174" s="85">
        <v>20240074</v>
      </c>
      <c r="C174" s="53" t="s">
        <v>210</v>
      </c>
      <c r="D174" s="130" t="s">
        <v>169</v>
      </c>
      <c r="E174" s="54" t="s">
        <v>804</v>
      </c>
      <c r="F174" s="130" t="s">
        <v>429</v>
      </c>
      <c r="G174" s="130" t="s">
        <v>97</v>
      </c>
      <c r="H174" s="117">
        <v>46161600</v>
      </c>
      <c r="I174" s="131">
        <v>7</v>
      </c>
      <c r="J174" s="131">
        <v>12</v>
      </c>
      <c r="K174" s="56">
        <v>0</v>
      </c>
      <c r="L174" s="57">
        <v>70000000</v>
      </c>
      <c r="M174" s="130" t="s">
        <v>173</v>
      </c>
      <c r="N174" s="57" t="s">
        <v>114</v>
      </c>
      <c r="O174" s="54" t="s">
        <v>225</v>
      </c>
      <c r="P174" s="132" t="str">
        <f>IFERROR(VLOOKUP(C174,TD!$B$32:$F$36,2,0)," ")</f>
        <v>O230117</v>
      </c>
      <c r="Q174" s="132" t="str">
        <f>IFERROR(VLOOKUP(C174,TD!$B$32:$F$36,3,0)," ")</f>
        <v>4503</v>
      </c>
      <c r="R174" s="132">
        <f>IFERROR(VLOOKUP(C174,TD!$B$32:$F$36,4,0)," ")</f>
        <v>20240255</v>
      </c>
      <c r="S174" s="54" t="s">
        <v>188</v>
      </c>
      <c r="T174" s="132" t="str">
        <f>IFERROR(VLOOKUP(S174,TD!$J$33:$K$43,2,0)," ")</f>
        <v>Servicio de mantenimiento, dotación (HEA´s y equipo menor) y adquisición de vehiculos   especializados para la atención de emergencias.</v>
      </c>
      <c r="U174" s="54" t="str">
        <f t="shared" si="8"/>
        <v>09-Servicio de mantenimiento, dotación (HEA´s y equipo menor) y adquisición de vehiculos   especializados para la atención de emergencias.</v>
      </c>
      <c r="V174" s="54" t="s">
        <v>233</v>
      </c>
      <c r="W174" s="132" t="str">
        <f>IFERROR(VLOOKUP(V174,TD!$N$33:$O$45,2,0)," ")</f>
        <v>Servicio de atención a emergencias y desastres</v>
      </c>
      <c r="X174" s="54" t="str">
        <f t="shared" si="9"/>
        <v>004_Servicio de atención a emergencias y desastres</v>
      </c>
      <c r="Y174" s="54" t="str">
        <f t="shared" si="10"/>
        <v>09-Servicio de mantenimiento, dotación (HEA´s y equipo menor) y adquisición de vehiculos   especializados para la atención de emergencias. 004_Servicio de atención a emergencias y desastres</v>
      </c>
      <c r="Z174" s="132" t="str">
        <f t="shared" si="11"/>
        <v>O23011745032024025509004</v>
      </c>
      <c r="AA174" s="132" t="str">
        <f>IFERROR(VLOOKUP(Y174,TD!$K$46:$L$64,2,0)," ")</f>
        <v>PM/0131/0109/45030040255</v>
      </c>
      <c r="AB174" s="57" t="s">
        <v>88</v>
      </c>
      <c r="AC174" s="133" t="s">
        <v>205</v>
      </c>
    </row>
    <row r="175" spans="2:29" s="28" customFormat="1" ht="71.25">
      <c r="B175" s="85">
        <v>20240083</v>
      </c>
      <c r="C175" s="53" t="s">
        <v>210</v>
      </c>
      <c r="D175" s="130" t="s">
        <v>169</v>
      </c>
      <c r="E175" s="54" t="s">
        <v>804</v>
      </c>
      <c r="F175" s="130" t="s">
        <v>421</v>
      </c>
      <c r="G175" s="130" t="s">
        <v>147</v>
      </c>
      <c r="H175" s="117">
        <v>78181500</v>
      </c>
      <c r="I175" s="131">
        <v>7</v>
      </c>
      <c r="J175" s="131">
        <v>12</v>
      </c>
      <c r="K175" s="56">
        <v>0</v>
      </c>
      <c r="L175" s="57">
        <f>3850000000-650000000</f>
        <v>3200000000</v>
      </c>
      <c r="M175" s="130" t="s">
        <v>173</v>
      </c>
      <c r="N175" s="57" t="s">
        <v>86</v>
      </c>
      <c r="O175" s="54" t="s">
        <v>225</v>
      </c>
      <c r="P175" s="132" t="str">
        <f>IFERROR(VLOOKUP(C175,TD!$B$32:$F$36,2,0)," ")</f>
        <v>O230117</v>
      </c>
      <c r="Q175" s="132" t="str">
        <f>IFERROR(VLOOKUP(C175,TD!$B$32:$F$36,3,0)," ")</f>
        <v>4503</v>
      </c>
      <c r="R175" s="132">
        <f>IFERROR(VLOOKUP(C175,TD!$B$32:$F$36,4,0)," ")</f>
        <v>20240255</v>
      </c>
      <c r="S175" s="54" t="s">
        <v>188</v>
      </c>
      <c r="T175" s="132" t="str">
        <f>IFERROR(VLOOKUP(S175,TD!$J$33:$K$43,2,0)," ")</f>
        <v>Servicio de mantenimiento, dotación (HEA´s y equipo menor) y adquisición de vehiculos   especializados para la atención de emergencias.</v>
      </c>
      <c r="U175" s="54" t="str">
        <f t="shared" si="8"/>
        <v>09-Servicio de mantenimiento, dotación (HEA´s y equipo menor) y adquisición de vehiculos   especializados para la atención de emergencias.</v>
      </c>
      <c r="V175" s="54" t="s">
        <v>233</v>
      </c>
      <c r="W175" s="132" t="str">
        <f>IFERROR(VLOOKUP(V175,TD!$N$33:$O$45,2,0)," ")</f>
        <v>Servicio de atención a emergencias y desastres</v>
      </c>
      <c r="X175" s="54" t="str">
        <f t="shared" si="9"/>
        <v>004_Servicio de atención a emergencias y desastres</v>
      </c>
      <c r="Y175" s="54" t="str">
        <f t="shared" si="10"/>
        <v>09-Servicio de mantenimiento, dotación (HEA´s y equipo menor) y adquisición de vehiculos   especializados para la atención de emergencias. 004_Servicio de atención a emergencias y desastres</v>
      </c>
      <c r="Z175" s="132" t="str">
        <f t="shared" si="11"/>
        <v>O23011745032024025509004</v>
      </c>
      <c r="AA175" s="132" t="str">
        <f>IFERROR(VLOOKUP(Y175,TD!$K$46:$L$64,2,0)," ")</f>
        <v>PM/0131/0109/45030040255</v>
      </c>
      <c r="AB175" s="57" t="s">
        <v>146</v>
      </c>
      <c r="AC175" s="133" t="s">
        <v>205</v>
      </c>
    </row>
    <row r="176" spans="2:29" s="28" customFormat="1" ht="42.75">
      <c r="B176" s="85">
        <v>20240323</v>
      </c>
      <c r="C176" s="53" t="s">
        <v>209</v>
      </c>
      <c r="D176" s="130" t="s">
        <v>163</v>
      </c>
      <c r="E176" s="54" t="s">
        <v>364</v>
      </c>
      <c r="F176" s="130" t="s">
        <v>600</v>
      </c>
      <c r="G176" s="130" t="s">
        <v>155</v>
      </c>
      <c r="H176" s="117">
        <v>81112200</v>
      </c>
      <c r="I176" s="131">
        <v>7</v>
      </c>
      <c r="J176" s="131">
        <v>12</v>
      </c>
      <c r="K176" s="56">
        <v>0</v>
      </c>
      <c r="L176" s="57">
        <f>64243900</f>
        <v>64243900</v>
      </c>
      <c r="M176" s="130" t="s">
        <v>173</v>
      </c>
      <c r="N176" s="57" t="s">
        <v>96</v>
      </c>
      <c r="O176" s="54" t="s">
        <v>215</v>
      </c>
      <c r="P176" s="132" t="str">
        <f>IFERROR(VLOOKUP(C176,TD!$B$32:$F$36,2,0)," ")</f>
        <v>O230117</v>
      </c>
      <c r="Q176" s="132" t="str">
        <f>IFERROR(VLOOKUP(C176,TD!$B$32:$F$36,3,0)," ")</f>
        <v>4599</v>
      </c>
      <c r="R176" s="132">
        <f>IFERROR(VLOOKUP(C176,TD!$B$32:$F$36,4,0)," ")</f>
        <v>20240207</v>
      </c>
      <c r="S176" s="54" t="s">
        <v>180</v>
      </c>
      <c r="T176" s="132" t="str">
        <f>IFERROR(VLOOKUP(S176,TD!$J$33:$K$43,2,0)," ")</f>
        <v>Infraestructura Tecnológica   (Sistemas de Información y Tecnologia)</v>
      </c>
      <c r="U176" s="54" t="str">
        <f t="shared" si="8"/>
        <v>11-Infraestructura Tecnológica   (Sistemas de Información y Tecnologia)</v>
      </c>
      <c r="V176" s="54" t="s">
        <v>240</v>
      </c>
      <c r="W176" s="132" t="str">
        <f>IFERROR(VLOOKUP(V176,TD!$N$33:$O$45,2,0)," ")</f>
        <v>Servicios tecnológicos</v>
      </c>
      <c r="X176" s="54" t="str">
        <f t="shared" si="9"/>
        <v>007_Servicios tecnológicos</v>
      </c>
      <c r="Y176" s="54" t="str">
        <f t="shared" si="10"/>
        <v>11-Infraestructura Tecnológica   (Sistemas de Información y Tecnologia) 007_Servicios tecnológicos</v>
      </c>
      <c r="Z176" s="132" t="str">
        <f t="shared" si="11"/>
        <v>O23011745992024020711007</v>
      </c>
      <c r="AA176" s="132" t="str">
        <f>IFERROR(VLOOKUP(Y176,TD!$K$46:$L$64,2,0)," ")</f>
        <v>PM/0131/0111/45990070207</v>
      </c>
      <c r="AB176" s="57" t="s">
        <v>126</v>
      </c>
      <c r="AC176" s="133" t="s">
        <v>205</v>
      </c>
    </row>
    <row r="177" spans="2:29" s="28" customFormat="1" ht="57">
      <c r="B177" s="85">
        <v>20240329</v>
      </c>
      <c r="C177" s="53" t="s">
        <v>210</v>
      </c>
      <c r="D177" s="130" t="s">
        <v>168</v>
      </c>
      <c r="E177" s="54" t="s">
        <v>380</v>
      </c>
      <c r="F177" s="130" t="s">
        <v>381</v>
      </c>
      <c r="G177" s="130" t="s">
        <v>97</v>
      </c>
      <c r="H177" s="117" t="s">
        <v>401</v>
      </c>
      <c r="I177" s="131">
        <v>7</v>
      </c>
      <c r="J177" s="131">
        <v>7</v>
      </c>
      <c r="K177" s="56">
        <v>0</v>
      </c>
      <c r="L177" s="57">
        <f>484348572+100000000</f>
        <v>584348572</v>
      </c>
      <c r="M177" s="130" t="s">
        <v>173</v>
      </c>
      <c r="N177" s="57" t="s">
        <v>91</v>
      </c>
      <c r="O177" s="54" t="s">
        <v>222</v>
      </c>
      <c r="P177" s="132" t="str">
        <f>IFERROR(VLOOKUP(C177,TD!$B$32:$F$36,2,0)," ")</f>
        <v>O230117</v>
      </c>
      <c r="Q177" s="132" t="str">
        <f>IFERROR(VLOOKUP(C177,TD!$B$32:$F$36,3,0)," ")</f>
        <v>4503</v>
      </c>
      <c r="R177" s="132">
        <f>IFERROR(VLOOKUP(C177,TD!$B$32:$F$36,4,0)," ")</f>
        <v>20240255</v>
      </c>
      <c r="S177" s="54" t="s">
        <v>178</v>
      </c>
      <c r="T177" s="132" t="str">
        <f>IFERROR(VLOOKUP(S177,TD!$J$33:$K$43,2,0)," ")</f>
        <v>Servicio de capacitaciones en gestión del riesgo de incendios  a la ciudadania.</v>
      </c>
      <c r="U177" s="54" t="str">
        <f t="shared" si="8"/>
        <v>05-Servicio de capacitaciones en gestión del riesgo de incendios  a la ciudadania.</v>
      </c>
      <c r="V177" s="54" t="s">
        <v>235</v>
      </c>
      <c r="W177" s="132" t="str">
        <f>IFERROR(VLOOKUP(V177,TD!$N$33:$O$45,2,0)," ")</f>
        <v>Servicio prevención y control de incendios</v>
      </c>
      <c r="X177" s="54" t="str">
        <f t="shared" si="9"/>
        <v>035_Servicio prevención y control de incendios</v>
      </c>
      <c r="Y177" s="54" t="str">
        <f t="shared" si="10"/>
        <v>05-Servicio de capacitaciones en gestión del riesgo de incendios  a la ciudadania. 035_Servicio prevención y control de incendios</v>
      </c>
      <c r="Z177" s="132" t="str">
        <f t="shared" si="11"/>
        <v>O23011745032024025505035</v>
      </c>
      <c r="AA177" s="132" t="str">
        <f>IFERROR(VLOOKUP(Y177,TD!$K$46:$L$64,2,0)," ")</f>
        <v>PM/0131/0105/45030350255</v>
      </c>
      <c r="AB177" s="57" t="s">
        <v>139</v>
      </c>
      <c r="AC177" s="133" t="s">
        <v>205</v>
      </c>
    </row>
    <row r="178" spans="2:29" s="28" customFormat="1" ht="42.75">
      <c r="B178" s="85">
        <v>20240368</v>
      </c>
      <c r="C178" s="53" t="s">
        <v>209</v>
      </c>
      <c r="D178" s="130" t="s">
        <v>163</v>
      </c>
      <c r="E178" s="54" t="s">
        <v>364</v>
      </c>
      <c r="F178" s="130" t="s">
        <v>602</v>
      </c>
      <c r="G178" s="130" t="s">
        <v>155</v>
      </c>
      <c r="H178" s="117">
        <v>43233205</v>
      </c>
      <c r="I178" s="131">
        <v>8</v>
      </c>
      <c r="J178" s="131">
        <v>12</v>
      </c>
      <c r="K178" s="56">
        <v>0</v>
      </c>
      <c r="L178" s="57">
        <v>0</v>
      </c>
      <c r="M178" s="130" t="s">
        <v>173</v>
      </c>
      <c r="N178" s="57" t="s">
        <v>101</v>
      </c>
      <c r="O178" s="54" t="s">
        <v>215</v>
      </c>
      <c r="P178" s="132" t="str">
        <f>IFERROR(VLOOKUP(C178,TD!$B$32:$F$36,2,0)," ")</f>
        <v>O230117</v>
      </c>
      <c r="Q178" s="132" t="str">
        <f>IFERROR(VLOOKUP(C178,TD!$B$32:$F$36,3,0)," ")</f>
        <v>4599</v>
      </c>
      <c r="R178" s="132">
        <f>IFERROR(VLOOKUP(C178,TD!$B$32:$F$36,4,0)," ")</f>
        <v>20240207</v>
      </c>
      <c r="S178" s="54" t="s">
        <v>180</v>
      </c>
      <c r="T178" s="132" t="str">
        <f>IFERROR(VLOOKUP(S178,TD!$J$33:$K$43,2,0)," ")</f>
        <v>Infraestructura Tecnológica   (Sistemas de Información y Tecnologia)</v>
      </c>
      <c r="U178" s="54" t="str">
        <f t="shared" si="8"/>
        <v>11-Infraestructura Tecnológica   (Sistemas de Información y Tecnologia)</v>
      </c>
      <c r="V178" s="54" t="s">
        <v>240</v>
      </c>
      <c r="W178" s="132" t="str">
        <f>IFERROR(VLOOKUP(V178,TD!$N$33:$O$45,2,0)," ")</f>
        <v>Servicios tecnológicos</v>
      </c>
      <c r="X178" s="54" t="str">
        <f t="shared" si="9"/>
        <v>007_Servicios tecnológicos</v>
      </c>
      <c r="Y178" s="54" t="str">
        <f t="shared" si="10"/>
        <v>11-Infraestructura Tecnológica   (Sistemas de Información y Tecnologia) 007_Servicios tecnológicos</v>
      </c>
      <c r="Z178" s="132" t="str">
        <f t="shared" si="11"/>
        <v>O23011745992024020711007</v>
      </c>
      <c r="AA178" s="132" t="str">
        <f>IFERROR(VLOOKUP(Y178,TD!$K$46:$L$64,2,0)," ")</f>
        <v>PM/0131/0111/45990070207</v>
      </c>
      <c r="AB178" s="57" t="s">
        <v>139</v>
      </c>
      <c r="AC178" s="133" t="s">
        <v>205</v>
      </c>
    </row>
    <row r="179" spans="2:29" s="28" customFormat="1" ht="57">
      <c r="B179" s="85">
        <v>20240395</v>
      </c>
      <c r="C179" s="53" t="s">
        <v>546</v>
      </c>
      <c r="D179" s="130" t="s">
        <v>167</v>
      </c>
      <c r="E179" s="54" t="s">
        <v>839</v>
      </c>
      <c r="F179" s="130" t="s">
        <v>680</v>
      </c>
      <c r="G179" s="130" t="s">
        <v>97</v>
      </c>
      <c r="H179" s="55" t="s">
        <v>681</v>
      </c>
      <c r="I179" s="131">
        <v>8</v>
      </c>
      <c r="J179" s="131">
        <v>12</v>
      </c>
      <c r="K179" s="56">
        <v>0</v>
      </c>
      <c r="L179" s="57">
        <v>0</v>
      </c>
      <c r="M179" s="130" t="s">
        <v>350</v>
      </c>
      <c r="N179" s="57" t="s">
        <v>91</v>
      </c>
      <c r="O179" s="54" t="s">
        <v>348</v>
      </c>
      <c r="P179" s="132" t="str">
        <f>IFERROR(VLOOKUP(C179,TD!$B$32:$F$36,2,0)," ")</f>
        <v>NA</v>
      </c>
      <c r="Q179" s="132" t="str">
        <f>IFERROR(VLOOKUP(C179,TD!$B$32:$F$36,3,0)," ")</f>
        <v>NA</v>
      </c>
      <c r="R179" s="132" t="str">
        <f>IFERROR(VLOOKUP(C179,TD!$B$32:$F$36,4,0)," ")</f>
        <v>NA</v>
      </c>
      <c r="S179" s="54" t="s">
        <v>546</v>
      </c>
      <c r="T179" s="132" t="str">
        <f>IFERROR(VLOOKUP(S179,TD!$J$33:$K$43,2,0)," ")</f>
        <v>N/A</v>
      </c>
      <c r="U179" s="54" t="str">
        <f t="shared" si="8"/>
        <v>N/A-N/A</v>
      </c>
      <c r="V179" s="54" t="s">
        <v>546</v>
      </c>
      <c r="W179" s="132" t="str">
        <f>IFERROR(VLOOKUP(V179,TD!$N$33:$O$45,2,0)," ")</f>
        <v>N/A</v>
      </c>
      <c r="X179" s="54" t="str">
        <f t="shared" si="9"/>
        <v>N/A_N/A</v>
      </c>
      <c r="Y179" s="54" t="str">
        <f t="shared" si="10"/>
        <v>N/A-N/A N/A_N/A</v>
      </c>
      <c r="Z179" s="132" t="str">
        <f t="shared" si="11"/>
        <v>NANANAN/AN/A</v>
      </c>
      <c r="AA179" s="132" t="str">
        <f>IFERROR(VLOOKUP(Y179,TD!$K$46:$L$64,2,0)," ")</f>
        <v>N/A</v>
      </c>
      <c r="AB179" s="57" t="s">
        <v>349</v>
      </c>
      <c r="AC179" s="133" t="s">
        <v>205</v>
      </c>
    </row>
    <row r="180" spans="2:29" s="28" customFormat="1" ht="42.75">
      <c r="B180" s="85">
        <v>20240461</v>
      </c>
      <c r="C180" s="53" t="s">
        <v>209</v>
      </c>
      <c r="D180" s="130" t="s">
        <v>163</v>
      </c>
      <c r="E180" s="54" t="s">
        <v>364</v>
      </c>
      <c r="F180" s="130" t="s">
        <v>604</v>
      </c>
      <c r="G180" s="130" t="s">
        <v>150</v>
      </c>
      <c r="H180" s="117" t="s">
        <v>635</v>
      </c>
      <c r="I180" s="131">
        <v>7</v>
      </c>
      <c r="J180" s="131">
        <v>12</v>
      </c>
      <c r="K180" s="56">
        <v>0</v>
      </c>
      <c r="L180" s="57">
        <v>175000000</v>
      </c>
      <c r="M180" s="130" t="s">
        <v>173</v>
      </c>
      <c r="N180" s="57" t="s">
        <v>114</v>
      </c>
      <c r="O180" s="54" t="s">
        <v>216</v>
      </c>
      <c r="P180" s="132" t="str">
        <f>IFERROR(VLOOKUP(C180,TD!$B$32:$F$36,2,0)," ")</f>
        <v>O230117</v>
      </c>
      <c r="Q180" s="132" t="str">
        <f>IFERROR(VLOOKUP(C180,TD!$B$32:$F$36,3,0)," ")</f>
        <v>4599</v>
      </c>
      <c r="R180" s="132">
        <f>IFERROR(VLOOKUP(C180,TD!$B$32:$F$36,4,0)," ")</f>
        <v>20240207</v>
      </c>
      <c r="S180" s="54" t="s">
        <v>180</v>
      </c>
      <c r="T180" s="132" t="str">
        <f>IFERROR(VLOOKUP(S180,TD!$J$33:$K$43,2,0)," ")</f>
        <v>Infraestructura Tecnológica   (Sistemas de Información y Tecnologia)</v>
      </c>
      <c r="U180" s="54" t="str">
        <f t="shared" si="8"/>
        <v>11-Infraestructura Tecnológica   (Sistemas de Información y Tecnologia)</v>
      </c>
      <c r="V180" s="54" t="s">
        <v>240</v>
      </c>
      <c r="W180" s="132" t="str">
        <f>IFERROR(VLOOKUP(V180,TD!$N$33:$O$45,2,0)," ")</f>
        <v>Servicios tecnológicos</v>
      </c>
      <c r="X180" s="54" t="str">
        <f t="shared" si="9"/>
        <v>007_Servicios tecnológicos</v>
      </c>
      <c r="Y180" s="54" t="str">
        <f t="shared" si="10"/>
        <v>11-Infraestructura Tecnológica   (Sistemas de Información y Tecnologia) 007_Servicios tecnológicos</v>
      </c>
      <c r="Z180" s="132" t="str">
        <f t="shared" si="11"/>
        <v>O23011745992024020711007</v>
      </c>
      <c r="AA180" s="132" t="str">
        <f>IFERROR(VLOOKUP(Y180,TD!$K$46:$L$64,2,0)," ")</f>
        <v>PM/0131/0111/45990070207</v>
      </c>
      <c r="AB180" s="57" t="s">
        <v>126</v>
      </c>
      <c r="AC180" s="133" t="s">
        <v>205</v>
      </c>
    </row>
    <row r="181" spans="2:29" s="28" customFormat="1" ht="57">
      <c r="B181" s="85">
        <v>20240532</v>
      </c>
      <c r="C181" s="53" t="s">
        <v>210</v>
      </c>
      <c r="D181" s="130" t="s">
        <v>167</v>
      </c>
      <c r="E181" s="54" t="s">
        <v>839</v>
      </c>
      <c r="F181" s="130" t="s">
        <v>572</v>
      </c>
      <c r="G181" s="130" t="s">
        <v>141</v>
      </c>
      <c r="H181" s="118" t="s">
        <v>590</v>
      </c>
      <c r="I181" s="131">
        <v>7</v>
      </c>
      <c r="J181" s="131">
        <v>5</v>
      </c>
      <c r="K181" s="56">
        <v>0</v>
      </c>
      <c r="L181" s="57">
        <v>50000000</v>
      </c>
      <c r="M181" s="130" t="s">
        <v>173</v>
      </c>
      <c r="N181" s="57" t="s">
        <v>109</v>
      </c>
      <c r="O181" s="54" t="s">
        <v>228</v>
      </c>
      <c r="P181" s="132" t="str">
        <f>IFERROR(VLOOKUP(C181,TD!$B$32:$F$36,2,0)," ")</f>
        <v>O230117</v>
      </c>
      <c r="Q181" s="132" t="str">
        <f>IFERROR(VLOOKUP(C181,TD!$B$32:$F$36,3,0)," ")</f>
        <v>4503</v>
      </c>
      <c r="R181" s="132">
        <f>IFERROR(VLOOKUP(C181,TD!$B$32:$F$36,4,0)," ")</f>
        <v>20240255</v>
      </c>
      <c r="S181" s="54" t="s">
        <v>186</v>
      </c>
      <c r="T181" s="132" t="str">
        <f>IFERROR(VLOOKUP(S181,TD!$J$33:$K$43,2,0)," ")</f>
        <v>Infraestructura física, mantenimiento y dotación (Sedes construidas, mantenidas reforzadas)</v>
      </c>
      <c r="U181" s="54" t="str">
        <f t="shared" si="8"/>
        <v>08-Infraestructura física, mantenimiento y dotación (Sedes construidas, mantenidas reforzadas)</v>
      </c>
      <c r="V181" s="54" t="s">
        <v>237</v>
      </c>
      <c r="W181" s="132" t="str">
        <f>IFERROR(VLOOKUP(V181,TD!$N$33:$O$45,2,0)," ")</f>
        <v>Estaciones de bomberos adecuadas</v>
      </c>
      <c r="X181" s="54" t="str">
        <f t="shared" si="9"/>
        <v>014_Estaciones de bomberos adecuadas</v>
      </c>
      <c r="Y181" s="54" t="str">
        <f t="shared" si="10"/>
        <v>08-Infraestructura física, mantenimiento y dotación (Sedes construidas, mantenidas reforzadas) 014_Estaciones de bomberos adecuadas</v>
      </c>
      <c r="Z181" s="132" t="str">
        <f t="shared" si="11"/>
        <v>O23011745032024025508014</v>
      </c>
      <c r="AA181" s="132" t="str">
        <f>IFERROR(VLOOKUP(Y181,TD!$K$46:$L$64,2,0)," ")</f>
        <v>PM/0131/0108/45030140255</v>
      </c>
      <c r="AB181" s="57" t="s">
        <v>103</v>
      </c>
      <c r="AC181" s="133" t="s">
        <v>205</v>
      </c>
    </row>
    <row r="182" spans="2:29" s="28" customFormat="1" ht="99.75">
      <c r="B182" s="85">
        <v>20240638</v>
      </c>
      <c r="C182" s="53" t="s">
        <v>210</v>
      </c>
      <c r="D182" s="130" t="s">
        <v>170</v>
      </c>
      <c r="E182" s="54" t="s">
        <v>456</v>
      </c>
      <c r="F182" s="130" t="s">
        <v>485</v>
      </c>
      <c r="G182" s="130" t="s">
        <v>110</v>
      </c>
      <c r="H182" s="55" t="s">
        <v>492</v>
      </c>
      <c r="I182" s="131">
        <v>8</v>
      </c>
      <c r="J182" s="131">
        <v>6</v>
      </c>
      <c r="K182" s="56">
        <v>0</v>
      </c>
      <c r="L182" s="57">
        <v>0</v>
      </c>
      <c r="M182" s="130" t="s">
        <v>173</v>
      </c>
      <c r="N182" s="57" t="s">
        <v>96</v>
      </c>
      <c r="O182" s="54" t="s">
        <v>223</v>
      </c>
      <c r="P182" s="132" t="str">
        <f>IFERROR(VLOOKUP(C182,TD!$B$32:$F$36,2,0)," ")</f>
        <v>O230117</v>
      </c>
      <c r="Q182" s="132" t="str">
        <f>IFERROR(VLOOKUP(C182,TD!$B$32:$F$36,3,0)," ")</f>
        <v>4503</v>
      </c>
      <c r="R182" s="132">
        <f>IFERROR(VLOOKUP(C182,TD!$B$32:$F$36,4,0)," ")</f>
        <v>20240255</v>
      </c>
      <c r="S182" s="54" t="s">
        <v>190</v>
      </c>
      <c r="T182" s="132" t="str">
        <f>IFERROR(VLOOKUP(S182,TD!$J$33:$K$43,2,0)," ")</f>
        <v>Servicio de dotación y equipamento para el personal operativo</v>
      </c>
      <c r="U182" s="54" t="str">
        <f t="shared" si="8"/>
        <v>10-Servicio de dotación y equipamento para el personal operativo</v>
      </c>
      <c r="V182" s="54" t="s">
        <v>233</v>
      </c>
      <c r="W182" s="132" t="str">
        <f>IFERROR(VLOOKUP(V182,TD!$N$33:$O$45,2,0)," ")</f>
        <v>Servicio de atención a emergencias y desastres</v>
      </c>
      <c r="X182" s="54" t="str">
        <f t="shared" si="9"/>
        <v>004_Servicio de atención a emergencias y desastres</v>
      </c>
      <c r="Y182" s="54" t="str">
        <f t="shared" si="10"/>
        <v>10-Servicio de dotación y equipamento para el personal operativo 004_Servicio de atención a emergencias y desastres</v>
      </c>
      <c r="Z182" s="132" t="str">
        <f t="shared" si="11"/>
        <v>O23011745032024025510004</v>
      </c>
      <c r="AA182" s="132" t="str">
        <f>IFERROR(VLOOKUP(Y182,TD!$K$46:$L$64,2,0)," ")</f>
        <v>PM/0131/0110/45030040255</v>
      </c>
      <c r="AB182" s="57" t="s">
        <v>88</v>
      </c>
      <c r="AC182" s="133" t="s">
        <v>205</v>
      </c>
    </row>
    <row r="183" spans="2:29" s="28" customFormat="1" ht="57">
      <c r="B183" s="85">
        <v>20240767</v>
      </c>
      <c r="C183" s="53" t="s">
        <v>209</v>
      </c>
      <c r="D183" s="130" t="s">
        <v>47</v>
      </c>
      <c r="E183" s="54" t="s">
        <v>351</v>
      </c>
      <c r="F183" s="130" t="s">
        <v>352</v>
      </c>
      <c r="G183" s="130" t="s">
        <v>156</v>
      </c>
      <c r="H183" s="119">
        <v>80111600</v>
      </c>
      <c r="I183" s="131">
        <v>8</v>
      </c>
      <c r="J183" s="131">
        <v>4</v>
      </c>
      <c r="K183" s="56">
        <v>0</v>
      </c>
      <c r="L183" s="57">
        <v>30000000</v>
      </c>
      <c r="M183" s="130" t="s">
        <v>173</v>
      </c>
      <c r="N183" s="57" t="s">
        <v>114</v>
      </c>
      <c r="O183" s="54" t="s">
        <v>220</v>
      </c>
      <c r="P183" s="132" t="str">
        <f>IFERROR(VLOOKUP(C183,TD!$B$32:$F$36,2,0)," ")</f>
        <v>O230117</v>
      </c>
      <c r="Q183" s="132" t="str">
        <f>IFERROR(VLOOKUP(C183,TD!$B$32:$F$36,3,0)," ")</f>
        <v>4599</v>
      </c>
      <c r="R183" s="132">
        <f>IFERROR(VLOOKUP(C183,TD!$B$32:$F$36,4,0)," ")</f>
        <v>20240207</v>
      </c>
      <c r="S183" s="54" t="s">
        <v>186</v>
      </c>
      <c r="T183" s="132" t="str">
        <f>IFERROR(VLOOKUP(S183,TD!$J$33:$K$43,2,0)," ")</f>
        <v>Infraestructura física, mantenimiento y dotación (Sedes construidas, mantenidas reforzadas)</v>
      </c>
      <c r="U183" s="54" t="str">
        <f t="shared" si="8"/>
        <v>08-Infraestructura física, mantenimiento y dotación (Sedes construidas, mantenidas reforzadas)</v>
      </c>
      <c r="V183" s="54" t="s">
        <v>239</v>
      </c>
      <c r="W183" s="132" t="str">
        <f>IFERROR(VLOOKUP(V183,TD!$N$33:$O$45,2,0)," ")</f>
        <v>Sedes mantenidas</v>
      </c>
      <c r="X183" s="54" t="str">
        <f t="shared" si="9"/>
        <v>016_Sedes mantenidas</v>
      </c>
      <c r="Y183" s="54" t="str">
        <f t="shared" si="10"/>
        <v>08-Infraestructura física, mantenimiento y dotación (Sedes construidas, mantenidas reforzadas) 016_Sedes mantenidas</v>
      </c>
      <c r="Z183" s="132" t="str">
        <f t="shared" si="11"/>
        <v>O23011745992024020708016</v>
      </c>
      <c r="AA183" s="132" t="str">
        <f>IFERROR(VLOOKUP(Y183,TD!$K$46:$L$64,2,0)," ")</f>
        <v>PM/0131/0108/45990160207</v>
      </c>
      <c r="AB183" s="57" t="s">
        <v>139</v>
      </c>
      <c r="AC183" s="133" t="s">
        <v>205</v>
      </c>
    </row>
    <row r="184" spans="2:29" s="28" customFormat="1" ht="57">
      <c r="B184" s="85">
        <v>20240768</v>
      </c>
      <c r="C184" s="53" t="s">
        <v>209</v>
      </c>
      <c r="D184" s="130" t="s">
        <v>47</v>
      </c>
      <c r="E184" s="54" t="s">
        <v>351</v>
      </c>
      <c r="F184" s="130" t="s">
        <v>353</v>
      </c>
      <c r="G184" s="130" t="s">
        <v>156</v>
      </c>
      <c r="H184" s="119">
        <v>80111600</v>
      </c>
      <c r="I184" s="131">
        <v>7</v>
      </c>
      <c r="J184" s="131">
        <v>5</v>
      </c>
      <c r="K184" s="56">
        <v>0</v>
      </c>
      <c r="L184" s="57">
        <v>35000000</v>
      </c>
      <c r="M184" s="130" t="s">
        <v>173</v>
      </c>
      <c r="N184" s="57" t="s">
        <v>114</v>
      </c>
      <c r="O184" s="54" t="s">
        <v>220</v>
      </c>
      <c r="P184" s="132" t="str">
        <f>IFERROR(VLOOKUP(C184,TD!$B$32:$F$36,2,0)," ")</f>
        <v>O230117</v>
      </c>
      <c r="Q184" s="132" t="str">
        <f>IFERROR(VLOOKUP(C184,TD!$B$32:$F$36,3,0)," ")</f>
        <v>4599</v>
      </c>
      <c r="R184" s="132">
        <f>IFERROR(VLOOKUP(C184,TD!$B$32:$F$36,4,0)," ")</f>
        <v>20240207</v>
      </c>
      <c r="S184" s="54" t="s">
        <v>186</v>
      </c>
      <c r="T184" s="132" t="str">
        <f>IFERROR(VLOOKUP(S184,TD!$J$33:$K$43,2,0)," ")</f>
        <v>Infraestructura física, mantenimiento y dotación (Sedes construidas, mantenidas reforzadas)</v>
      </c>
      <c r="U184" s="54" t="str">
        <f t="shared" si="8"/>
        <v>08-Infraestructura física, mantenimiento y dotación (Sedes construidas, mantenidas reforzadas)</v>
      </c>
      <c r="V184" s="54" t="s">
        <v>239</v>
      </c>
      <c r="W184" s="132" t="str">
        <f>IFERROR(VLOOKUP(V184,TD!$N$33:$O$45,2,0)," ")</f>
        <v>Sedes mantenidas</v>
      </c>
      <c r="X184" s="54" t="str">
        <f t="shared" si="9"/>
        <v>016_Sedes mantenidas</v>
      </c>
      <c r="Y184" s="54" t="str">
        <f t="shared" si="10"/>
        <v>08-Infraestructura física, mantenimiento y dotación (Sedes construidas, mantenidas reforzadas) 016_Sedes mantenidas</v>
      </c>
      <c r="Z184" s="132" t="str">
        <f t="shared" si="11"/>
        <v>O23011745992024020708016</v>
      </c>
      <c r="AA184" s="132" t="str">
        <f>IFERROR(VLOOKUP(Y184,TD!$K$46:$L$64,2,0)," ")</f>
        <v>PM/0131/0108/45990160207</v>
      </c>
      <c r="AB184" s="57" t="s">
        <v>139</v>
      </c>
      <c r="AC184" s="133" t="s">
        <v>205</v>
      </c>
    </row>
    <row r="185" spans="2:29" s="28" customFormat="1" ht="71.25">
      <c r="B185" s="85">
        <v>20240769</v>
      </c>
      <c r="C185" s="53" t="s">
        <v>209</v>
      </c>
      <c r="D185" s="130" t="s">
        <v>47</v>
      </c>
      <c r="E185" s="54" t="s">
        <v>351</v>
      </c>
      <c r="F185" s="130" t="s">
        <v>354</v>
      </c>
      <c r="G185" s="130" t="s">
        <v>156</v>
      </c>
      <c r="H185" s="119">
        <v>80111600</v>
      </c>
      <c r="I185" s="131">
        <v>8</v>
      </c>
      <c r="J185" s="131">
        <v>4</v>
      </c>
      <c r="K185" s="56">
        <v>0</v>
      </c>
      <c r="L185" s="57">
        <v>32000000</v>
      </c>
      <c r="M185" s="130" t="s">
        <v>173</v>
      </c>
      <c r="N185" s="57" t="s">
        <v>114</v>
      </c>
      <c r="O185" s="54" t="s">
        <v>220</v>
      </c>
      <c r="P185" s="132" t="str">
        <f>IFERROR(VLOOKUP(C185,TD!$B$32:$F$36,2,0)," ")</f>
        <v>O230117</v>
      </c>
      <c r="Q185" s="132" t="str">
        <f>IFERROR(VLOOKUP(C185,TD!$B$32:$F$36,3,0)," ")</f>
        <v>4599</v>
      </c>
      <c r="R185" s="132">
        <f>IFERROR(VLOOKUP(C185,TD!$B$32:$F$36,4,0)," ")</f>
        <v>20240207</v>
      </c>
      <c r="S185" s="54" t="s">
        <v>186</v>
      </c>
      <c r="T185" s="132" t="str">
        <f>IFERROR(VLOOKUP(S185,TD!$J$33:$K$43,2,0)," ")</f>
        <v>Infraestructura física, mantenimiento y dotación (Sedes construidas, mantenidas reforzadas)</v>
      </c>
      <c r="U185" s="54" t="str">
        <f t="shared" si="8"/>
        <v>08-Infraestructura física, mantenimiento y dotación (Sedes construidas, mantenidas reforzadas)</v>
      </c>
      <c r="V185" s="54" t="s">
        <v>239</v>
      </c>
      <c r="W185" s="132" t="str">
        <f>IFERROR(VLOOKUP(V185,TD!$N$33:$O$45,2,0)," ")</f>
        <v>Sedes mantenidas</v>
      </c>
      <c r="X185" s="54" t="str">
        <f t="shared" si="9"/>
        <v>016_Sedes mantenidas</v>
      </c>
      <c r="Y185" s="54" t="str">
        <f t="shared" si="10"/>
        <v>08-Infraestructura física, mantenimiento y dotación (Sedes construidas, mantenidas reforzadas) 016_Sedes mantenidas</v>
      </c>
      <c r="Z185" s="132" t="str">
        <f t="shared" si="11"/>
        <v>O23011745992024020708016</v>
      </c>
      <c r="AA185" s="132" t="str">
        <f>IFERROR(VLOOKUP(Y185,TD!$K$46:$L$64,2,0)," ")</f>
        <v>PM/0131/0108/45990160207</v>
      </c>
      <c r="AB185" s="57" t="s">
        <v>139</v>
      </c>
      <c r="AC185" s="133" t="s">
        <v>205</v>
      </c>
    </row>
    <row r="186" spans="2:29" s="28" customFormat="1" ht="57">
      <c r="B186" s="85">
        <v>20240770</v>
      </c>
      <c r="C186" s="53" t="s">
        <v>209</v>
      </c>
      <c r="D186" s="130" t="s">
        <v>47</v>
      </c>
      <c r="E186" s="54" t="s">
        <v>351</v>
      </c>
      <c r="F186" s="130" t="s">
        <v>355</v>
      </c>
      <c r="G186" s="130" t="s">
        <v>156</v>
      </c>
      <c r="H186" s="119">
        <v>80111600</v>
      </c>
      <c r="I186" s="131">
        <v>8</v>
      </c>
      <c r="J186" s="131">
        <v>4</v>
      </c>
      <c r="K186" s="56">
        <v>0</v>
      </c>
      <c r="L186" s="57">
        <v>24000000</v>
      </c>
      <c r="M186" s="130" t="s">
        <v>173</v>
      </c>
      <c r="N186" s="57" t="s">
        <v>114</v>
      </c>
      <c r="O186" s="54" t="s">
        <v>220</v>
      </c>
      <c r="P186" s="132" t="str">
        <f>IFERROR(VLOOKUP(C186,TD!$B$32:$F$36,2,0)," ")</f>
        <v>O230117</v>
      </c>
      <c r="Q186" s="132" t="str">
        <f>IFERROR(VLOOKUP(C186,TD!$B$32:$F$36,3,0)," ")</f>
        <v>4599</v>
      </c>
      <c r="R186" s="132">
        <f>IFERROR(VLOOKUP(C186,TD!$B$32:$F$36,4,0)," ")</f>
        <v>20240207</v>
      </c>
      <c r="S186" s="54" t="s">
        <v>186</v>
      </c>
      <c r="T186" s="132" t="str">
        <f>IFERROR(VLOOKUP(S186,TD!$J$33:$K$43,2,0)," ")</f>
        <v>Infraestructura física, mantenimiento y dotación (Sedes construidas, mantenidas reforzadas)</v>
      </c>
      <c r="U186" s="54" t="str">
        <f t="shared" si="8"/>
        <v>08-Infraestructura física, mantenimiento y dotación (Sedes construidas, mantenidas reforzadas)</v>
      </c>
      <c r="V186" s="54" t="s">
        <v>239</v>
      </c>
      <c r="W186" s="132" t="str">
        <f>IFERROR(VLOOKUP(V186,TD!$N$33:$O$45,2,0)," ")</f>
        <v>Sedes mantenidas</v>
      </c>
      <c r="X186" s="54" t="str">
        <f t="shared" si="9"/>
        <v>016_Sedes mantenidas</v>
      </c>
      <c r="Y186" s="54" t="str">
        <f t="shared" si="10"/>
        <v>08-Infraestructura física, mantenimiento y dotación (Sedes construidas, mantenidas reforzadas) 016_Sedes mantenidas</v>
      </c>
      <c r="Z186" s="132" t="str">
        <f t="shared" si="11"/>
        <v>O23011745992024020708016</v>
      </c>
      <c r="AA186" s="132" t="str">
        <f>IFERROR(VLOOKUP(Y186,TD!$K$46:$L$64,2,0)," ")</f>
        <v>PM/0131/0108/45990160207</v>
      </c>
      <c r="AB186" s="57" t="s">
        <v>139</v>
      </c>
      <c r="AC186" s="133" t="s">
        <v>205</v>
      </c>
    </row>
    <row r="187" spans="2:29" s="28" customFormat="1" ht="57">
      <c r="B187" s="85">
        <v>20240771</v>
      </c>
      <c r="C187" s="53" t="s">
        <v>209</v>
      </c>
      <c r="D187" s="130" t="s">
        <v>47</v>
      </c>
      <c r="E187" s="54" t="s">
        <v>351</v>
      </c>
      <c r="F187" s="130" t="s">
        <v>355</v>
      </c>
      <c r="G187" s="130" t="s">
        <v>156</v>
      </c>
      <c r="H187" s="119">
        <v>80111600</v>
      </c>
      <c r="I187" s="131">
        <v>8</v>
      </c>
      <c r="J187" s="131">
        <v>4</v>
      </c>
      <c r="K187" s="56">
        <v>0</v>
      </c>
      <c r="L187" s="57">
        <v>24000000</v>
      </c>
      <c r="M187" s="130" t="s">
        <v>173</v>
      </c>
      <c r="N187" s="57" t="s">
        <v>114</v>
      </c>
      <c r="O187" s="54" t="s">
        <v>220</v>
      </c>
      <c r="P187" s="132" t="str">
        <f>IFERROR(VLOOKUP(C187,TD!$B$32:$F$36,2,0)," ")</f>
        <v>O230117</v>
      </c>
      <c r="Q187" s="132" t="str">
        <f>IFERROR(VLOOKUP(C187,TD!$B$32:$F$36,3,0)," ")</f>
        <v>4599</v>
      </c>
      <c r="R187" s="132">
        <f>IFERROR(VLOOKUP(C187,TD!$B$32:$F$36,4,0)," ")</f>
        <v>20240207</v>
      </c>
      <c r="S187" s="54" t="s">
        <v>186</v>
      </c>
      <c r="T187" s="132" t="str">
        <f>IFERROR(VLOOKUP(S187,TD!$J$33:$K$43,2,0)," ")</f>
        <v>Infraestructura física, mantenimiento y dotación (Sedes construidas, mantenidas reforzadas)</v>
      </c>
      <c r="U187" s="54" t="str">
        <f t="shared" si="8"/>
        <v>08-Infraestructura física, mantenimiento y dotación (Sedes construidas, mantenidas reforzadas)</v>
      </c>
      <c r="V187" s="54" t="s">
        <v>239</v>
      </c>
      <c r="W187" s="132" t="str">
        <f>IFERROR(VLOOKUP(V187,TD!$N$33:$O$45,2,0)," ")</f>
        <v>Sedes mantenidas</v>
      </c>
      <c r="X187" s="54" t="str">
        <f t="shared" si="9"/>
        <v>016_Sedes mantenidas</v>
      </c>
      <c r="Y187" s="54" t="str">
        <f t="shared" si="10"/>
        <v>08-Infraestructura física, mantenimiento y dotación (Sedes construidas, mantenidas reforzadas) 016_Sedes mantenidas</v>
      </c>
      <c r="Z187" s="132" t="str">
        <f t="shared" si="11"/>
        <v>O23011745992024020708016</v>
      </c>
      <c r="AA187" s="132" t="str">
        <f>IFERROR(VLOOKUP(Y187,TD!$K$46:$L$64,2,0)," ")</f>
        <v>PM/0131/0108/45990160207</v>
      </c>
      <c r="AB187" s="57" t="s">
        <v>139</v>
      </c>
      <c r="AC187" s="133" t="s">
        <v>205</v>
      </c>
    </row>
    <row r="188" spans="2:29" s="28" customFormat="1" ht="57">
      <c r="B188" s="85">
        <v>20240772</v>
      </c>
      <c r="C188" s="53" t="s">
        <v>209</v>
      </c>
      <c r="D188" s="130" t="s">
        <v>47</v>
      </c>
      <c r="E188" s="54" t="s">
        <v>351</v>
      </c>
      <c r="F188" s="130" t="s">
        <v>355</v>
      </c>
      <c r="G188" s="130" t="s">
        <v>156</v>
      </c>
      <c r="H188" s="119">
        <v>80111600</v>
      </c>
      <c r="I188" s="131">
        <v>8</v>
      </c>
      <c r="J188" s="131">
        <v>3</v>
      </c>
      <c r="K188" s="56">
        <v>0</v>
      </c>
      <c r="L188" s="57">
        <v>18000000</v>
      </c>
      <c r="M188" s="130" t="s">
        <v>173</v>
      </c>
      <c r="N188" s="57" t="s">
        <v>114</v>
      </c>
      <c r="O188" s="54" t="s">
        <v>220</v>
      </c>
      <c r="P188" s="132" t="str">
        <f>IFERROR(VLOOKUP(C188,TD!$B$32:$F$36,2,0)," ")</f>
        <v>O230117</v>
      </c>
      <c r="Q188" s="132" t="str">
        <f>IFERROR(VLOOKUP(C188,TD!$B$32:$F$36,3,0)," ")</f>
        <v>4599</v>
      </c>
      <c r="R188" s="132">
        <f>IFERROR(VLOOKUP(C188,TD!$B$32:$F$36,4,0)," ")</f>
        <v>20240207</v>
      </c>
      <c r="S188" s="54" t="s">
        <v>186</v>
      </c>
      <c r="T188" s="132" t="str">
        <f>IFERROR(VLOOKUP(S188,TD!$J$33:$K$43,2,0)," ")</f>
        <v>Infraestructura física, mantenimiento y dotación (Sedes construidas, mantenidas reforzadas)</v>
      </c>
      <c r="U188" s="54" t="str">
        <f t="shared" si="8"/>
        <v>08-Infraestructura física, mantenimiento y dotación (Sedes construidas, mantenidas reforzadas)</v>
      </c>
      <c r="V188" s="54" t="s">
        <v>239</v>
      </c>
      <c r="W188" s="132" t="str">
        <f>IFERROR(VLOOKUP(V188,TD!$N$33:$O$45,2,0)," ")</f>
        <v>Sedes mantenidas</v>
      </c>
      <c r="X188" s="54" t="str">
        <f t="shared" si="9"/>
        <v>016_Sedes mantenidas</v>
      </c>
      <c r="Y188" s="54" t="str">
        <f t="shared" si="10"/>
        <v>08-Infraestructura física, mantenimiento y dotación (Sedes construidas, mantenidas reforzadas) 016_Sedes mantenidas</v>
      </c>
      <c r="Z188" s="132" t="str">
        <f t="shared" si="11"/>
        <v>O23011745992024020708016</v>
      </c>
      <c r="AA188" s="132" t="str">
        <f>IFERROR(VLOOKUP(Y188,TD!$K$46:$L$64,2,0)," ")</f>
        <v>PM/0131/0108/45990160207</v>
      </c>
      <c r="AB188" s="57" t="s">
        <v>139</v>
      </c>
      <c r="AC188" s="133" t="s">
        <v>205</v>
      </c>
    </row>
    <row r="189" spans="2:29" s="28" customFormat="1" ht="57">
      <c r="B189" s="85">
        <v>20240773</v>
      </c>
      <c r="C189" s="53" t="s">
        <v>209</v>
      </c>
      <c r="D189" s="130" t="s">
        <v>47</v>
      </c>
      <c r="E189" s="54" t="s">
        <v>351</v>
      </c>
      <c r="F189" s="130" t="s">
        <v>356</v>
      </c>
      <c r="G189" s="130" t="s">
        <v>156</v>
      </c>
      <c r="H189" s="119">
        <v>80111600</v>
      </c>
      <c r="I189" s="131">
        <v>9</v>
      </c>
      <c r="J189" s="131">
        <v>4</v>
      </c>
      <c r="K189" s="56">
        <v>0</v>
      </c>
      <c r="L189" s="57">
        <v>20000000</v>
      </c>
      <c r="M189" s="130" t="s">
        <v>173</v>
      </c>
      <c r="N189" s="57" t="s">
        <v>114</v>
      </c>
      <c r="O189" s="54" t="s">
        <v>220</v>
      </c>
      <c r="P189" s="132" t="str">
        <f>IFERROR(VLOOKUP(C189,TD!$B$32:$F$36,2,0)," ")</f>
        <v>O230117</v>
      </c>
      <c r="Q189" s="132" t="str">
        <f>IFERROR(VLOOKUP(C189,TD!$B$32:$F$36,3,0)," ")</f>
        <v>4599</v>
      </c>
      <c r="R189" s="132">
        <f>IFERROR(VLOOKUP(C189,TD!$B$32:$F$36,4,0)," ")</f>
        <v>20240207</v>
      </c>
      <c r="S189" s="54" t="s">
        <v>186</v>
      </c>
      <c r="T189" s="132" t="str">
        <f>IFERROR(VLOOKUP(S189,TD!$J$33:$K$43,2,0)," ")</f>
        <v>Infraestructura física, mantenimiento y dotación (Sedes construidas, mantenidas reforzadas)</v>
      </c>
      <c r="U189" s="54" t="str">
        <f t="shared" si="8"/>
        <v>08-Infraestructura física, mantenimiento y dotación (Sedes construidas, mantenidas reforzadas)</v>
      </c>
      <c r="V189" s="54" t="s">
        <v>239</v>
      </c>
      <c r="W189" s="132" t="str">
        <f>IFERROR(VLOOKUP(V189,TD!$N$33:$O$45,2,0)," ")</f>
        <v>Sedes mantenidas</v>
      </c>
      <c r="X189" s="54" t="str">
        <f t="shared" si="9"/>
        <v>016_Sedes mantenidas</v>
      </c>
      <c r="Y189" s="54" t="str">
        <f t="shared" si="10"/>
        <v>08-Infraestructura física, mantenimiento y dotación (Sedes construidas, mantenidas reforzadas) 016_Sedes mantenidas</v>
      </c>
      <c r="Z189" s="132" t="str">
        <f t="shared" si="11"/>
        <v>O23011745992024020708016</v>
      </c>
      <c r="AA189" s="132" t="str">
        <f>IFERROR(VLOOKUP(Y189,TD!$K$46:$L$64,2,0)," ")</f>
        <v>PM/0131/0108/45990160207</v>
      </c>
      <c r="AB189" s="57" t="s">
        <v>139</v>
      </c>
      <c r="AC189" s="133" t="s">
        <v>205</v>
      </c>
    </row>
    <row r="190" spans="2:29" s="28" customFormat="1" ht="57">
      <c r="B190" s="85">
        <v>20240774</v>
      </c>
      <c r="C190" s="53" t="s">
        <v>209</v>
      </c>
      <c r="D190" s="130" t="s">
        <v>47</v>
      </c>
      <c r="E190" s="54" t="s">
        <v>351</v>
      </c>
      <c r="F190" s="130" t="s">
        <v>357</v>
      </c>
      <c r="G190" s="130" t="s">
        <v>157</v>
      </c>
      <c r="H190" s="119">
        <v>80111600</v>
      </c>
      <c r="I190" s="131">
        <v>8</v>
      </c>
      <c r="J190" s="131">
        <v>4</v>
      </c>
      <c r="K190" s="56">
        <v>7</v>
      </c>
      <c r="L190" s="57">
        <v>14058000</v>
      </c>
      <c r="M190" s="130" t="s">
        <v>173</v>
      </c>
      <c r="N190" s="57" t="s">
        <v>114</v>
      </c>
      <c r="O190" s="54" t="s">
        <v>220</v>
      </c>
      <c r="P190" s="132" t="str">
        <f>IFERROR(VLOOKUP(C190,TD!$B$32:$F$36,2,0)," ")</f>
        <v>O230117</v>
      </c>
      <c r="Q190" s="132" t="str">
        <f>IFERROR(VLOOKUP(C190,TD!$B$32:$F$36,3,0)," ")</f>
        <v>4599</v>
      </c>
      <c r="R190" s="132">
        <f>IFERROR(VLOOKUP(C190,TD!$B$32:$F$36,4,0)," ")</f>
        <v>20240207</v>
      </c>
      <c r="S190" s="54" t="s">
        <v>186</v>
      </c>
      <c r="T190" s="132" t="str">
        <f>IFERROR(VLOOKUP(S190,TD!$J$33:$K$43,2,0)," ")</f>
        <v>Infraestructura física, mantenimiento y dotación (Sedes construidas, mantenidas reforzadas)</v>
      </c>
      <c r="U190" s="54" t="str">
        <f t="shared" si="8"/>
        <v>08-Infraestructura física, mantenimiento y dotación (Sedes construidas, mantenidas reforzadas)</v>
      </c>
      <c r="V190" s="54" t="s">
        <v>239</v>
      </c>
      <c r="W190" s="132" t="str">
        <f>IFERROR(VLOOKUP(V190,TD!$N$33:$O$45,2,0)," ")</f>
        <v>Sedes mantenidas</v>
      </c>
      <c r="X190" s="54" t="str">
        <f t="shared" si="9"/>
        <v>016_Sedes mantenidas</v>
      </c>
      <c r="Y190" s="54" t="str">
        <f t="shared" si="10"/>
        <v>08-Infraestructura física, mantenimiento y dotación (Sedes construidas, mantenidas reforzadas) 016_Sedes mantenidas</v>
      </c>
      <c r="Z190" s="132" t="str">
        <f t="shared" si="11"/>
        <v>O23011745992024020708016</v>
      </c>
      <c r="AA190" s="132" t="str">
        <f>IFERROR(VLOOKUP(Y190,TD!$K$46:$L$64,2,0)," ")</f>
        <v>PM/0131/0108/45990160207</v>
      </c>
      <c r="AB190" s="57" t="s">
        <v>139</v>
      </c>
      <c r="AC190" s="133" t="s">
        <v>205</v>
      </c>
    </row>
    <row r="191" spans="2:29" s="28" customFormat="1" ht="57">
      <c r="B191" s="85">
        <v>20240775</v>
      </c>
      <c r="C191" s="53" t="s">
        <v>209</v>
      </c>
      <c r="D191" s="130" t="s">
        <v>47</v>
      </c>
      <c r="E191" s="54" t="s">
        <v>351</v>
      </c>
      <c r="F191" s="130" t="s">
        <v>358</v>
      </c>
      <c r="G191" s="130" t="s">
        <v>157</v>
      </c>
      <c r="H191" s="119">
        <v>80111600</v>
      </c>
      <c r="I191" s="131">
        <v>9</v>
      </c>
      <c r="J191" s="131">
        <v>4</v>
      </c>
      <c r="K191" s="56">
        <v>0</v>
      </c>
      <c r="L191" s="57">
        <v>9500000</v>
      </c>
      <c r="M191" s="130" t="s">
        <v>173</v>
      </c>
      <c r="N191" s="57" t="s">
        <v>114</v>
      </c>
      <c r="O191" s="54" t="s">
        <v>220</v>
      </c>
      <c r="P191" s="132" t="str">
        <f>IFERROR(VLOOKUP(C191,TD!$B$32:$F$36,2,0)," ")</f>
        <v>O230117</v>
      </c>
      <c r="Q191" s="132" t="str">
        <f>IFERROR(VLOOKUP(C191,TD!$B$32:$F$36,3,0)," ")</f>
        <v>4599</v>
      </c>
      <c r="R191" s="132">
        <f>IFERROR(VLOOKUP(C191,TD!$B$32:$F$36,4,0)," ")</f>
        <v>20240207</v>
      </c>
      <c r="S191" s="54" t="s">
        <v>186</v>
      </c>
      <c r="T191" s="132" t="str">
        <f>IFERROR(VLOOKUP(S191,TD!$J$33:$K$43,2,0)," ")</f>
        <v>Infraestructura física, mantenimiento y dotación (Sedes construidas, mantenidas reforzadas)</v>
      </c>
      <c r="U191" s="54" t="str">
        <f t="shared" si="8"/>
        <v>08-Infraestructura física, mantenimiento y dotación (Sedes construidas, mantenidas reforzadas)</v>
      </c>
      <c r="V191" s="54" t="s">
        <v>239</v>
      </c>
      <c r="W191" s="132" t="str">
        <f>IFERROR(VLOOKUP(V191,TD!$N$33:$O$45,2,0)," ")</f>
        <v>Sedes mantenidas</v>
      </c>
      <c r="X191" s="54" t="str">
        <f t="shared" si="9"/>
        <v>016_Sedes mantenidas</v>
      </c>
      <c r="Y191" s="54" t="str">
        <f t="shared" si="10"/>
        <v>08-Infraestructura física, mantenimiento y dotación (Sedes construidas, mantenidas reforzadas) 016_Sedes mantenidas</v>
      </c>
      <c r="Z191" s="132" t="str">
        <f t="shared" si="11"/>
        <v>O23011745992024020708016</v>
      </c>
      <c r="AA191" s="132" t="str">
        <f>IFERROR(VLOOKUP(Y191,TD!$K$46:$L$64,2,0)," ")</f>
        <v>PM/0131/0108/45990160207</v>
      </c>
      <c r="AB191" s="57" t="s">
        <v>139</v>
      </c>
      <c r="AC191" s="133" t="s">
        <v>205</v>
      </c>
    </row>
    <row r="192" spans="2:29" s="28" customFormat="1" ht="57">
      <c r="B192" s="85">
        <v>20240776</v>
      </c>
      <c r="C192" s="53" t="s">
        <v>209</v>
      </c>
      <c r="D192" s="130" t="s">
        <v>164</v>
      </c>
      <c r="E192" s="54" t="s">
        <v>359</v>
      </c>
      <c r="F192" s="130" t="s">
        <v>360</v>
      </c>
      <c r="G192" s="130" t="s">
        <v>156</v>
      </c>
      <c r="H192" s="119">
        <v>80111600</v>
      </c>
      <c r="I192" s="131">
        <v>8</v>
      </c>
      <c r="J192" s="131">
        <v>5</v>
      </c>
      <c r="K192" s="56">
        <v>17</v>
      </c>
      <c r="L192" s="57">
        <v>40636667</v>
      </c>
      <c r="M192" s="130" t="s">
        <v>173</v>
      </c>
      <c r="N192" s="57" t="s">
        <v>114</v>
      </c>
      <c r="O192" s="54" t="s">
        <v>220</v>
      </c>
      <c r="P192" s="132" t="str">
        <f>IFERROR(VLOOKUP(C192,TD!$B$32:$F$36,2,0)," ")</f>
        <v>O230117</v>
      </c>
      <c r="Q192" s="132" t="str">
        <f>IFERROR(VLOOKUP(C192,TD!$B$32:$F$36,3,0)," ")</f>
        <v>4599</v>
      </c>
      <c r="R192" s="132">
        <f>IFERROR(VLOOKUP(C192,TD!$B$32:$F$36,4,0)," ")</f>
        <v>20240207</v>
      </c>
      <c r="S192" s="54" t="s">
        <v>186</v>
      </c>
      <c r="T192" s="132" t="str">
        <f>IFERROR(VLOOKUP(S192,TD!$J$33:$K$43,2,0)," ")</f>
        <v>Infraestructura física, mantenimiento y dotación (Sedes construidas, mantenidas reforzadas)</v>
      </c>
      <c r="U192" s="54" t="str">
        <f t="shared" si="8"/>
        <v>08-Infraestructura física, mantenimiento y dotación (Sedes construidas, mantenidas reforzadas)</v>
      </c>
      <c r="V192" s="54" t="s">
        <v>239</v>
      </c>
      <c r="W192" s="132" t="str">
        <f>IFERROR(VLOOKUP(V192,TD!$N$33:$O$45,2,0)," ")</f>
        <v>Sedes mantenidas</v>
      </c>
      <c r="X192" s="54" t="str">
        <f t="shared" si="9"/>
        <v>016_Sedes mantenidas</v>
      </c>
      <c r="Y192" s="54" t="str">
        <f t="shared" si="10"/>
        <v>08-Infraestructura física, mantenimiento y dotación (Sedes construidas, mantenidas reforzadas) 016_Sedes mantenidas</v>
      </c>
      <c r="Z192" s="132" t="str">
        <f t="shared" si="11"/>
        <v>O23011745992024020708016</v>
      </c>
      <c r="AA192" s="132" t="str">
        <f>IFERROR(VLOOKUP(Y192,TD!$K$46:$L$64,2,0)," ")</f>
        <v>PM/0131/0108/45990160207</v>
      </c>
      <c r="AB192" s="57" t="s">
        <v>139</v>
      </c>
      <c r="AC192" s="133" t="s">
        <v>205</v>
      </c>
    </row>
    <row r="193" spans="2:29" s="28" customFormat="1" ht="57">
      <c r="B193" s="85">
        <v>20240777</v>
      </c>
      <c r="C193" s="53" t="s">
        <v>209</v>
      </c>
      <c r="D193" s="130" t="s">
        <v>164</v>
      </c>
      <c r="E193" s="54" t="s">
        <v>359</v>
      </c>
      <c r="F193" s="130" t="s">
        <v>361</v>
      </c>
      <c r="G193" s="130" t="s">
        <v>156</v>
      </c>
      <c r="H193" s="119">
        <v>80111600</v>
      </c>
      <c r="I193" s="131">
        <v>8</v>
      </c>
      <c r="J193" s="131">
        <v>5</v>
      </c>
      <c r="K193" s="56">
        <v>8</v>
      </c>
      <c r="L193" s="57">
        <v>38446667</v>
      </c>
      <c r="M193" s="130" t="s">
        <v>173</v>
      </c>
      <c r="N193" s="57" t="s">
        <v>114</v>
      </c>
      <c r="O193" s="54" t="s">
        <v>220</v>
      </c>
      <c r="P193" s="132" t="str">
        <f>IFERROR(VLOOKUP(C193,TD!$B$32:$F$36,2,0)," ")</f>
        <v>O230117</v>
      </c>
      <c r="Q193" s="132" t="str">
        <f>IFERROR(VLOOKUP(C193,TD!$B$32:$F$36,3,0)," ")</f>
        <v>4599</v>
      </c>
      <c r="R193" s="132">
        <f>IFERROR(VLOOKUP(C193,TD!$B$32:$F$36,4,0)," ")</f>
        <v>20240207</v>
      </c>
      <c r="S193" s="54" t="s">
        <v>186</v>
      </c>
      <c r="T193" s="132" t="str">
        <f>IFERROR(VLOOKUP(S193,TD!$J$33:$K$43,2,0)," ")</f>
        <v>Infraestructura física, mantenimiento y dotación (Sedes construidas, mantenidas reforzadas)</v>
      </c>
      <c r="U193" s="54" t="str">
        <f t="shared" si="8"/>
        <v>08-Infraestructura física, mantenimiento y dotación (Sedes construidas, mantenidas reforzadas)</v>
      </c>
      <c r="V193" s="54" t="s">
        <v>239</v>
      </c>
      <c r="W193" s="132" t="str">
        <f>IFERROR(VLOOKUP(V193,TD!$N$33:$O$45,2,0)," ")</f>
        <v>Sedes mantenidas</v>
      </c>
      <c r="X193" s="54" t="str">
        <f t="shared" si="9"/>
        <v>016_Sedes mantenidas</v>
      </c>
      <c r="Y193" s="54" t="str">
        <f t="shared" si="10"/>
        <v>08-Infraestructura física, mantenimiento y dotación (Sedes construidas, mantenidas reforzadas) 016_Sedes mantenidas</v>
      </c>
      <c r="Z193" s="132" t="str">
        <f t="shared" si="11"/>
        <v>O23011745992024020708016</v>
      </c>
      <c r="AA193" s="132" t="str">
        <f>IFERROR(VLOOKUP(Y193,TD!$K$46:$L$64,2,0)," ")</f>
        <v>PM/0131/0108/45990160207</v>
      </c>
      <c r="AB193" s="57" t="s">
        <v>139</v>
      </c>
      <c r="AC193" s="133" t="s">
        <v>205</v>
      </c>
    </row>
    <row r="194" spans="2:29" s="28" customFormat="1" ht="57">
      <c r="B194" s="85">
        <v>20240778</v>
      </c>
      <c r="C194" s="53" t="s">
        <v>209</v>
      </c>
      <c r="D194" s="130" t="s">
        <v>164</v>
      </c>
      <c r="E194" s="54" t="s">
        <v>359</v>
      </c>
      <c r="F194" s="130" t="s">
        <v>362</v>
      </c>
      <c r="G194" s="130" t="s">
        <v>156</v>
      </c>
      <c r="H194" s="119">
        <v>80111600</v>
      </c>
      <c r="I194" s="131">
        <v>7</v>
      </c>
      <c r="J194" s="131">
        <v>5</v>
      </c>
      <c r="K194" s="56">
        <v>6</v>
      </c>
      <c r="L194" s="57">
        <v>22922507</v>
      </c>
      <c r="M194" s="130" t="s">
        <v>173</v>
      </c>
      <c r="N194" s="57" t="s">
        <v>114</v>
      </c>
      <c r="O194" s="54" t="s">
        <v>220</v>
      </c>
      <c r="P194" s="132" t="str">
        <f>IFERROR(VLOOKUP(C194,TD!$B$32:$F$36,2,0)," ")</f>
        <v>O230117</v>
      </c>
      <c r="Q194" s="132" t="str">
        <f>IFERROR(VLOOKUP(C194,TD!$B$32:$F$36,3,0)," ")</f>
        <v>4599</v>
      </c>
      <c r="R194" s="132">
        <f>IFERROR(VLOOKUP(C194,TD!$B$32:$F$36,4,0)," ")</f>
        <v>20240207</v>
      </c>
      <c r="S194" s="54" t="s">
        <v>186</v>
      </c>
      <c r="T194" s="132" t="str">
        <f>IFERROR(VLOOKUP(S194,TD!$J$33:$K$43,2,0)," ")</f>
        <v>Infraestructura física, mantenimiento y dotación (Sedes construidas, mantenidas reforzadas)</v>
      </c>
      <c r="U194" s="54" t="str">
        <f t="shared" si="8"/>
        <v>08-Infraestructura física, mantenimiento y dotación (Sedes construidas, mantenidas reforzadas)</v>
      </c>
      <c r="V194" s="54" t="s">
        <v>239</v>
      </c>
      <c r="W194" s="132" t="str">
        <f>IFERROR(VLOOKUP(V194,TD!$N$33:$O$45,2,0)," ")</f>
        <v>Sedes mantenidas</v>
      </c>
      <c r="X194" s="54" t="str">
        <f t="shared" si="9"/>
        <v>016_Sedes mantenidas</v>
      </c>
      <c r="Y194" s="54" t="str">
        <f t="shared" si="10"/>
        <v>08-Infraestructura física, mantenimiento y dotación (Sedes construidas, mantenidas reforzadas) 016_Sedes mantenidas</v>
      </c>
      <c r="Z194" s="132" t="str">
        <f t="shared" si="11"/>
        <v>O23011745992024020708016</v>
      </c>
      <c r="AA194" s="132" t="str">
        <f>IFERROR(VLOOKUP(Y194,TD!$K$46:$L$64,2,0)," ")</f>
        <v>PM/0131/0108/45990160207</v>
      </c>
      <c r="AB194" s="57" t="s">
        <v>139</v>
      </c>
      <c r="AC194" s="133" t="s">
        <v>205</v>
      </c>
    </row>
    <row r="195" spans="2:29" s="28" customFormat="1" ht="57">
      <c r="B195" s="85">
        <v>20240780</v>
      </c>
      <c r="C195" s="53" t="s">
        <v>209</v>
      </c>
      <c r="D195" s="130" t="s">
        <v>164</v>
      </c>
      <c r="E195" s="54" t="s">
        <v>359</v>
      </c>
      <c r="F195" s="130" t="s">
        <v>363</v>
      </c>
      <c r="G195" s="130" t="s">
        <v>157</v>
      </c>
      <c r="H195" s="119">
        <v>80111600</v>
      </c>
      <c r="I195" s="131">
        <v>8</v>
      </c>
      <c r="J195" s="131">
        <v>5</v>
      </c>
      <c r="K195" s="56">
        <v>15</v>
      </c>
      <c r="L195" s="57">
        <v>19909120</v>
      </c>
      <c r="M195" s="130" t="s">
        <v>173</v>
      </c>
      <c r="N195" s="57" t="s">
        <v>114</v>
      </c>
      <c r="O195" s="54" t="s">
        <v>220</v>
      </c>
      <c r="P195" s="132" t="str">
        <f>IFERROR(VLOOKUP(C195,TD!$B$32:$F$36,2,0)," ")</f>
        <v>O230117</v>
      </c>
      <c r="Q195" s="132" t="str">
        <f>IFERROR(VLOOKUP(C195,TD!$B$32:$F$36,3,0)," ")</f>
        <v>4599</v>
      </c>
      <c r="R195" s="132">
        <f>IFERROR(VLOOKUP(C195,TD!$B$32:$F$36,4,0)," ")</f>
        <v>20240207</v>
      </c>
      <c r="S195" s="54" t="s">
        <v>186</v>
      </c>
      <c r="T195" s="132" t="str">
        <f>IFERROR(VLOOKUP(S195,TD!$J$33:$K$43,2,0)," ")</f>
        <v>Infraestructura física, mantenimiento y dotación (Sedes construidas, mantenidas reforzadas)</v>
      </c>
      <c r="U195" s="54" t="str">
        <f t="shared" si="8"/>
        <v>08-Infraestructura física, mantenimiento y dotación (Sedes construidas, mantenidas reforzadas)</v>
      </c>
      <c r="V195" s="54" t="s">
        <v>239</v>
      </c>
      <c r="W195" s="132" t="str">
        <f>IFERROR(VLOOKUP(V195,TD!$N$33:$O$45,2,0)," ")</f>
        <v>Sedes mantenidas</v>
      </c>
      <c r="X195" s="54" t="str">
        <f t="shared" si="9"/>
        <v>016_Sedes mantenidas</v>
      </c>
      <c r="Y195" s="54" t="str">
        <f t="shared" si="10"/>
        <v>08-Infraestructura física, mantenimiento y dotación (Sedes construidas, mantenidas reforzadas) 016_Sedes mantenidas</v>
      </c>
      <c r="Z195" s="132" t="str">
        <f t="shared" si="11"/>
        <v>O23011745992024020708016</v>
      </c>
      <c r="AA195" s="132" t="str">
        <f>IFERROR(VLOOKUP(Y195,TD!$K$46:$L$64,2,0)," ")</f>
        <v>PM/0131/0108/45990160207</v>
      </c>
      <c r="AB195" s="57" t="s">
        <v>139</v>
      </c>
      <c r="AC195" s="133" t="s">
        <v>205</v>
      </c>
    </row>
    <row r="196" spans="2:29" s="28" customFormat="1" ht="57">
      <c r="B196" s="85">
        <v>20240782</v>
      </c>
      <c r="C196" s="53" t="s">
        <v>209</v>
      </c>
      <c r="D196" s="130" t="s">
        <v>46</v>
      </c>
      <c r="E196" s="54" t="s">
        <v>364</v>
      </c>
      <c r="F196" s="130" t="s">
        <v>726</v>
      </c>
      <c r="G196" s="130" t="s">
        <v>156</v>
      </c>
      <c r="H196" s="119">
        <v>80111600</v>
      </c>
      <c r="I196" s="120">
        <v>8</v>
      </c>
      <c r="J196" s="131">
        <v>4</v>
      </c>
      <c r="K196" s="56">
        <v>0</v>
      </c>
      <c r="L196" s="57">
        <f>32000000+4800000-36800000</f>
        <v>0</v>
      </c>
      <c r="M196" s="130" t="s">
        <v>173</v>
      </c>
      <c r="N196" s="57" t="s">
        <v>114</v>
      </c>
      <c r="O196" s="54" t="s">
        <v>220</v>
      </c>
      <c r="P196" s="132" t="str">
        <f>IFERROR(VLOOKUP(C196,TD!$B$32:$F$36,2,0)," ")</f>
        <v>O230117</v>
      </c>
      <c r="Q196" s="132" t="str">
        <f>IFERROR(VLOOKUP(C196,TD!$B$32:$F$36,3,0)," ")</f>
        <v>4599</v>
      </c>
      <c r="R196" s="132">
        <f>IFERROR(VLOOKUP(C196,TD!$B$32:$F$36,4,0)," ")</f>
        <v>20240207</v>
      </c>
      <c r="S196" s="54" t="s">
        <v>186</v>
      </c>
      <c r="T196" s="132" t="str">
        <f>IFERROR(VLOOKUP(S196,TD!$J$33:$K$43,2,0)," ")</f>
        <v>Infraestructura física, mantenimiento y dotación (Sedes construidas, mantenidas reforzadas)</v>
      </c>
      <c r="U196" s="54" t="str">
        <f t="shared" si="8"/>
        <v>08-Infraestructura física, mantenimiento y dotación (Sedes construidas, mantenidas reforzadas)</v>
      </c>
      <c r="V196" s="54" t="s">
        <v>239</v>
      </c>
      <c r="W196" s="132" t="str">
        <f>IFERROR(VLOOKUP(V196,TD!$N$33:$O$45,2,0)," ")</f>
        <v>Sedes mantenidas</v>
      </c>
      <c r="X196" s="54" t="str">
        <f t="shared" si="9"/>
        <v>016_Sedes mantenidas</v>
      </c>
      <c r="Y196" s="54" t="str">
        <f t="shared" si="10"/>
        <v>08-Infraestructura física, mantenimiento y dotación (Sedes construidas, mantenidas reforzadas) 016_Sedes mantenidas</v>
      </c>
      <c r="Z196" s="132" t="str">
        <f t="shared" si="11"/>
        <v>O23011745992024020708016</v>
      </c>
      <c r="AA196" s="132" t="str">
        <f>IFERROR(VLOOKUP(Y196,TD!$K$46:$L$64,2,0)," ")</f>
        <v>PM/0131/0108/45990160207</v>
      </c>
      <c r="AB196" s="57" t="s">
        <v>139</v>
      </c>
      <c r="AC196" s="133" t="s">
        <v>205</v>
      </c>
    </row>
    <row r="197" spans="2:29" s="28" customFormat="1" ht="57">
      <c r="B197" s="85">
        <v>20240783</v>
      </c>
      <c r="C197" s="53" t="s">
        <v>209</v>
      </c>
      <c r="D197" s="130" t="s">
        <v>46</v>
      </c>
      <c r="E197" s="54" t="s">
        <v>364</v>
      </c>
      <c r="F197" s="130" t="s">
        <v>365</v>
      </c>
      <c r="G197" s="130" t="s">
        <v>156</v>
      </c>
      <c r="H197" s="119">
        <v>80111600</v>
      </c>
      <c r="I197" s="120">
        <v>9</v>
      </c>
      <c r="J197" s="131">
        <v>3</v>
      </c>
      <c r="K197" s="56">
        <v>0</v>
      </c>
      <c r="L197" s="57">
        <v>21000000</v>
      </c>
      <c r="M197" s="130" t="s">
        <v>173</v>
      </c>
      <c r="N197" s="57" t="s">
        <v>114</v>
      </c>
      <c r="O197" s="54" t="s">
        <v>220</v>
      </c>
      <c r="P197" s="132" t="str">
        <f>IFERROR(VLOOKUP(C197,TD!$B$32:$F$36,2,0)," ")</f>
        <v>O230117</v>
      </c>
      <c r="Q197" s="132" t="str">
        <f>IFERROR(VLOOKUP(C197,TD!$B$32:$F$36,3,0)," ")</f>
        <v>4599</v>
      </c>
      <c r="R197" s="132">
        <f>IFERROR(VLOOKUP(C197,TD!$B$32:$F$36,4,0)," ")</f>
        <v>20240207</v>
      </c>
      <c r="S197" s="54" t="s">
        <v>186</v>
      </c>
      <c r="T197" s="132" t="str">
        <f>IFERROR(VLOOKUP(S197,TD!$J$33:$K$43,2,0)," ")</f>
        <v>Infraestructura física, mantenimiento y dotación (Sedes construidas, mantenidas reforzadas)</v>
      </c>
      <c r="U197" s="54" t="str">
        <f t="shared" si="8"/>
        <v>08-Infraestructura física, mantenimiento y dotación (Sedes construidas, mantenidas reforzadas)</v>
      </c>
      <c r="V197" s="54" t="s">
        <v>239</v>
      </c>
      <c r="W197" s="132" t="str">
        <f>IFERROR(VLOOKUP(V197,TD!$N$33:$O$45,2,0)," ")</f>
        <v>Sedes mantenidas</v>
      </c>
      <c r="X197" s="54" t="str">
        <f t="shared" si="9"/>
        <v>016_Sedes mantenidas</v>
      </c>
      <c r="Y197" s="54" t="str">
        <f t="shared" si="10"/>
        <v>08-Infraestructura física, mantenimiento y dotación (Sedes construidas, mantenidas reforzadas) 016_Sedes mantenidas</v>
      </c>
      <c r="Z197" s="132" t="str">
        <f t="shared" si="11"/>
        <v>O23011745992024020708016</v>
      </c>
      <c r="AA197" s="132" t="str">
        <f>IFERROR(VLOOKUP(Y197,TD!$K$46:$L$64,2,0)," ")</f>
        <v>PM/0131/0108/45990160207</v>
      </c>
      <c r="AB197" s="57" t="s">
        <v>139</v>
      </c>
      <c r="AC197" s="133" t="s">
        <v>205</v>
      </c>
    </row>
    <row r="198" spans="2:29" s="28" customFormat="1" ht="57">
      <c r="B198" s="85">
        <v>20240785</v>
      </c>
      <c r="C198" s="53" t="s">
        <v>209</v>
      </c>
      <c r="D198" s="130" t="s">
        <v>46</v>
      </c>
      <c r="E198" s="54" t="s">
        <v>364</v>
      </c>
      <c r="F198" s="130" t="s">
        <v>366</v>
      </c>
      <c r="G198" s="130" t="s">
        <v>156</v>
      </c>
      <c r="H198" s="119">
        <v>80111600</v>
      </c>
      <c r="I198" s="120">
        <v>7</v>
      </c>
      <c r="J198" s="131">
        <v>5</v>
      </c>
      <c r="K198" s="56">
        <v>0</v>
      </c>
      <c r="L198" s="57">
        <v>21000000</v>
      </c>
      <c r="M198" s="130" t="s">
        <v>173</v>
      </c>
      <c r="N198" s="57" t="s">
        <v>114</v>
      </c>
      <c r="O198" s="54" t="s">
        <v>220</v>
      </c>
      <c r="P198" s="132" t="str">
        <f>IFERROR(VLOOKUP(C198,TD!$B$32:$F$36,2,0)," ")</f>
        <v>O230117</v>
      </c>
      <c r="Q198" s="132" t="str">
        <f>IFERROR(VLOOKUP(C198,TD!$B$32:$F$36,3,0)," ")</f>
        <v>4599</v>
      </c>
      <c r="R198" s="132">
        <f>IFERROR(VLOOKUP(C198,TD!$B$32:$F$36,4,0)," ")</f>
        <v>20240207</v>
      </c>
      <c r="S198" s="54" t="s">
        <v>186</v>
      </c>
      <c r="T198" s="132" t="str">
        <f>IFERROR(VLOOKUP(S198,TD!$J$33:$K$43,2,0)," ")</f>
        <v>Infraestructura física, mantenimiento y dotación (Sedes construidas, mantenidas reforzadas)</v>
      </c>
      <c r="U198" s="54" t="str">
        <f t="shared" si="8"/>
        <v>08-Infraestructura física, mantenimiento y dotación (Sedes construidas, mantenidas reforzadas)</v>
      </c>
      <c r="V198" s="54" t="s">
        <v>239</v>
      </c>
      <c r="W198" s="132" t="str">
        <f>IFERROR(VLOOKUP(V198,TD!$N$33:$O$45,2,0)," ")</f>
        <v>Sedes mantenidas</v>
      </c>
      <c r="X198" s="54" t="str">
        <f t="shared" si="9"/>
        <v>016_Sedes mantenidas</v>
      </c>
      <c r="Y198" s="54" t="str">
        <f t="shared" si="10"/>
        <v>08-Infraestructura física, mantenimiento y dotación (Sedes construidas, mantenidas reforzadas) 016_Sedes mantenidas</v>
      </c>
      <c r="Z198" s="132" t="str">
        <f t="shared" si="11"/>
        <v>O23011745992024020708016</v>
      </c>
      <c r="AA198" s="132" t="str">
        <f>IFERROR(VLOOKUP(Y198,TD!$K$46:$L$64,2,0)," ")</f>
        <v>PM/0131/0108/45990160207</v>
      </c>
      <c r="AB198" s="57" t="s">
        <v>139</v>
      </c>
      <c r="AC198" s="133" t="s">
        <v>205</v>
      </c>
    </row>
    <row r="199" spans="2:29" s="28" customFormat="1" ht="71.25">
      <c r="B199" s="85">
        <v>20240786</v>
      </c>
      <c r="C199" s="53" t="s">
        <v>209</v>
      </c>
      <c r="D199" s="130" t="s">
        <v>46</v>
      </c>
      <c r="E199" s="54" t="s">
        <v>364</v>
      </c>
      <c r="F199" s="130" t="s">
        <v>367</v>
      </c>
      <c r="G199" s="130" t="s">
        <v>156</v>
      </c>
      <c r="H199" s="119">
        <v>80111600</v>
      </c>
      <c r="I199" s="120">
        <v>8</v>
      </c>
      <c r="J199" s="131">
        <v>4</v>
      </c>
      <c r="K199" s="56">
        <v>0</v>
      </c>
      <c r="L199" s="57">
        <v>16800000</v>
      </c>
      <c r="M199" s="130" t="s">
        <v>173</v>
      </c>
      <c r="N199" s="57" t="s">
        <v>114</v>
      </c>
      <c r="O199" s="54" t="s">
        <v>220</v>
      </c>
      <c r="P199" s="132" t="str">
        <f>IFERROR(VLOOKUP(C199,TD!$B$32:$F$36,2,0)," ")</f>
        <v>O230117</v>
      </c>
      <c r="Q199" s="132" t="str">
        <f>IFERROR(VLOOKUP(C199,TD!$B$32:$F$36,3,0)," ")</f>
        <v>4599</v>
      </c>
      <c r="R199" s="132">
        <f>IFERROR(VLOOKUP(C199,TD!$B$32:$F$36,4,0)," ")</f>
        <v>20240207</v>
      </c>
      <c r="S199" s="54" t="s">
        <v>186</v>
      </c>
      <c r="T199" s="132" t="str">
        <f>IFERROR(VLOOKUP(S199,TD!$J$33:$K$43,2,0)," ")</f>
        <v>Infraestructura física, mantenimiento y dotación (Sedes construidas, mantenidas reforzadas)</v>
      </c>
      <c r="U199" s="54" t="str">
        <f t="shared" si="8"/>
        <v>08-Infraestructura física, mantenimiento y dotación (Sedes construidas, mantenidas reforzadas)</v>
      </c>
      <c r="V199" s="54" t="s">
        <v>239</v>
      </c>
      <c r="W199" s="132" t="str">
        <f>IFERROR(VLOOKUP(V199,TD!$N$33:$O$45,2,0)," ")</f>
        <v>Sedes mantenidas</v>
      </c>
      <c r="X199" s="54" t="str">
        <f t="shared" si="9"/>
        <v>016_Sedes mantenidas</v>
      </c>
      <c r="Y199" s="54" t="str">
        <f t="shared" si="10"/>
        <v>08-Infraestructura física, mantenimiento y dotación (Sedes construidas, mantenidas reforzadas) 016_Sedes mantenidas</v>
      </c>
      <c r="Z199" s="132" t="str">
        <f t="shared" si="11"/>
        <v>O23011745992024020708016</v>
      </c>
      <c r="AA199" s="132" t="str">
        <f>IFERROR(VLOOKUP(Y199,TD!$K$46:$L$64,2,0)," ")</f>
        <v>PM/0131/0108/45990160207</v>
      </c>
      <c r="AB199" s="57" t="s">
        <v>139</v>
      </c>
      <c r="AC199" s="133" t="s">
        <v>205</v>
      </c>
    </row>
    <row r="200" spans="2:29" s="28" customFormat="1" ht="57">
      <c r="B200" s="85">
        <v>20240787</v>
      </c>
      <c r="C200" s="53" t="s">
        <v>209</v>
      </c>
      <c r="D200" s="130" t="s">
        <v>46</v>
      </c>
      <c r="E200" s="54" t="s">
        <v>364</v>
      </c>
      <c r="F200" s="130" t="s">
        <v>368</v>
      </c>
      <c r="G200" s="130" t="s">
        <v>157</v>
      </c>
      <c r="H200" s="119">
        <v>80111600</v>
      </c>
      <c r="I200" s="120">
        <v>8</v>
      </c>
      <c r="J200" s="131">
        <v>4</v>
      </c>
      <c r="K200" s="56">
        <v>0</v>
      </c>
      <c r="L200" s="57">
        <v>14600000</v>
      </c>
      <c r="M200" s="130" t="s">
        <v>173</v>
      </c>
      <c r="N200" s="57" t="s">
        <v>114</v>
      </c>
      <c r="O200" s="54" t="s">
        <v>220</v>
      </c>
      <c r="P200" s="132" t="str">
        <f>IFERROR(VLOOKUP(C200,TD!$B$32:$F$36,2,0)," ")</f>
        <v>O230117</v>
      </c>
      <c r="Q200" s="132" t="str">
        <f>IFERROR(VLOOKUP(C200,TD!$B$32:$F$36,3,0)," ")</f>
        <v>4599</v>
      </c>
      <c r="R200" s="132">
        <f>IFERROR(VLOOKUP(C200,TD!$B$32:$F$36,4,0)," ")</f>
        <v>20240207</v>
      </c>
      <c r="S200" s="54" t="s">
        <v>186</v>
      </c>
      <c r="T200" s="132" t="str">
        <f>IFERROR(VLOOKUP(S200,TD!$J$33:$K$43,2,0)," ")</f>
        <v>Infraestructura física, mantenimiento y dotación (Sedes construidas, mantenidas reforzadas)</v>
      </c>
      <c r="U200" s="54" t="str">
        <f t="shared" si="8"/>
        <v>08-Infraestructura física, mantenimiento y dotación (Sedes construidas, mantenidas reforzadas)</v>
      </c>
      <c r="V200" s="54" t="s">
        <v>239</v>
      </c>
      <c r="W200" s="132" t="str">
        <f>IFERROR(VLOOKUP(V200,TD!$N$33:$O$45,2,0)," ")</f>
        <v>Sedes mantenidas</v>
      </c>
      <c r="X200" s="54" t="str">
        <f t="shared" si="9"/>
        <v>016_Sedes mantenidas</v>
      </c>
      <c r="Y200" s="54" t="str">
        <f t="shared" si="10"/>
        <v>08-Infraestructura física, mantenimiento y dotación (Sedes construidas, mantenidas reforzadas) 016_Sedes mantenidas</v>
      </c>
      <c r="Z200" s="132" t="str">
        <f t="shared" si="11"/>
        <v>O23011745992024020708016</v>
      </c>
      <c r="AA200" s="132" t="str">
        <f>IFERROR(VLOOKUP(Y200,TD!$K$46:$L$64,2,0)," ")</f>
        <v>PM/0131/0108/45990160207</v>
      </c>
      <c r="AB200" s="57" t="s">
        <v>139</v>
      </c>
      <c r="AC200" s="133" t="s">
        <v>205</v>
      </c>
    </row>
    <row r="201" spans="2:29" s="28" customFormat="1" ht="57">
      <c r="B201" s="85">
        <v>20240788</v>
      </c>
      <c r="C201" s="53" t="s">
        <v>209</v>
      </c>
      <c r="D201" s="130" t="s">
        <v>162</v>
      </c>
      <c r="E201" s="54" t="s">
        <v>364</v>
      </c>
      <c r="F201" s="130" t="s">
        <v>369</v>
      </c>
      <c r="G201" s="130" t="s">
        <v>156</v>
      </c>
      <c r="H201" s="119">
        <v>80111600</v>
      </c>
      <c r="I201" s="120">
        <v>8</v>
      </c>
      <c r="J201" s="131">
        <v>5</v>
      </c>
      <c r="K201" s="56">
        <v>0</v>
      </c>
      <c r="L201" s="57">
        <v>48000000</v>
      </c>
      <c r="M201" s="130" t="s">
        <v>173</v>
      </c>
      <c r="N201" s="57" t="s">
        <v>114</v>
      </c>
      <c r="O201" s="54" t="s">
        <v>221</v>
      </c>
      <c r="P201" s="132" t="str">
        <f>IFERROR(VLOOKUP(C201,TD!$B$32:$F$36,2,0)," ")</f>
        <v>O230117</v>
      </c>
      <c r="Q201" s="132" t="str">
        <f>IFERROR(VLOOKUP(C201,TD!$B$32:$F$36,3,0)," ")</f>
        <v>4599</v>
      </c>
      <c r="R201" s="132">
        <f>IFERROR(VLOOKUP(C201,TD!$B$32:$F$36,4,0)," ")</f>
        <v>20240207</v>
      </c>
      <c r="S201" s="54" t="s">
        <v>194</v>
      </c>
      <c r="T201" s="132" t="str">
        <f>IFERROR(VLOOKUP(S201,TD!$J$33:$K$43,2,0)," ")</f>
        <v>Servicios para la planeación y sistemas de gestión y comunicación estratégica</v>
      </c>
      <c r="U201" s="54" t="str">
        <f t="shared" si="8"/>
        <v>13-Servicios para la planeación y sistemas de gestión y comunicación estratégica</v>
      </c>
      <c r="V201" s="54" t="s">
        <v>243</v>
      </c>
      <c r="W201" s="132" t="str">
        <f>IFERROR(VLOOKUP(V201,TD!$N$33:$O$45,2,0)," ")</f>
        <v>Documentos de planeación</v>
      </c>
      <c r="X201" s="54" t="str">
        <f t="shared" si="9"/>
        <v>019_Documentos de planeación</v>
      </c>
      <c r="Y201" s="54" t="str">
        <f t="shared" si="10"/>
        <v>13-Servicios para la planeación y sistemas de gestión y comunicación estratégica 019_Documentos de planeación</v>
      </c>
      <c r="Z201" s="132" t="str">
        <f t="shared" si="11"/>
        <v>O23011745992024020713019</v>
      </c>
      <c r="AA201" s="132" t="str">
        <f>IFERROR(VLOOKUP(Y201,TD!$K$46:$L$64,2,0)," ")</f>
        <v>PM/0131/0113/45990190207</v>
      </c>
      <c r="AB201" s="57" t="s">
        <v>139</v>
      </c>
      <c r="AC201" s="133" t="s">
        <v>205</v>
      </c>
    </row>
    <row r="202" spans="2:29" s="28" customFormat="1" ht="57">
      <c r="B202" s="85">
        <v>20240789</v>
      </c>
      <c r="C202" s="53" t="s">
        <v>209</v>
      </c>
      <c r="D202" s="130" t="s">
        <v>162</v>
      </c>
      <c r="E202" s="54" t="s">
        <v>364</v>
      </c>
      <c r="F202" s="130" t="s">
        <v>370</v>
      </c>
      <c r="G202" s="130" t="s">
        <v>156</v>
      </c>
      <c r="H202" s="119">
        <v>80111600</v>
      </c>
      <c r="I202" s="120">
        <v>8</v>
      </c>
      <c r="J202" s="131">
        <v>4</v>
      </c>
      <c r="K202" s="56">
        <v>0</v>
      </c>
      <c r="L202" s="57">
        <v>20000000</v>
      </c>
      <c r="M202" s="130" t="s">
        <v>173</v>
      </c>
      <c r="N202" s="57" t="s">
        <v>114</v>
      </c>
      <c r="O202" s="54" t="s">
        <v>221</v>
      </c>
      <c r="P202" s="132" t="str">
        <f>IFERROR(VLOOKUP(C202,TD!$B$32:$F$36,2,0)," ")</f>
        <v>O230117</v>
      </c>
      <c r="Q202" s="132" t="str">
        <f>IFERROR(VLOOKUP(C202,TD!$B$32:$F$36,3,0)," ")</f>
        <v>4599</v>
      </c>
      <c r="R202" s="132">
        <f>IFERROR(VLOOKUP(C202,TD!$B$32:$F$36,4,0)," ")</f>
        <v>20240207</v>
      </c>
      <c r="S202" s="54" t="s">
        <v>194</v>
      </c>
      <c r="T202" s="132" t="str">
        <f>IFERROR(VLOOKUP(S202,TD!$J$33:$K$43,2,0)," ")</f>
        <v>Servicios para la planeación y sistemas de gestión y comunicación estratégica</v>
      </c>
      <c r="U202" s="54" t="str">
        <f t="shared" si="8"/>
        <v>13-Servicios para la planeación y sistemas de gestión y comunicación estratégica</v>
      </c>
      <c r="V202" s="54" t="s">
        <v>243</v>
      </c>
      <c r="W202" s="132" t="str">
        <f>IFERROR(VLOOKUP(V202,TD!$N$33:$O$45,2,0)," ")</f>
        <v>Documentos de planeación</v>
      </c>
      <c r="X202" s="54" t="str">
        <f t="shared" si="9"/>
        <v>019_Documentos de planeación</v>
      </c>
      <c r="Y202" s="54" t="str">
        <f t="shared" si="10"/>
        <v>13-Servicios para la planeación y sistemas de gestión y comunicación estratégica 019_Documentos de planeación</v>
      </c>
      <c r="Z202" s="132" t="str">
        <f t="shared" si="11"/>
        <v>O23011745992024020713019</v>
      </c>
      <c r="AA202" s="132" t="str">
        <f>IFERROR(VLOOKUP(Y202,TD!$K$46:$L$64,2,0)," ")</f>
        <v>PM/0131/0113/45990190207</v>
      </c>
      <c r="AB202" s="57" t="s">
        <v>139</v>
      </c>
      <c r="AC202" s="133" t="s">
        <v>205</v>
      </c>
    </row>
    <row r="203" spans="2:29" s="28" customFormat="1" ht="57">
      <c r="B203" s="85">
        <v>20240790</v>
      </c>
      <c r="C203" s="53" t="s">
        <v>209</v>
      </c>
      <c r="D203" s="130" t="s">
        <v>162</v>
      </c>
      <c r="E203" s="54" t="s">
        <v>364</v>
      </c>
      <c r="F203" s="130" t="s">
        <v>371</v>
      </c>
      <c r="G203" s="130" t="s">
        <v>156</v>
      </c>
      <c r="H203" s="119">
        <v>80111600</v>
      </c>
      <c r="I203" s="120">
        <v>8</v>
      </c>
      <c r="J203" s="131">
        <v>5</v>
      </c>
      <c r="K203" s="56">
        <v>0</v>
      </c>
      <c r="L203" s="57">
        <v>35000000</v>
      </c>
      <c r="M203" s="130" t="s">
        <v>173</v>
      </c>
      <c r="N203" s="57" t="s">
        <v>114</v>
      </c>
      <c r="O203" s="54" t="s">
        <v>221</v>
      </c>
      <c r="P203" s="132" t="str">
        <f>IFERROR(VLOOKUP(C203,TD!$B$32:$F$36,2,0)," ")</f>
        <v>O230117</v>
      </c>
      <c r="Q203" s="132" t="str">
        <f>IFERROR(VLOOKUP(C203,TD!$B$32:$F$36,3,0)," ")</f>
        <v>4599</v>
      </c>
      <c r="R203" s="132">
        <f>IFERROR(VLOOKUP(C203,TD!$B$32:$F$36,4,0)," ")</f>
        <v>20240207</v>
      </c>
      <c r="S203" s="54" t="s">
        <v>194</v>
      </c>
      <c r="T203" s="132" t="str">
        <f>IFERROR(VLOOKUP(S203,TD!$J$33:$K$43,2,0)," ")</f>
        <v>Servicios para la planeación y sistemas de gestión y comunicación estratégica</v>
      </c>
      <c r="U203" s="54" t="str">
        <f t="shared" ref="U203:U266" si="12">CONCATENATE(S203,"-",T203)</f>
        <v>13-Servicios para la planeación y sistemas de gestión y comunicación estratégica</v>
      </c>
      <c r="V203" s="54" t="s">
        <v>243</v>
      </c>
      <c r="W203" s="132" t="str">
        <f>IFERROR(VLOOKUP(V203,TD!$N$33:$O$45,2,0)," ")</f>
        <v>Documentos de planeación</v>
      </c>
      <c r="X203" s="54" t="str">
        <f t="shared" ref="X203:X266" si="13">CONCATENATE(V203,"_",W203)</f>
        <v>019_Documentos de planeación</v>
      </c>
      <c r="Y203" s="54" t="str">
        <f t="shared" ref="Y203:Y266" si="14">CONCATENATE(U203," ",X203)</f>
        <v>13-Servicios para la planeación y sistemas de gestión y comunicación estratégica 019_Documentos de planeación</v>
      </c>
      <c r="Z203" s="132" t="str">
        <f t="shared" ref="Z203:Z266" si="15">CONCATENATE(P203,Q203,R203,S203,V203)</f>
        <v>O23011745992024020713019</v>
      </c>
      <c r="AA203" s="132" t="str">
        <f>IFERROR(VLOOKUP(Y203,TD!$K$46:$L$64,2,0)," ")</f>
        <v>PM/0131/0113/45990190207</v>
      </c>
      <c r="AB203" s="57" t="s">
        <v>139</v>
      </c>
      <c r="AC203" s="133" t="s">
        <v>205</v>
      </c>
    </row>
    <row r="204" spans="2:29" s="28" customFormat="1" ht="57">
      <c r="B204" s="85">
        <v>20240791</v>
      </c>
      <c r="C204" s="53" t="s">
        <v>209</v>
      </c>
      <c r="D204" s="130" t="s">
        <v>162</v>
      </c>
      <c r="E204" s="54" t="s">
        <v>364</v>
      </c>
      <c r="F204" s="130" t="s">
        <v>372</v>
      </c>
      <c r="G204" s="130" t="s">
        <v>156</v>
      </c>
      <c r="H204" s="119">
        <v>80111600</v>
      </c>
      <c r="I204" s="120">
        <v>8</v>
      </c>
      <c r="J204" s="131">
        <v>4</v>
      </c>
      <c r="K204" s="56">
        <v>0</v>
      </c>
      <c r="L204" s="57">
        <v>20000000</v>
      </c>
      <c r="M204" s="130" t="s">
        <v>173</v>
      </c>
      <c r="N204" s="57" t="s">
        <v>114</v>
      </c>
      <c r="O204" s="54" t="s">
        <v>221</v>
      </c>
      <c r="P204" s="132" t="str">
        <f>IFERROR(VLOOKUP(C204,TD!$B$32:$F$36,2,0)," ")</f>
        <v>O230117</v>
      </c>
      <c r="Q204" s="132" t="str">
        <f>IFERROR(VLOOKUP(C204,TD!$B$32:$F$36,3,0)," ")</f>
        <v>4599</v>
      </c>
      <c r="R204" s="132">
        <f>IFERROR(VLOOKUP(C204,TD!$B$32:$F$36,4,0)," ")</f>
        <v>20240207</v>
      </c>
      <c r="S204" s="54" t="s">
        <v>194</v>
      </c>
      <c r="T204" s="132" t="str">
        <f>IFERROR(VLOOKUP(S204,TD!$J$33:$K$43,2,0)," ")</f>
        <v>Servicios para la planeación y sistemas de gestión y comunicación estratégica</v>
      </c>
      <c r="U204" s="54" t="str">
        <f t="shared" si="12"/>
        <v>13-Servicios para la planeación y sistemas de gestión y comunicación estratégica</v>
      </c>
      <c r="V204" s="54" t="s">
        <v>243</v>
      </c>
      <c r="W204" s="132" t="str">
        <f>IFERROR(VLOOKUP(V204,TD!$N$33:$O$45,2,0)," ")</f>
        <v>Documentos de planeación</v>
      </c>
      <c r="X204" s="54" t="str">
        <f t="shared" si="13"/>
        <v>019_Documentos de planeación</v>
      </c>
      <c r="Y204" s="54" t="str">
        <f t="shared" si="14"/>
        <v>13-Servicios para la planeación y sistemas de gestión y comunicación estratégica 019_Documentos de planeación</v>
      </c>
      <c r="Z204" s="132" t="str">
        <f t="shared" si="15"/>
        <v>O23011745992024020713019</v>
      </c>
      <c r="AA204" s="132" t="str">
        <f>IFERROR(VLOOKUP(Y204,TD!$K$46:$L$64,2,0)," ")</f>
        <v>PM/0131/0113/45990190207</v>
      </c>
      <c r="AB204" s="57" t="s">
        <v>139</v>
      </c>
      <c r="AC204" s="133" t="s">
        <v>205</v>
      </c>
    </row>
    <row r="205" spans="2:29" s="28" customFormat="1" ht="57">
      <c r="B205" s="85">
        <v>20240792</v>
      </c>
      <c r="C205" s="53" t="s">
        <v>209</v>
      </c>
      <c r="D205" s="130" t="s">
        <v>162</v>
      </c>
      <c r="E205" s="54" t="s">
        <v>364</v>
      </c>
      <c r="F205" s="130" t="s">
        <v>373</v>
      </c>
      <c r="G205" s="130" t="s">
        <v>156</v>
      </c>
      <c r="H205" s="119">
        <v>80111600</v>
      </c>
      <c r="I205" s="120">
        <v>8</v>
      </c>
      <c r="J205" s="131">
        <v>4</v>
      </c>
      <c r="K205" s="56">
        <v>0</v>
      </c>
      <c r="L205" s="57">
        <v>20000000</v>
      </c>
      <c r="M205" s="130" t="s">
        <v>173</v>
      </c>
      <c r="N205" s="57" t="s">
        <v>114</v>
      </c>
      <c r="O205" s="54" t="s">
        <v>221</v>
      </c>
      <c r="P205" s="132" t="str">
        <f>IFERROR(VLOOKUP(C205,TD!$B$32:$F$36,2,0)," ")</f>
        <v>O230117</v>
      </c>
      <c r="Q205" s="132" t="str">
        <f>IFERROR(VLOOKUP(C205,TD!$B$32:$F$36,3,0)," ")</f>
        <v>4599</v>
      </c>
      <c r="R205" s="132">
        <f>IFERROR(VLOOKUP(C205,TD!$B$32:$F$36,4,0)," ")</f>
        <v>20240207</v>
      </c>
      <c r="S205" s="54" t="s">
        <v>194</v>
      </c>
      <c r="T205" s="132" t="str">
        <f>IFERROR(VLOOKUP(S205,TD!$J$33:$K$43,2,0)," ")</f>
        <v>Servicios para la planeación y sistemas de gestión y comunicación estratégica</v>
      </c>
      <c r="U205" s="54" t="str">
        <f t="shared" si="12"/>
        <v>13-Servicios para la planeación y sistemas de gestión y comunicación estratégica</v>
      </c>
      <c r="V205" s="54" t="s">
        <v>243</v>
      </c>
      <c r="W205" s="132" t="str">
        <f>IFERROR(VLOOKUP(V205,TD!$N$33:$O$45,2,0)," ")</f>
        <v>Documentos de planeación</v>
      </c>
      <c r="X205" s="54" t="str">
        <f t="shared" si="13"/>
        <v>019_Documentos de planeación</v>
      </c>
      <c r="Y205" s="54" t="str">
        <f t="shared" si="14"/>
        <v>13-Servicios para la planeación y sistemas de gestión y comunicación estratégica 019_Documentos de planeación</v>
      </c>
      <c r="Z205" s="132" t="str">
        <f t="shared" si="15"/>
        <v>O23011745992024020713019</v>
      </c>
      <c r="AA205" s="132" t="str">
        <f>IFERROR(VLOOKUP(Y205,TD!$K$46:$L$64,2,0)," ")</f>
        <v>PM/0131/0113/45990190207</v>
      </c>
      <c r="AB205" s="57" t="s">
        <v>139</v>
      </c>
      <c r="AC205" s="133" t="s">
        <v>205</v>
      </c>
    </row>
    <row r="206" spans="2:29" s="28" customFormat="1" ht="57">
      <c r="B206" s="85">
        <v>20240793</v>
      </c>
      <c r="C206" s="53" t="s">
        <v>209</v>
      </c>
      <c r="D206" s="130" t="s">
        <v>162</v>
      </c>
      <c r="E206" s="54" t="s">
        <v>364</v>
      </c>
      <c r="F206" s="130" t="s">
        <v>374</v>
      </c>
      <c r="G206" s="130" t="s">
        <v>156</v>
      </c>
      <c r="H206" s="119">
        <v>80111600</v>
      </c>
      <c r="I206" s="120">
        <v>7</v>
      </c>
      <c r="J206" s="131">
        <v>5</v>
      </c>
      <c r="K206" s="56">
        <v>0</v>
      </c>
      <c r="L206" s="57">
        <v>21500000</v>
      </c>
      <c r="M206" s="130" t="s">
        <v>173</v>
      </c>
      <c r="N206" s="57" t="s">
        <v>114</v>
      </c>
      <c r="O206" s="54" t="s">
        <v>221</v>
      </c>
      <c r="P206" s="132" t="str">
        <f>IFERROR(VLOOKUP(C206,TD!$B$32:$F$36,2,0)," ")</f>
        <v>O230117</v>
      </c>
      <c r="Q206" s="132" t="str">
        <f>IFERROR(VLOOKUP(C206,TD!$B$32:$F$36,3,0)," ")</f>
        <v>4599</v>
      </c>
      <c r="R206" s="132">
        <f>IFERROR(VLOOKUP(C206,TD!$B$32:$F$36,4,0)," ")</f>
        <v>20240207</v>
      </c>
      <c r="S206" s="54" t="s">
        <v>194</v>
      </c>
      <c r="T206" s="132" t="str">
        <f>IFERROR(VLOOKUP(S206,TD!$J$33:$K$43,2,0)," ")</f>
        <v>Servicios para la planeación y sistemas de gestión y comunicación estratégica</v>
      </c>
      <c r="U206" s="54" t="str">
        <f t="shared" si="12"/>
        <v>13-Servicios para la planeación y sistemas de gestión y comunicación estratégica</v>
      </c>
      <c r="V206" s="54" t="s">
        <v>243</v>
      </c>
      <c r="W206" s="132" t="str">
        <f>IFERROR(VLOOKUP(V206,TD!$N$33:$O$45,2,0)," ")</f>
        <v>Documentos de planeación</v>
      </c>
      <c r="X206" s="54" t="str">
        <f t="shared" si="13"/>
        <v>019_Documentos de planeación</v>
      </c>
      <c r="Y206" s="54" t="str">
        <f t="shared" si="14"/>
        <v>13-Servicios para la planeación y sistemas de gestión y comunicación estratégica 019_Documentos de planeación</v>
      </c>
      <c r="Z206" s="132" t="str">
        <f t="shared" si="15"/>
        <v>O23011745992024020713019</v>
      </c>
      <c r="AA206" s="132" t="str">
        <f>IFERROR(VLOOKUP(Y206,TD!$K$46:$L$64,2,0)," ")</f>
        <v>PM/0131/0113/45990190207</v>
      </c>
      <c r="AB206" s="57" t="s">
        <v>139</v>
      </c>
      <c r="AC206" s="133" t="s">
        <v>205</v>
      </c>
    </row>
    <row r="207" spans="2:29" s="28" customFormat="1" ht="57">
      <c r="B207" s="85">
        <v>20240794</v>
      </c>
      <c r="C207" s="53" t="s">
        <v>209</v>
      </c>
      <c r="D207" s="130" t="s">
        <v>162</v>
      </c>
      <c r="E207" s="54" t="s">
        <v>364</v>
      </c>
      <c r="F207" s="130" t="s">
        <v>375</v>
      </c>
      <c r="G207" s="130" t="s">
        <v>157</v>
      </c>
      <c r="H207" s="119">
        <v>80111600</v>
      </c>
      <c r="I207" s="120">
        <v>7</v>
      </c>
      <c r="J207" s="131">
        <v>5</v>
      </c>
      <c r="K207" s="56">
        <v>0</v>
      </c>
      <c r="L207" s="57">
        <v>18947600</v>
      </c>
      <c r="M207" s="130" t="s">
        <v>173</v>
      </c>
      <c r="N207" s="57" t="s">
        <v>114</v>
      </c>
      <c r="O207" s="54" t="s">
        <v>221</v>
      </c>
      <c r="P207" s="132" t="str">
        <f>IFERROR(VLOOKUP(C207,TD!$B$32:$F$36,2,0)," ")</f>
        <v>O230117</v>
      </c>
      <c r="Q207" s="132" t="str">
        <f>IFERROR(VLOOKUP(C207,TD!$B$32:$F$36,3,0)," ")</f>
        <v>4599</v>
      </c>
      <c r="R207" s="132">
        <f>IFERROR(VLOOKUP(C207,TD!$B$32:$F$36,4,0)," ")</f>
        <v>20240207</v>
      </c>
      <c r="S207" s="54" t="s">
        <v>194</v>
      </c>
      <c r="T207" s="132" t="str">
        <f>IFERROR(VLOOKUP(S207,TD!$J$33:$K$43,2,0)," ")</f>
        <v>Servicios para la planeación y sistemas de gestión y comunicación estratégica</v>
      </c>
      <c r="U207" s="54" t="str">
        <f t="shared" si="12"/>
        <v>13-Servicios para la planeación y sistemas de gestión y comunicación estratégica</v>
      </c>
      <c r="V207" s="54" t="s">
        <v>243</v>
      </c>
      <c r="W207" s="132" t="str">
        <f>IFERROR(VLOOKUP(V207,TD!$N$33:$O$45,2,0)," ")</f>
        <v>Documentos de planeación</v>
      </c>
      <c r="X207" s="54" t="str">
        <f t="shared" si="13"/>
        <v>019_Documentos de planeación</v>
      </c>
      <c r="Y207" s="54" t="str">
        <f t="shared" si="14"/>
        <v>13-Servicios para la planeación y sistemas de gestión y comunicación estratégica 019_Documentos de planeación</v>
      </c>
      <c r="Z207" s="132" t="str">
        <f t="shared" si="15"/>
        <v>O23011745992024020713019</v>
      </c>
      <c r="AA207" s="132" t="str">
        <f>IFERROR(VLOOKUP(Y207,TD!$K$46:$L$64,2,0)," ")</f>
        <v>PM/0131/0113/45990190207</v>
      </c>
      <c r="AB207" s="57" t="s">
        <v>139</v>
      </c>
      <c r="AC207" s="133" t="s">
        <v>205</v>
      </c>
    </row>
    <row r="208" spans="2:29" s="28" customFormat="1" ht="57">
      <c r="B208" s="85">
        <v>20240795</v>
      </c>
      <c r="C208" s="53" t="s">
        <v>209</v>
      </c>
      <c r="D208" s="130" t="s">
        <v>162</v>
      </c>
      <c r="E208" s="54" t="s">
        <v>364</v>
      </c>
      <c r="F208" s="130" t="s">
        <v>376</v>
      </c>
      <c r="G208" s="130" t="s">
        <v>156</v>
      </c>
      <c r="H208" s="119">
        <v>80111600</v>
      </c>
      <c r="I208" s="120">
        <v>8</v>
      </c>
      <c r="J208" s="131">
        <v>4</v>
      </c>
      <c r="K208" s="56">
        <v>0</v>
      </c>
      <c r="L208" s="57">
        <v>20000000</v>
      </c>
      <c r="M208" s="130" t="s">
        <v>173</v>
      </c>
      <c r="N208" s="57" t="s">
        <v>114</v>
      </c>
      <c r="O208" s="54" t="s">
        <v>221</v>
      </c>
      <c r="P208" s="132" t="str">
        <f>IFERROR(VLOOKUP(C208,TD!$B$32:$F$36,2,0)," ")</f>
        <v>O230117</v>
      </c>
      <c r="Q208" s="132" t="str">
        <f>IFERROR(VLOOKUP(C208,TD!$B$32:$F$36,3,0)," ")</f>
        <v>4599</v>
      </c>
      <c r="R208" s="132">
        <f>IFERROR(VLOOKUP(C208,TD!$B$32:$F$36,4,0)," ")</f>
        <v>20240207</v>
      </c>
      <c r="S208" s="54" t="s">
        <v>194</v>
      </c>
      <c r="T208" s="132" t="str">
        <f>IFERROR(VLOOKUP(S208,TD!$J$33:$K$43,2,0)," ")</f>
        <v>Servicios para la planeación y sistemas de gestión y comunicación estratégica</v>
      </c>
      <c r="U208" s="54" t="str">
        <f t="shared" si="12"/>
        <v>13-Servicios para la planeación y sistemas de gestión y comunicación estratégica</v>
      </c>
      <c r="V208" s="54" t="s">
        <v>243</v>
      </c>
      <c r="W208" s="132" t="str">
        <f>IFERROR(VLOOKUP(V208,TD!$N$33:$O$45,2,0)," ")</f>
        <v>Documentos de planeación</v>
      </c>
      <c r="X208" s="54" t="str">
        <f t="shared" si="13"/>
        <v>019_Documentos de planeación</v>
      </c>
      <c r="Y208" s="54" t="str">
        <f t="shared" si="14"/>
        <v>13-Servicios para la planeación y sistemas de gestión y comunicación estratégica 019_Documentos de planeación</v>
      </c>
      <c r="Z208" s="132" t="str">
        <f t="shared" si="15"/>
        <v>O23011745992024020713019</v>
      </c>
      <c r="AA208" s="132" t="str">
        <f>IFERROR(VLOOKUP(Y208,TD!$K$46:$L$64,2,0)," ")</f>
        <v>PM/0131/0113/45990190207</v>
      </c>
      <c r="AB208" s="57" t="s">
        <v>139</v>
      </c>
      <c r="AC208" s="133" t="s">
        <v>205</v>
      </c>
    </row>
    <row r="209" spans="2:29" s="28" customFormat="1" ht="57">
      <c r="B209" s="85">
        <v>20240796</v>
      </c>
      <c r="C209" s="53" t="s">
        <v>209</v>
      </c>
      <c r="D209" s="130" t="s">
        <v>162</v>
      </c>
      <c r="E209" s="54" t="s">
        <v>364</v>
      </c>
      <c r="F209" s="130" t="s">
        <v>377</v>
      </c>
      <c r="G209" s="130" t="s">
        <v>157</v>
      </c>
      <c r="H209" s="119">
        <v>80111600</v>
      </c>
      <c r="I209" s="120">
        <v>8</v>
      </c>
      <c r="J209" s="131">
        <v>4</v>
      </c>
      <c r="K209" s="56">
        <v>0</v>
      </c>
      <c r="L209" s="57">
        <v>13400000</v>
      </c>
      <c r="M209" s="130" t="s">
        <v>173</v>
      </c>
      <c r="N209" s="57" t="s">
        <v>114</v>
      </c>
      <c r="O209" s="54" t="s">
        <v>221</v>
      </c>
      <c r="P209" s="132" t="str">
        <f>IFERROR(VLOOKUP(C209,TD!$B$32:$F$36,2,0)," ")</f>
        <v>O230117</v>
      </c>
      <c r="Q209" s="132" t="str">
        <f>IFERROR(VLOOKUP(C209,TD!$B$32:$F$36,3,0)," ")</f>
        <v>4599</v>
      </c>
      <c r="R209" s="132">
        <f>IFERROR(VLOOKUP(C209,TD!$B$32:$F$36,4,0)," ")</f>
        <v>20240207</v>
      </c>
      <c r="S209" s="54" t="s">
        <v>194</v>
      </c>
      <c r="T209" s="132" t="str">
        <f>IFERROR(VLOOKUP(S209,TD!$J$33:$K$43,2,0)," ")</f>
        <v>Servicios para la planeación y sistemas de gestión y comunicación estratégica</v>
      </c>
      <c r="U209" s="54" t="str">
        <f t="shared" si="12"/>
        <v>13-Servicios para la planeación y sistemas de gestión y comunicación estratégica</v>
      </c>
      <c r="V209" s="54" t="s">
        <v>243</v>
      </c>
      <c r="W209" s="132" t="str">
        <f>IFERROR(VLOOKUP(V209,TD!$N$33:$O$45,2,0)," ")</f>
        <v>Documentos de planeación</v>
      </c>
      <c r="X209" s="54" t="str">
        <f t="shared" si="13"/>
        <v>019_Documentos de planeación</v>
      </c>
      <c r="Y209" s="54" t="str">
        <f t="shared" si="14"/>
        <v>13-Servicios para la planeación y sistemas de gestión y comunicación estratégica 019_Documentos de planeación</v>
      </c>
      <c r="Z209" s="132" t="str">
        <f t="shared" si="15"/>
        <v>O23011745992024020713019</v>
      </c>
      <c r="AA209" s="132" t="str">
        <f>IFERROR(VLOOKUP(Y209,TD!$K$46:$L$64,2,0)," ")</f>
        <v>PM/0131/0113/45990190207</v>
      </c>
      <c r="AB209" s="57" t="s">
        <v>139</v>
      </c>
      <c r="AC209" s="133" t="s">
        <v>205</v>
      </c>
    </row>
    <row r="210" spans="2:29" s="28" customFormat="1" ht="57">
      <c r="B210" s="85">
        <v>20240797</v>
      </c>
      <c r="C210" s="53" t="s">
        <v>209</v>
      </c>
      <c r="D210" s="130" t="s">
        <v>162</v>
      </c>
      <c r="E210" s="54" t="s">
        <v>364</v>
      </c>
      <c r="F210" s="130" t="s">
        <v>378</v>
      </c>
      <c r="G210" s="130" t="s">
        <v>157</v>
      </c>
      <c r="H210" s="119">
        <v>80111600</v>
      </c>
      <c r="I210" s="120">
        <v>9</v>
      </c>
      <c r="J210" s="131">
        <v>3</v>
      </c>
      <c r="K210" s="56">
        <v>0</v>
      </c>
      <c r="L210" s="57">
        <f>44023360-12379200-31644160</f>
        <v>0</v>
      </c>
      <c r="M210" s="130" t="s">
        <v>173</v>
      </c>
      <c r="N210" s="57" t="s">
        <v>114</v>
      </c>
      <c r="O210" s="54" t="s">
        <v>221</v>
      </c>
      <c r="P210" s="132" t="str">
        <f>IFERROR(VLOOKUP(C210,TD!$B$32:$F$36,2,0)," ")</f>
        <v>O230117</v>
      </c>
      <c r="Q210" s="132" t="str">
        <f>IFERROR(VLOOKUP(C210,TD!$B$32:$F$36,3,0)," ")</f>
        <v>4599</v>
      </c>
      <c r="R210" s="132">
        <f>IFERROR(VLOOKUP(C210,TD!$B$32:$F$36,4,0)," ")</f>
        <v>20240207</v>
      </c>
      <c r="S210" s="54" t="s">
        <v>194</v>
      </c>
      <c r="T210" s="132" t="str">
        <f>IFERROR(VLOOKUP(S210,TD!$J$33:$K$43,2,0)," ")</f>
        <v>Servicios para la planeación y sistemas de gestión y comunicación estratégica</v>
      </c>
      <c r="U210" s="54" t="str">
        <f t="shared" si="12"/>
        <v>13-Servicios para la planeación y sistemas de gestión y comunicación estratégica</v>
      </c>
      <c r="V210" s="54" t="s">
        <v>243</v>
      </c>
      <c r="W210" s="132" t="str">
        <f>IFERROR(VLOOKUP(V210,TD!$N$33:$O$45,2,0)," ")</f>
        <v>Documentos de planeación</v>
      </c>
      <c r="X210" s="54" t="str">
        <f t="shared" si="13"/>
        <v>019_Documentos de planeación</v>
      </c>
      <c r="Y210" s="54" t="str">
        <f t="shared" si="14"/>
        <v>13-Servicios para la planeación y sistemas de gestión y comunicación estratégica 019_Documentos de planeación</v>
      </c>
      <c r="Z210" s="132" t="str">
        <f t="shared" si="15"/>
        <v>O23011745992024020713019</v>
      </c>
      <c r="AA210" s="132" t="str">
        <f>IFERROR(VLOOKUP(Y210,TD!$K$46:$L$64,2,0)," ")</f>
        <v>PM/0131/0113/45990190207</v>
      </c>
      <c r="AB210" s="57" t="s">
        <v>139</v>
      </c>
      <c r="AC210" s="133" t="s">
        <v>205</v>
      </c>
    </row>
    <row r="211" spans="2:29" s="28" customFormat="1" ht="42.75">
      <c r="B211" s="85">
        <v>20240798</v>
      </c>
      <c r="C211" s="53" t="s">
        <v>210</v>
      </c>
      <c r="D211" s="130" t="s">
        <v>170</v>
      </c>
      <c r="E211" s="54" t="s">
        <v>456</v>
      </c>
      <c r="F211" s="130" t="s">
        <v>485</v>
      </c>
      <c r="G211" s="130" t="s">
        <v>110</v>
      </c>
      <c r="H211" s="117" t="s">
        <v>808</v>
      </c>
      <c r="I211" s="131">
        <v>10</v>
      </c>
      <c r="J211" s="131">
        <v>2</v>
      </c>
      <c r="K211" s="56">
        <v>0</v>
      </c>
      <c r="L211" s="57">
        <f>491501227+355000000</f>
        <v>846501227</v>
      </c>
      <c r="M211" s="130" t="s">
        <v>173</v>
      </c>
      <c r="N211" s="57" t="s">
        <v>96</v>
      </c>
      <c r="O211" s="54" t="s">
        <v>223</v>
      </c>
      <c r="P211" s="132" t="str">
        <f>IFERROR(VLOOKUP(C211,TD!$B$32:$F$36,2,0)," ")</f>
        <v>O230117</v>
      </c>
      <c r="Q211" s="132" t="str">
        <f>IFERROR(VLOOKUP(C211,TD!$B$32:$F$36,3,0)," ")</f>
        <v>4503</v>
      </c>
      <c r="R211" s="132">
        <f>IFERROR(VLOOKUP(C211,TD!$B$32:$F$36,4,0)," ")</f>
        <v>20240255</v>
      </c>
      <c r="S211" s="54" t="s">
        <v>190</v>
      </c>
      <c r="T211" s="132" t="str">
        <f>IFERROR(VLOOKUP(S211,TD!$J$33:$K$43,2,0)," ")</f>
        <v>Servicio de dotación y equipamento para el personal operativo</v>
      </c>
      <c r="U211" s="54" t="str">
        <f t="shared" si="12"/>
        <v>10-Servicio de dotación y equipamento para el personal operativo</v>
      </c>
      <c r="V211" s="54" t="s">
        <v>233</v>
      </c>
      <c r="W211" s="132" t="str">
        <f>IFERROR(VLOOKUP(V211,TD!$N$33:$O$45,2,0)," ")</f>
        <v>Servicio de atención a emergencias y desastres</v>
      </c>
      <c r="X211" s="54" t="str">
        <f t="shared" si="13"/>
        <v>004_Servicio de atención a emergencias y desastres</v>
      </c>
      <c r="Y211" s="54" t="str">
        <f t="shared" si="14"/>
        <v>10-Servicio de dotación y equipamento para el personal operativo 004_Servicio de atención a emergencias y desastres</v>
      </c>
      <c r="Z211" s="132" t="str">
        <f t="shared" si="15"/>
        <v>O23011745032024025510004</v>
      </c>
      <c r="AA211" s="132" t="str">
        <f>IFERROR(VLOOKUP(Y211,TD!$K$46:$L$64,2,0)," ")</f>
        <v>PM/0131/0110/45030040255</v>
      </c>
      <c r="AB211" s="57" t="s">
        <v>88</v>
      </c>
      <c r="AC211" s="133" t="s">
        <v>205</v>
      </c>
    </row>
    <row r="212" spans="2:29" s="28" customFormat="1" ht="57">
      <c r="B212" s="85">
        <v>20240799</v>
      </c>
      <c r="C212" s="53" t="s">
        <v>210</v>
      </c>
      <c r="D212" s="130" t="s">
        <v>168</v>
      </c>
      <c r="E212" s="54" t="s">
        <v>380</v>
      </c>
      <c r="F212" s="130" t="s">
        <v>654</v>
      </c>
      <c r="G212" s="130" t="s">
        <v>97</v>
      </c>
      <c r="H212" s="117" t="s">
        <v>401</v>
      </c>
      <c r="I212" s="131">
        <v>7</v>
      </c>
      <c r="J212" s="131">
        <v>7</v>
      </c>
      <c r="K212" s="56">
        <v>0</v>
      </c>
      <c r="L212" s="57">
        <f>100000000-100000000</f>
        <v>0</v>
      </c>
      <c r="M212" s="130" t="s">
        <v>173</v>
      </c>
      <c r="N212" s="57" t="s">
        <v>91</v>
      </c>
      <c r="O212" s="54" t="s">
        <v>222</v>
      </c>
      <c r="P212" s="132" t="str">
        <f>IFERROR(VLOOKUP(C212,TD!$B$32:$F$36,2,0)," ")</f>
        <v>O230117</v>
      </c>
      <c r="Q212" s="132" t="str">
        <f>IFERROR(VLOOKUP(C212,TD!$B$32:$F$36,3,0)," ")</f>
        <v>4503</v>
      </c>
      <c r="R212" s="132">
        <f>IFERROR(VLOOKUP(C212,TD!$B$32:$F$36,4,0)," ")</f>
        <v>20240255</v>
      </c>
      <c r="S212" s="54" t="s">
        <v>178</v>
      </c>
      <c r="T212" s="132" t="str">
        <f>IFERROR(VLOOKUP(S212,TD!$J$33:$K$43,2,0)," ")</f>
        <v>Servicio de capacitaciones en gestión del riesgo de incendios  a la ciudadania.</v>
      </c>
      <c r="U212" s="54" t="str">
        <f t="shared" si="12"/>
        <v>05-Servicio de capacitaciones en gestión del riesgo de incendios  a la ciudadania.</v>
      </c>
      <c r="V212" s="54" t="s">
        <v>235</v>
      </c>
      <c r="W212" s="132" t="str">
        <f>IFERROR(VLOOKUP(V212,TD!$N$33:$O$45,2,0)," ")</f>
        <v>Servicio prevención y control de incendios</v>
      </c>
      <c r="X212" s="54" t="str">
        <f t="shared" si="13"/>
        <v>035_Servicio prevención y control de incendios</v>
      </c>
      <c r="Y212" s="54" t="str">
        <f t="shared" si="14"/>
        <v>05-Servicio de capacitaciones en gestión del riesgo de incendios  a la ciudadania. 035_Servicio prevención y control de incendios</v>
      </c>
      <c r="Z212" s="132" t="str">
        <f t="shared" si="15"/>
        <v>O23011745032024025505035</v>
      </c>
      <c r="AA212" s="132" t="str">
        <f>IFERROR(VLOOKUP(Y212,TD!$K$46:$L$64,2,0)," ")</f>
        <v>PM/0131/0105/45030350255</v>
      </c>
      <c r="AB212" s="57" t="s">
        <v>139</v>
      </c>
      <c r="AC212" s="133" t="s">
        <v>205</v>
      </c>
    </row>
    <row r="213" spans="2:29" s="28" customFormat="1" ht="71.25">
      <c r="B213" s="85">
        <v>20240800</v>
      </c>
      <c r="C213" s="53" t="s">
        <v>210</v>
      </c>
      <c r="D213" s="130" t="s">
        <v>168</v>
      </c>
      <c r="E213" s="54" t="s">
        <v>380</v>
      </c>
      <c r="F213" s="130" t="s">
        <v>753</v>
      </c>
      <c r="G213" s="130" t="s">
        <v>120</v>
      </c>
      <c r="H213" s="117" t="s">
        <v>834</v>
      </c>
      <c r="I213" s="131">
        <v>10</v>
      </c>
      <c r="J213" s="131">
        <v>3</v>
      </c>
      <c r="K213" s="56">
        <v>0</v>
      </c>
      <c r="L213" s="57">
        <v>56916047</v>
      </c>
      <c r="M213" s="130" t="s">
        <v>173</v>
      </c>
      <c r="N213" s="57" t="s">
        <v>101</v>
      </c>
      <c r="O213" s="54" t="s">
        <v>226</v>
      </c>
      <c r="P213" s="132" t="str">
        <f>IFERROR(VLOOKUP(C213,TD!$B$32:$F$36,2,0)," ")</f>
        <v>O230117</v>
      </c>
      <c r="Q213" s="132" t="str">
        <f>IFERROR(VLOOKUP(C213,TD!$B$32:$F$36,3,0)," ")</f>
        <v>4503</v>
      </c>
      <c r="R213" s="132">
        <f>IFERROR(VLOOKUP(C213,TD!$B$32:$F$36,4,0)," ")</f>
        <v>20240255</v>
      </c>
      <c r="S213" s="54" t="s">
        <v>180</v>
      </c>
      <c r="T213" s="132" t="str">
        <f>IFERROR(VLOOKUP(S213,TD!$J$33:$K$43,2,0)," ")</f>
        <v>Infraestructura Tecnológica   (Sistemas de Información y Tecnologia)</v>
      </c>
      <c r="U213" s="54" t="str">
        <f t="shared" si="12"/>
        <v>11-Infraestructura Tecnológica   (Sistemas de Información y Tecnologia)</v>
      </c>
      <c r="V213" s="54" t="s">
        <v>236</v>
      </c>
      <c r="W213" s="132" t="str">
        <f>IFERROR(VLOOKUP(V213,TD!$N$33:$O$45,2,0)," ")</f>
        <v>"Servicio de monitoreo y seguimiento para la gestión del riesgo"</v>
      </c>
      <c r="X213" s="54" t="str">
        <f t="shared" si="13"/>
        <v>018_"Servicio de monitoreo y seguimiento para la gestión del riesgo"</v>
      </c>
      <c r="Y213" s="54" t="str">
        <f t="shared" si="14"/>
        <v>11-Infraestructura Tecnológica   (Sistemas de Información y Tecnologia) 018_"Servicio de monitoreo y seguimiento para la gestión del riesgo"</v>
      </c>
      <c r="Z213" s="132" t="str">
        <f t="shared" si="15"/>
        <v>O23011745032024025511018</v>
      </c>
      <c r="AA213" s="132" t="str">
        <f>IFERROR(VLOOKUP(Y213,TD!$K$46:$L$64,2,0)," ")</f>
        <v>PM/0131/0111/45030180255</v>
      </c>
      <c r="AB213" s="57" t="s">
        <v>139</v>
      </c>
      <c r="AC213" s="133" t="s">
        <v>205</v>
      </c>
    </row>
    <row r="214" spans="2:29" s="28" customFormat="1" ht="57">
      <c r="B214" s="85">
        <v>20240801</v>
      </c>
      <c r="C214" s="53" t="s">
        <v>210</v>
      </c>
      <c r="D214" s="130" t="s">
        <v>168</v>
      </c>
      <c r="E214" s="54" t="s">
        <v>380</v>
      </c>
      <c r="F214" s="130" t="s">
        <v>655</v>
      </c>
      <c r="G214" s="130" t="s">
        <v>156</v>
      </c>
      <c r="H214" s="117">
        <v>80111600</v>
      </c>
      <c r="I214" s="131">
        <v>7</v>
      </c>
      <c r="J214" s="131">
        <v>3</v>
      </c>
      <c r="K214" s="56">
        <v>12</v>
      </c>
      <c r="L214" s="57">
        <v>20200000</v>
      </c>
      <c r="M214" s="130" t="s">
        <v>173</v>
      </c>
      <c r="N214" s="57" t="s">
        <v>114</v>
      </c>
      <c r="O214" s="54" t="s">
        <v>222</v>
      </c>
      <c r="P214" s="132" t="str">
        <f>IFERROR(VLOOKUP(C214,TD!$B$32:$F$36,2,0)," ")</f>
        <v>O230117</v>
      </c>
      <c r="Q214" s="132" t="str">
        <f>IFERROR(VLOOKUP(C214,TD!$B$32:$F$36,3,0)," ")</f>
        <v>4503</v>
      </c>
      <c r="R214" s="132">
        <f>IFERROR(VLOOKUP(C214,TD!$B$32:$F$36,4,0)," ")</f>
        <v>20240255</v>
      </c>
      <c r="S214" s="54" t="s">
        <v>178</v>
      </c>
      <c r="T214" s="132" t="str">
        <f>IFERROR(VLOOKUP(S214,TD!$J$33:$K$43,2,0)," ")</f>
        <v>Servicio de capacitaciones en gestión del riesgo de incendios  a la ciudadania.</v>
      </c>
      <c r="U214" s="54" t="str">
        <f t="shared" si="12"/>
        <v>05-Servicio de capacitaciones en gestión del riesgo de incendios  a la ciudadania.</v>
      </c>
      <c r="V214" s="54" t="s">
        <v>235</v>
      </c>
      <c r="W214" s="132" t="str">
        <f>IFERROR(VLOOKUP(V214,TD!$N$33:$O$45,2,0)," ")</f>
        <v>Servicio prevención y control de incendios</v>
      </c>
      <c r="X214" s="54" t="str">
        <f t="shared" si="13"/>
        <v>035_Servicio prevención y control de incendios</v>
      </c>
      <c r="Y214" s="54" t="str">
        <f t="shared" si="14"/>
        <v>05-Servicio de capacitaciones en gestión del riesgo de incendios  a la ciudadania. 035_Servicio prevención y control de incendios</v>
      </c>
      <c r="Z214" s="132" t="str">
        <f t="shared" si="15"/>
        <v>O23011745032024025505035</v>
      </c>
      <c r="AA214" s="132" t="str">
        <f>IFERROR(VLOOKUP(Y214,TD!$K$46:$L$64,2,0)," ")</f>
        <v>PM/0131/0105/45030350255</v>
      </c>
      <c r="AB214" s="57" t="s">
        <v>139</v>
      </c>
      <c r="AC214" s="133" t="s">
        <v>206</v>
      </c>
    </row>
    <row r="215" spans="2:29" s="28" customFormat="1" ht="57">
      <c r="B215" s="85">
        <v>20240804</v>
      </c>
      <c r="C215" s="53" t="s">
        <v>210</v>
      </c>
      <c r="D215" s="130" t="s">
        <v>168</v>
      </c>
      <c r="E215" s="54" t="s">
        <v>380</v>
      </c>
      <c r="F215" s="130" t="s">
        <v>739</v>
      </c>
      <c r="G215" s="130" t="s">
        <v>157</v>
      </c>
      <c r="H215" s="117">
        <v>80111600</v>
      </c>
      <c r="I215" s="131">
        <v>8</v>
      </c>
      <c r="J215" s="131">
        <v>5</v>
      </c>
      <c r="K215" s="56">
        <v>0</v>
      </c>
      <c r="L215" s="57">
        <v>15000000</v>
      </c>
      <c r="M215" s="130" t="s">
        <v>173</v>
      </c>
      <c r="N215" s="57" t="s">
        <v>114</v>
      </c>
      <c r="O215" s="54" t="s">
        <v>222</v>
      </c>
      <c r="P215" s="132" t="str">
        <f>IFERROR(VLOOKUP(C215,TD!$B$32:$F$36,2,0)," ")</f>
        <v>O230117</v>
      </c>
      <c r="Q215" s="132" t="str">
        <f>IFERROR(VLOOKUP(C215,TD!$B$32:$F$36,3,0)," ")</f>
        <v>4503</v>
      </c>
      <c r="R215" s="132">
        <f>IFERROR(VLOOKUP(C215,TD!$B$32:$F$36,4,0)," ")</f>
        <v>20240255</v>
      </c>
      <c r="S215" s="54" t="s">
        <v>178</v>
      </c>
      <c r="T215" s="132" t="str">
        <f>IFERROR(VLOOKUP(S215,TD!$J$33:$K$43,2,0)," ")</f>
        <v>Servicio de capacitaciones en gestión del riesgo de incendios  a la ciudadania.</v>
      </c>
      <c r="U215" s="54" t="str">
        <f t="shared" si="12"/>
        <v>05-Servicio de capacitaciones en gestión del riesgo de incendios  a la ciudadania.</v>
      </c>
      <c r="V215" s="54" t="s">
        <v>235</v>
      </c>
      <c r="W215" s="132" t="str">
        <f>IFERROR(VLOOKUP(V215,TD!$N$33:$O$45,2,0)," ")</f>
        <v>Servicio prevención y control de incendios</v>
      </c>
      <c r="X215" s="54" t="str">
        <f t="shared" si="13"/>
        <v>035_Servicio prevención y control de incendios</v>
      </c>
      <c r="Y215" s="54" t="str">
        <f t="shared" si="14"/>
        <v>05-Servicio de capacitaciones en gestión del riesgo de incendios  a la ciudadania. 035_Servicio prevención y control de incendios</v>
      </c>
      <c r="Z215" s="132" t="str">
        <f t="shared" si="15"/>
        <v>O23011745032024025505035</v>
      </c>
      <c r="AA215" s="132" t="str">
        <f>IFERROR(VLOOKUP(Y215,TD!$K$46:$L$64,2,0)," ")</f>
        <v>PM/0131/0105/45030350255</v>
      </c>
      <c r="AB215" s="57" t="s">
        <v>139</v>
      </c>
      <c r="AC215" s="133" t="s">
        <v>205</v>
      </c>
    </row>
    <row r="216" spans="2:29" s="28" customFormat="1" ht="57">
      <c r="B216" s="85">
        <v>20240805</v>
      </c>
      <c r="C216" s="53" t="s">
        <v>210</v>
      </c>
      <c r="D216" s="130" t="s">
        <v>168</v>
      </c>
      <c r="E216" s="54" t="s">
        <v>380</v>
      </c>
      <c r="F216" s="130" t="s">
        <v>383</v>
      </c>
      <c r="G216" s="130" t="s">
        <v>157</v>
      </c>
      <c r="H216" s="117">
        <v>80111600</v>
      </c>
      <c r="I216" s="131">
        <v>8</v>
      </c>
      <c r="J216" s="131">
        <v>6</v>
      </c>
      <c r="K216" s="56">
        <v>0</v>
      </c>
      <c r="L216" s="57">
        <v>15000000</v>
      </c>
      <c r="M216" s="130" t="s">
        <v>173</v>
      </c>
      <c r="N216" s="57" t="s">
        <v>114</v>
      </c>
      <c r="O216" s="54" t="s">
        <v>222</v>
      </c>
      <c r="P216" s="132" t="str">
        <f>IFERROR(VLOOKUP(C216,TD!$B$32:$F$36,2,0)," ")</f>
        <v>O230117</v>
      </c>
      <c r="Q216" s="132" t="str">
        <f>IFERROR(VLOOKUP(C216,TD!$B$32:$F$36,3,0)," ")</f>
        <v>4503</v>
      </c>
      <c r="R216" s="132">
        <f>IFERROR(VLOOKUP(C216,TD!$B$32:$F$36,4,0)," ")</f>
        <v>20240255</v>
      </c>
      <c r="S216" s="54" t="s">
        <v>178</v>
      </c>
      <c r="T216" s="132" t="str">
        <f>IFERROR(VLOOKUP(S216,TD!$J$33:$K$43,2,0)," ")</f>
        <v>Servicio de capacitaciones en gestión del riesgo de incendios  a la ciudadania.</v>
      </c>
      <c r="U216" s="54" t="str">
        <f t="shared" si="12"/>
        <v>05-Servicio de capacitaciones en gestión del riesgo de incendios  a la ciudadania.</v>
      </c>
      <c r="V216" s="54" t="s">
        <v>235</v>
      </c>
      <c r="W216" s="132" t="str">
        <f>IFERROR(VLOOKUP(V216,TD!$N$33:$O$45,2,0)," ")</f>
        <v>Servicio prevención y control de incendios</v>
      </c>
      <c r="X216" s="54" t="str">
        <f t="shared" si="13"/>
        <v>035_Servicio prevención y control de incendios</v>
      </c>
      <c r="Y216" s="54" t="str">
        <f t="shared" si="14"/>
        <v>05-Servicio de capacitaciones en gestión del riesgo de incendios  a la ciudadania. 035_Servicio prevención y control de incendios</v>
      </c>
      <c r="Z216" s="132" t="str">
        <f t="shared" si="15"/>
        <v>O23011745032024025505035</v>
      </c>
      <c r="AA216" s="132" t="str">
        <f>IFERROR(VLOOKUP(Y216,TD!$K$46:$L$64,2,0)," ")</f>
        <v>PM/0131/0105/45030350255</v>
      </c>
      <c r="AB216" s="57" t="s">
        <v>139</v>
      </c>
      <c r="AC216" s="133" t="s">
        <v>205</v>
      </c>
    </row>
    <row r="217" spans="2:29" s="28" customFormat="1" ht="85.5">
      <c r="B217" s="85">
        <v>20240810</v>
      </c>
      <c r="C217" s="53" t="s">
        <v>210</v>
      </c>
      <c r="D217" s="130" t="s">
        <v>168</v>
      </c>
      <c r="E217" s="54" t="s">
        <v>380</v>
      </c>
      <c r="F217" s="130" t="s">
        <v>387</v>
      </c>
      <c r="G217" s="130" t="s">
        <v>120</v>
      </c>
      <c r="H217" s="117" t="s">
        <v>836</v>
      </c>
      <c r="I217" s="131">
        <v>10</v>
      </c>
      <c r="J217" s="131">
        <v>3</v>
      </c>
      <c r="K217" s="56">
        <v>0</v>
      </c>
      <c r="L217" s="57">
        <f>91000000-42000000</f>
        <v>49000000</v>
      </c>
      <c r="M217" s="130" t="s">
        <v>173</v>
      </c>
      <c r="N217" s="57" t="s">
        <v>101</v>
      </c>
      <c r="O217" s="54" t="s">
        <v>222</v>
      </c>
      <c r="P217" s="132" t="str">
        <f>IFERROR(VLOOKUP(C217,TD!$B$32:$F$36,2,0)," ")</f>
        <v>O230117</v>
      </c>
      <c r="Q217" s="132" t="str">
        <f>IFERROR(VLOOKUP(C217,TD!$B$32:$F$36,3,0)," ")</f>
        <v>4503</v>
      </c>
      <c r="R217" s="132">
        <f>IFERROR(VLOOKUP(C217,TD!$B$32:$F$36,4,0)," ")</f>
        <v>20240255</v>
      </c>
      <c r="S217" s="54" t="s">
        <v>182</v>
      </c>
      <c r="T217" s="132" t="str">
        <f>IFERROR(VLOOKUP(S217,TD!$J$33:$K$43,2,0)," ")</f>
        <v>Servicio de inspecciones técnicas realizadas</v>
      </c>
      <c r="U217" s="54" t="str">
        <f t="shared" si="12"/>
        <v>06-Servicio de inspecciones técnicas realizadas</v>
      </c>
      <c r="V217" s="54" t="s">
        <v>235</v>
      </c>
      <c r="W217" s="132" t="str">
        <f>IFERROR(VLOOKUP(V217,TD!$N$33:$O$45,2,0)," ")</f>
        <v>Servicio prevención y control de incendios</v>
      </c>
      <c r="X217" s="54" t="str">
        <f t="shared" si="13"/>
        <v>035_Servicio prevención y control de incendios</v>
      </c>
      <c r="Y217" s="54" t="str">
        <f t="shared" si="14"/>
        <v>06-Servicio de inspecciones técnicas realizadas 035_Servicio prevención y control de incendios</v>
      </c>
      <c r="Z217" s="132" t="str">
        <f t="shared" si="15"/>
        <v>O23011745032024025506035</v>
      </c>
      <c r="AA217" s="132" t="str">
        <f>IFERROR(VLOOKUP(Y217,TD!$K$46:$L$64,2,0)," ")</f>
        <v>PM/0131/0106/45030350255</v>
      </c>
      <c r="AB217" s="57" t="s">
        <v>139</v>
      </c>
      <c r="AC217" s="133" t="s">
        <v>205</v>
      </c>
    </row>
    <row r="218" spans="2:29" s="28" customFormat="1" ht="57">
      <c r="B218" s="85">
        <v>20240811</v>
      </c>
      <c r="C218" s="53" t="s">
        <v>210</v>
      </c>
      <c r="D218" s="130" t="s">
        <v>168</v>
      </c>
      <c r="E218" s="54" t="s">
        <v>380</v>
      </c>
      <c r="F218" s="130" t="s">
        <v>388</v>
      </c>
      <c r="G218" s="130" t="s">
        <v>120</v>
      </c>
      <c r="H218" s="117">
        <v>80111600</v>
      </c>
      <c r="I218" s="131">
        <v>10</v>
      </c>
      <c r="J218" s="131">
        <v>3</v>
      </c>
      <c r="K218" s="56">
        <v>0</v>
      </c>
      <c r="L218" s="57">
        <f>12000000-12000000</f>
        <v>0</v>
      </c>
      <c r="M218" s="130" t="s">
        <v>173</v>
      </c>
      <c r="N218" s="57" t="s">
        <v>101</v>
      </c>
      <c r="O218" s="54" t="s">
        <v>222</v>
      </c>
      <c r="P218" s="132" t="str">
        <f>IFERROR(VLOOKUP(C218,TD!$B$32:$F$36,2,0)," ")</f>
        <v>O230117</v>
      </c>
      <c r="Q218" s="132" t="str">
        <f>IFERROR(VLOOKUP(C218,TD!$B$32:$F$36,3,0)," ")</f>
        <v>4503</v>
      </c>
      <c r="R218" s="132">
        <f>IFERROR(VLOOKUP(C218,TD!$B$32:$F$36,4,0)," ")</f>
        <v>20240255</v>
      </c>
      <c r="S218" s="54" t="s">
        <v>182</v>
      </c>
      <c r="T218" s="132" t="str">
        <f>IFERROR(VLOOKUP(S218,TD!$J$33:$K$43,2,0)," ")</f>
        <v>Servicio de inspecciones técnicas realizadas</v>
      </c>
      <c r="U218" s="54" t="str">
        <f t="shared" si="12"/>
        <v>06-Servicio de inspecciones técnicas realizadas</v>
      </c>
      <c r="V218" s="54" t="s">
        <v>235</v>
      </c>
      <c r="W218" s="132" t="str">
        <f>IFERROR(VLOOKUP(V218,TD!$N$33:$O$45,2,0)," ")</f>
        <v>Servicio prevención y control de incendios</v>
      </c>
      <c r="X218" s="54" t="str">
        <f t="shared" si="13"/>
        <v>035_Servicio prevención y control de incendios</v>
      </c>
      <c r="Y218" s="54" t="str">
        <f t="shared" si="14"/>
        <v>06-Servicio de inspecciones técnicas realizadas 035_Servicio prevención y control de incendios</v>
      </c>
      <c r="Z218" s="132" t="str">
        <f t="shared" si="15"/>
        <v>O23011745032024025506035</v>
      </c>
      <c r="AA218" s="132" t="str">
        <f>IFERROR(VLOOKUP(Y218,TD!$K$46:$L$64,2,0)," ")</f>
        <v>PM/0131/0106/45030350255</v>
      </c>
      <c r="AB218" s="57" t="s">
        <v>139</v>
      </c>
      <c r="AC218" s="133" t="s">
        <v>205</v>
      </c>
    </row>
    <row r="219" spans="2:29" s="28" customFormat="1" ht="57">
      <c r="B219" s="85">
        <v>20240812</v>
      </c>
      <c r="C219" s="53" t="s">
        <v>210</v>
      </c>
      <c r="D219" s="130" t="s">
        <v>168</v>
      </c>
      <c r="E219" s="54" t="s">
        <v>380</v>
      </c>
      <c r="F219" s="130" t="s">
        <v>656</v>
      </c>
      <c r="G219" s="130" t="s">
        <v>156</v>
      </c>
      <c r="H219" s="117">
        <v>80111600</v>
      </c>
      <c r="I219" s="131">
        <v>12</v>
      </c>
      <c r="J219" s="131">
        <v>1.5</v>
      </c>
      <c r="K219" s="56">
        <v>0</v>
      </c>
      <c r="L219" s="57">
        <f>8250000+2750000</f>
        <v>11000000</v>
      </c>
      <c r="M219" s="130" t="s">
        <v>173</v>
      </c>
      <c r="N219" s="57" t="s">
        <v>114</v>
      </c>
      <c r="O219" s="54" t="s">
        <v>222</v>
      </c>
      <c r="P219" s="132" t="str">
        <f>IFERROR(VLOOKUP(C219,TD!$B$32:$F$36,2,0)," ")</f>
        <v>O230117</v>
      </c>
      <c r="Q219" s="132" t="str">
        <f>IFERROR(VLOOKUP(C219,TD!$B$32:$F$36,3,0)," ")</f>
        <v>4503</v>
      </c>
      <c r="R219" s="132">
        <f>IFERROR(VLOOKUP(C219,TD!$B$32:$F$36,4,0)," ")</f>
        <v>20240255</v>
      </c>
      <c r="S219" s="54" t="s">
        <v>182</v>
      </c>
      <c r="T219" s="132" t="str">
        <f>IFERROR(VLOOKUP(S219,TD!$J$33:$K$43,2,0)," ")</f>
        <v>Servicio de inspecciones técnicas realizadas</v>
      </c>
      <c r="U219" s="54" t="str">
        <f t="shared" si="12"/>
        <v>06-Servicio de inspecciones técnicas realizadas</v>
      </c>
      <c r="V219" s="54" t="s">
        <v>235</v>
      </c>
      <c r="W219" s="132" t="str">
        <f>IFERROR(VLOOKUP(V219,TD!$N$33:$O$45,2,0)," ")</f>
        <v>Servicio prevención y control de incendios</v>
      </c>
      <c r="X219" s="54" t="str">
        <f t="shared" si="13"/>
        <v>035_Servicio prevención y control de incendios</v>
      </c>
      <c r="Y219" s="54" t="str">
        <f t="shared" si="14"/>
        <v>06-Servicio de inspecciones técnicas realizadas 035_Servicio prevención y control de incendios</v>
      </c>
      <c r="Z219" s="132" t="str">
        <f t="shared" si="15"/>
        <v>O23011745032024025506035</v>
      </c>
      <c r="AA219" s="132" t="str">
        <f>IFERROR(VLOOKUP(Y219,TD!$K$46:$L$64,2,0)," ")</f>
        <v>PM/0131/0106/45030350255</v>
      </c>
      <c r="AB219" s="57" t="s">
        <v>139</v>
      </c>
      <c r="AC219" s="133" t="s">
        <v>206</v>
      </c>
    </row>
    <row r="220" spans="2:29" s="28" customFormat="1" ht="57">
      <c r="B220" s="85">
        <v>20240813</v>
      </c>
      <c r="C220" s="53" t="s">
        <v>210</v>
      </c>
      <c r="D220" s="130" t="s">
        <v>168</v>
      </c>
      <c r="E220" s="54" t="s">
        <v>380</v>
      </c>
      <c r="F220" s="130" t="s">
        <v>657</v>
      </c>
      <c r="G220" s="130" t="s">
        <v>157</v>
      </c>
      <c r="H220" s="117">
        <v>80111600</v>
      </c>
      <c r="I220" s="131">
        <v>12</v>
      </c>
      <c r="J220" s="131">
        <v>2</v>
      </c>
      <c r="K220" s="56">
        <v>0</v>
      </c>
      <c r="L220" s="57">
        <f>3700000+3700000</f>
        <v>7400000</v>
      </c>
      <c r="M220" s="130" t="s">
        <v>173</v>
      </c>
      <c r="N220" s="57" t="s">
        <v>114</v>
      </c>
      <c r="O220" s="54" t="s">
        <v>222</v>
      </c>
      <c r="P220" s="132" t="str">
        <f>IFERROR(VLOOKUP(C220,TD!$B$32:$F$36,2,0)," ")</f>
        <v>O230117</v>
      </c>
      <c r="Q220" s="132" t="str">
        <f>IFERROR(VLOOKUP(C220,TD!$B$32:$F$36,3,0)," ")</f>
        <v>4503</v>
      </c>
      <c r="R220" s="132">
        <f>IFERROR(VLOOKUP(C220,TD!$B$32:$F$36,4,0)," ")</f>
        <v>20240255</v>
      </c>
      <c r="S220" s="54" t="s">
        <v>182</v>
      </c>
      <c r="T220" s="132" t="str">
        <f>IFERROR(VLOOKUP(S220,TD!$J$33:$K$43,2,0)," ")</f>
        <v>Servicio de inspecciones técnicas realizadas</v>
      </c>
      <c r="U220" s="54" t="str">
        <f t="shared" si="12"/>
        <v>06-Servicio de inspecciones técnicas realizadas</v>
      </c>
      <c r="V220" s="54" t="s">
        <v>235</v>
      </c>
      <c r="W220" s="132" t="str">
        <f>IFERROR(VLOOKUP(V220,TD!$N$33:$O$45,2,0)," ")</f>
        <v>Servicio prevención y control de incendios</v>
      </c>
      <c r="X220" s="54" t="str">
        <f t="shared" si="13"/>
        <v>035_Servicio prevención y control de incendios</v>
      </c>
      <c r="Y220" s="54" t="str">
        <f t="shared" si="14"/>
        <v>06-Servicio de inspecciones técnicas realizadas 035_Servicio prevención y control de incendios</v>
      </c>
      <c r="Z220" s="132" t="str">
        <f t="shared" si="15"/>
        <v>O23011745032024025506035</v>
      </c>
      <c r="AA220" s="132" t="str">
        <f>IFERROR(VLOOKUP(Y220,TD!$K$46:$L$64,2,0)," ")</f>
        <v>PM/0131/0106/45030350255</v>
      </c>
      <c r="AB220" s="57" t="s">
        <v>139</v>
      </c>
      <c r="AC220" s="133" t="s">
        <v>206</v>
      </c>
    </row>
    <row r="221" spans="2:29" s="28" customFormat="1" ht="57">
      <c r="B221" s="85">
        <v>20240814</v>
      </c>
      <c r="C221" s="53" t="s">
        <v>210</v>
      </c>
      <c r="D221" s="130" t="s">
        <v>168</v>
      </c>
      <c r="E221" s="54" t="s">
        <v>380</v>
      </c>
      <c r="F221" s="130" t="s">
        <v>389</v>
      </c>
      <c r="G221" s="130" t="s">
        <v>157</v>
      </c>
      <c r="H221" s="117">
        <v>80111600</v>
      </c>
      <c r="I221" s="131">
        <v>8</v>
      </c>
      <c r="J221" s="131">
        <v>4</v>
      </c>
      <c r="K221" s="56">
        <v>0</v>
      </c>
      <c r="L221" s="57">
        <v>12000000</v>
      </c>
      <c r="M221" s="130" t="s">
        <v>173</v>
      </c>
      <c r="N221" s="57" t="s">
        <v>114</v>
      </c>
      <c r="O221" s="54" t="s">
        <v>222</v>
      </c>
      <c r="P221" s="132" t="str">
        <f>IFERROR(VLOOKUP(C221,TD!$B$32:$F$36,2,0)," ")</f>
        <v>O230117</v>
      </c>
      <c r="Q221" s="132" t="str">
        <f>IFERROR(VLOOKUP(C221,TD!$B$32:$F$36,3,0)," ")</f>
        <v>4503</v>
      </c>
      <c r="R221" s="132">
        <f>IFERROR(VLOOKUP(C221,TD!$B$32:$F$36,4,0)," ")</f>
        <v>20240255</v>
      </c>
      <c r="S221" s="54" t="s">
        <v>182</v>
      </c>
      <c r="T221" s="132" t="str">
        <f>IFERROR(VLOOKUP(S221,TD!$J$33:$K$43,2,0)," ")</f>
        <v>Servicio de inspecciones técnicas realizadas</v>
      </c>
      <c r="U221" s="54" t="str">
        <f t="shared" si="12"/>
        <v>06-Servicio de inspecciones técnicas realizadas</v>
      </c>
      <c r="V221" s="54" t="s">
        <v>235</v>
      </c>
      <c r="W221" s="132" t="str">
        <f>IFERROR(VLOOKUP(V221,TD!$N$33:$O$45,2,0)," ")</f>
        <v>Servicio prevención y control de incendios</v>
      </c>
      <c r="X221" s="54" t="str">
        <f t="shared" si="13"/>
        <v>035_Servicio prevención y control de incendios</v>
      </c>
      <c r="Y221" s="54" t="str">
        <f t="shared" si="14"/>
        <v>06-Servicio de inspecciones técnicas realizadas 035_Servicio prevención y control de incendios</v>
      </c>
      <c r="Z221" s="132" t="str">
        <f t="shared" si="15"/>
        <v>O23011745032024025506035</v>
      </c>
      <c r="AA221" s="132" t="str">
        <f>IFERROR(VLOOKUP(Y221,TD!$K$46:$L$64,2,0)," ")</f>
        <v>PM/0131/0106/45030350255</v>
      </c>
      <c r="AB221" s="57" t="s">
        <v>139</v>
      </c>
      <c r="AC221" s="133" t="s">
        <v>205</v>
      </c>
    </row>
    <row r="222" spans="2:29" s="28" customFormat="1" ht="57">
      <c r="B222" s="85">
        <v>20240821</v>
      </c>
      <c r="C222" s="53" t="s">
        <v>210</v>
      </c>
      <c r="D222" s="130" t="s">
        <v>168</v>
      </c>
      <c r="E222" s="54" t="s">
        <v>380</v>
      </c>
      <c r="F222" s="130" t="s">
        <v>389</v>
      </c>
      <c r="G222" s="130" t="s">
        <v>157</v>
      </c>
      <c r="H222" s="117">
        <v>80111600</v>
      </c>
      <c r="I222" s="131">
        <v>8</v>
      </c>
      <c r="J222" s="131">
        <v>5</v>
      </c>
      <c r="K222" s="56">
        <v>0</v>
      </c>
      <c r="L222" s="57">
        <v>15000000</v>
      </c>
      <c r="M222" s="130" t="s">
        <v>173</v>
      </c>
      <c r="N222" s="57" t="s">
        <v>114</v>
      </c>
      <c r="O222" s="54" t="s">
        <v>222</v>
      </c>
      <c r="P222" s="132" t="str">
        <f>IFERROR(VLOOKUP(C222,TD!$B$32:$F$36,2,0)," ")</f>
        <v>O230117</v>
      </c>
      <c r="Q222" s="132" t="str">
        <f>IFERROR(VLOOKUP(C222,TD!$B$32:$F$36,3,0)," ")</f>
        <v>4503</v>
      </c>
      <c r="R222" s="132">
        <f>IFERROR(VLOOKUP(C222,TD!$B$32:$F$36,4,0)," ")</f>
        <v>20240255</v>
      </c>
      <c r="S222" s="54" t="s">
        <v>182</v>
      </c>
      <c r="T222" s="132" t="str">
        <f>IFERROR(VLOOKUP(S222,TD!$J$33:$K$43,2,0)," ")</f>
        <v>Servicio de inspecciones técnicas realizadas</v>
      </c>
      <c r="U222" s="54" t="str">
        <f t="shared" si="12"/>
        <v>06-Servicio de inspecciones técnicas realizadas</v>
      </c>
      <c r="V222" s="54" t="s">
        <v>235</v>
      </c>
      <c r="W222" s="132" t="str">
        <f>IFERROR(VLOOKUP(V222,TD!$N$33:$O$45,2,0)," ")</f>
        <v>Servicio prevención y control de incendios</v>
      </c>
      <c r="X222" s="54" t="str">
        <f t="shared" si="13"/>
        <v>035_Servicio prevención y control de incendios</v>
      </c>
      <c r="Y222" s="54" t="str">
        <f t="shared" si="14"/>
        <v>06-Servicio de inspecciones técnicas realizadas 035_Servicio prevención y control de incendios</v>
      </c>
      <c r="Z222" s="132" t="str">
        <f t="shared" si="15"/>
        <v>O23011745032024025506035</v>
      </c>
      <c r="AA222" s="132" t="str">
        <f>IFERROR(VLOOKUP(Y222,TD!$K$46:$L$64,2,0)," ")</f>
        <v>PM/0131/0106/45030350255</v>
      </c>
      <c r="AB222" s="57" t="s">
        <v>139</v>
      </c>
      <c r="AC222" s="133" t="s">
        <v>205</v>
      </c>
    </row>
    <row r="223" spans="2:29" s="28" customFormat="1" ht="57">
      <c r="B223" s="85">
        <v>20240822</v>
      </c>
      <c r="C223" s="53" t="s">
        <v>210</v>
      </c>
      <c r="D223" s="130" t="s">
        <v>168</v>
      </c>
      <c r="E223" s="54" t="s">
        <v>380</v>
      </c>
      <c r="F223" s="130" t="s">
        <v>392</v>
      </c>
      <c r="G223" s="130" t="s">
        <v>157</v>
      </c>
      <c r="H223" s="117">
        <v>80111600</v>
      </c>
      <c r="I223" s="131">
        <v>7</v>
      </c>
      <c r="J223" s="131">
        <v>6</v>
      </c>
      <c r="K223" s="56">
        <v>0</v>
      </c>
      <c r="L223" s="57">
        <f>14800000+7400000</f>
        <v>22200000</v>
      </c>
      <c r="M223" s="130" t="s">
        <v>173</v>
      </c>
      <c r="N223" s="57" t="s">
        <v>114</v>
      </c>
      <c r="O223" s="54" t="s">
        <v>227</v>
      </c>
      <c r="P223" s="132" t="str">
        <f>IFERROR(VLOOKUP(C223,TD!$B$32:$F$36,2,0)," ")</f>
        <v>O230117</v>
      </c>
      <c r="Q223" s="132" t="str">
        <f>IFERROR(VLOOKUP(C223,TD!$B$32:$F$36,3,0)," ")</f>
        <v>4503</v>
      </c>
      <c r="R223" s="132">
        <f>IFERROR(VLOOKUP(C223,TD!$B$32:$F$36,4,0)," ")</f>
        <v>20240255</v>
      </c>
      <c r="S223" s="54" t="s">
        <v>180</v>
      </c>
      <c r="T223" s="132" t="str">
        <f>IFERROR(VLOOKUP(S223,TD!$J$33:$K$43,2,0)," ")</f>
        <v>Infraestructura Tecnológica   (Sistemas de Información y Tecnologia)</v>
      </c>
      <c r="U223" s="54" t="str">
        <f t="shared" si="12"/>
        <v>11-Infraestructura Tecnológica   (Sistemas de Información y Tecnologia)</v>
      </c>
      <c r="V223" s="54" t="s">
        <v>236</v>
      </c>
      <c r="W223" s="132" t="str">
        <f>IFERROR(VLOOKUP(V223,TD!$N$33:$O$45,2,0)," ")</f>
        <v>"Servicio de monitoreo y seguimiento para la gestión del riesgo"</v>
      </c>
      <c r="X223" s="54" t="str">
        <f t="shared" si="13"/>
        <v>018_"Servicio de monitoreo y seguimiento para la gestión del riesgo"</v>
      </c>
      <c r="Y223" s="54" t="str">
        <f t="shared" si="14"/>
        <v>11-Infraestructura Tecnológica   (Sistemas de Información y Tecnologia) 018_"Servicio de monitoreo y seguimiento para la gestión del riesgo"</v>
      </c>
      <c r="Z223" s="132" t="str">
        <f t="shared" si="15"/>
        <v>O23011745032024025511018</v>
      </c>
      <c r="AA223" s="132" t="str">
        <f>IFERROR(VLOOKUP(Y223,TD!$K$46:$L$64,2,0)," ")</f>
        <v>PM/0131/0111/45030180255</v>
      </c>
      <c r="AB223" s="57" t="s">
        <v>139</v>
      </c>
      <c r="AC223" s="133" t="s">
        <v>205</v>
      </c>
    </row>
    <row r="224" spans="2:29" s="28" customFormat="1" ht="57">
      <c r="B224" s="85">
        <v>20240823</v>
      </c>
      <c r="C224" s="53" t="s">
        <v>210</v>
      </c>
      <c r="D224" s="130" t="s">
        <v>168</v>
      </c>
      <c r="E224" s="54" t="s">
        <v>380</v>
      </c>
      <c r="F224" s="130" t="s">
        <v>393</v>
      </c>
      <c r="G224" s="130" t="s">
        <v>157</v>
      </c>
      <c r="H224" s="117">
        <v>80111600</v>
      </c>
      <c r="I224" s="131">
        <v>8</v>
      </c>
      <c r="J224" s="131">
        <v>6</v>
      </c>
      <c r="K224" s="56">
        <v>0</v>
      </c>
      <c r="L224" s="57">
        <f>5000000+10000000</f>
        <v>15000000</v>
      </c>
      <c r="M224" s="130" t="s">
        <v>173</v>
      </c>
      <c r="N224" s="57" t="s">
        <v>114</v>
      </c>
      <c r="O224" s="54" t="s">
        <v>227</v>
      </c>
      <c r="P224" s="132" t="str">
        <f>IFERROR(VLOOKUP(C224,TD!$B$32:$F$36,2,0)," ")</f>
        <v>O230117</v>
      </c>
      <c r="Q224" s="132" t="str">
        <f>IFERROR(VLOOKUP(C224,TD!$B$32:$F$36,3,0)," ")</f>
        <v>4503</v>
      </c>
      <c r="R224" s="132">
        <f>IFERROR(VLOOKUP(C224,TD!$B$32:$F$36,4,0)," ")</f>
        <v>20240255</v>
      </c>
      <c r="S224" s="54" t="s">
        <v>180</v>
      </c>
      <c r="T224" s="132" t="str">
        <f>IFERROR(VLOOKUP(S224,TD!$J$33:$K$43,2,0)," ")</f>
        <v>Infraestructura Tecnológica   (Sistemas de Información y Tecnologia)</v>
      </c>
      <c r="U224" s="54" t="str">
        <f t="shared" si="12"/>
        <v>11-Infraestructura Tecnológica   (Sistemas de Información y Tecnologia)</v>
      </c>
      <c r="V224" s="54" t="s">
        <v>236</v>
      </c>
      <c r="W224" s="132" t="str">
        <f>IFERROR(VLOOKUP(V224,TD!$N$33:$O$45,2,0)," ")</f>
        <v>"Servicio de monitoreo y seguimiento para la gestión del riesgo"</v>
      </c>
      <c r="X224" s="54" t="str">
        <f t="shared" si="13"/>
        <v>018_"Servicio de monitoreo y seguimiento para la gestión del riesgo"</v>
      </c>
      <c r="Y224" s="54" t="str">
        <f t="shared" si="14"/>
        <v>11-Infraestructura Tecnológica   (Sistemas de Información y Tecnologia) 018_"Servicio de monitoreo y seguimiento para la gestión del riesgo"</v>
      </c>
      <c r="Z224" s="132" t="str">
        <f t="shared" si="15"/>
        <v>O23011745032024025511018</v>
      </c>
      <c r="AA224" s="132" t="str">
        <f>IFERROR(VLOOKUP(Y224,TD!$K$46:$L$64,2,0)," ")</f>
        <v>PM/0131/0111/45030180255</v>
      </c>
      <c r="AB224" s="57" t="s">
        <v>139</v>
      </c>
      <c r="AC224" s="133" t="s">
        <v>205</v>
      </c>
    </row>
    <row r="225" spans="2:29" s="28" customFormat="1" ht="57">
      <c r="B225" s="85">
        <v>20240824</v>
      </c>
      <c r="C225" s="53" t="s">
        <v>210</v>
      </c>
      <c r="D225" s="130" t="s">
        <v>168</v>
      </c>
      <c r="E225" s="54" t="s">
        <v>380</v>
      </c>
      <c r="F225" s="130" t="s">
        <v>393</v>
      </c>
      <c r="G225" s="130" t="s">
        <v>157</v>
      </c>
      <c r="H225" s="117">
        <v>80111600</v>
      </c>
      <c r="I225" s="131">
        <v>8</v>
      </c>
      <c r="J225" s="131">
        <v>6</v>
      </c>
      <c r="K225" s="56">
        <v>0</v>
      </c>
      <c r="L225" s="57">
        <f>1967209+13032791</f>
        <v>15000000</v>
      </c>
      <c r="M225" s="130" t="s">
        <v>173</v>
      </c>
      <c r="N225" s="57" t="s">
        <v>114</v>
      </c>
      <c r="O225" s="54" t="s">
        <v>227</v>
      </c>
      <c r="P225" s="132" t="str">
        <f>IFERROR(VLOOKUP(C225,TD!$B$32:$F$36,2,0)," ")</f>
        <v>O230117</v>
      </c>
      <c r="Q225" s="132" t="str">
        <f>IFERROR(VLOOKUP(C225,TD!$B$32:$F$36,3,0)," ")</f>
        <v>4503</v>
      </c>
      <c r="R225" s="132">
        <f>IFERROR(VLOOKUP(C225,TD!$B$32:$F$36,4,0)," ")</f>
        <v>20240255</v>
      </c>
      <c r="S225" s="54" t="s">
        <v>180</v>
      </c>
      <c r="T225" s="132" t="str">
        <f>IFERROR(VLOOKUP(S225,TD!$J$33:$K$43,2,0)," ")</f>
        <v>Infraestructura Tecnológica   (Sistemas de Información y Tecnologia)</v>
      </c>
      <c r="U225" s="54" t="str">
        <f t="shared" si="12"/>
        <v>11-Infraestructura Tecnológica   (Sistemas de Información y Tecnologia)</v>
      </c>
      <c r="V225" s="54" t="s">
        <v>236</v>
      </c>
      <c r="W225" s="132" t="str">
        <f>IFERROR(VLOOKUP(V225,TD!$N$33:$O$45,2,0)," ")</f>
        <v>"Servicio de monitoreo y seguimiento para la gestión del riesgo"</v>
      </c>
      <c r="X225" s="54" t="str">
        <f t="shared" si="13"/>
        <v>018_"Servicio de monitoreo y seguimiento para la gestión del riesgo"</v>
      </c>
      <c r="Y225" s="54" t="str">
        <f t="shared" si="14"/>
        <v>11-Infraestructura Tecnológica   (Sistemas de Información y Tecnologia) 018_"Servicio de monitoreo y seguimiento para la gestión del riesgo"</v>
      </c>
      <c r="Z225" s="132" t="str">
        <f t="shared" si="15"/>
        <v>O23011745032024025511018</v>
      </c>
      <c r="AA225" s="132" t="str">
        <f>IFERROR(VLOOKUP(Y225,TD!$K$46:$L$64,2,0)," ")</f>
        <v>PM/0131/0111/45030180255</v>
      </c>
      <c r="AB225" s="57" t="s">
        <v>139</v>
      </c>
      <c r="AC225" s="133" t="s">
        <v>205</v>
      </c>
    </row>
    <row r="226" spans="2:29" s="28" customFormat="1" ht="57">
      <c r="B226" s="85">
        <v>20240825</v>
      </c>
      <c r="C226" s="53" t="s">
        <v>210</v>
      </c>
      <c r="D226" s="130" t="s">
        <v>168</v>
      </c>
      <c r="E226" s="54" t="s">
        <v>380</v>
      </c>
      <c r="F226" s="130" t="s">
        <v>394</v>
      </c>
      <c r="G226" s="130" t="s">
        <v>157</v>
      </c>
      <c r="H226" s="117">
        <v>80111600</v>
      </c>
      <c r="I226" s="131">
        <v>8</v>
      </c>
      <c r="J226" s="131">
        <v>6</v>
      </c>
      <c r="K226" s="56">
        <v>0</v>
      </c>
      <c r="L226" s="57">
        <v>18000000</v>
      </c>
      <c r="M226" s="130" t="s">
        <v>173</v>
      </c>
      <c r="N226" s="57" t="s">
        <v>114</v>
      </c>
      <c r="O226" s="54" t="s">
        <v>226</v>
      </c>
      <c r="P226" s="132" t="str">
        <f>IFERROR(VLOOKUP(C226,TD!$B$32:$F$36,2,0)," ")</f>
        <v>O230117</v>
      </c>
      <c r="Q226" s="132" t="str">
        <f>IFERROR(VLOOKUP(C226,TD!$B$32:$F$36,3,0)," ")</f>
        <v>4503</v>
      </c>
      <c r="R226" s="132">
        <f>IFERROR(VLOOKUP(C226,TD!$B$32:$F$36,4,0)," ")</f>
        <v>20240255</v>
      </c>
      <c r="S226" s="54" t="s">
        <v>180</v>
      </c>
      <c r="T226" s="132" t="str">
        <f>IFERROR(VLOOKUP(S226,TD!$J$33:$K$43,2,0)," ")</f>
        <v>Infraestructura Tecnológica   (Sistemas de Información y Tecnologia)</v>
      </c>
      <c r="U226" s="54" t="str">
        <f t="shared" si="12"/>
        <v>11-Infraestructura Tecnológica   (Sistemas de Información y Tecnologia)</v>
      </c>
      <c r="V226" s="54" t="s">
        <v>236</v>
      </c>
      <c r="W226" s="132" t="str">
        <f>IFERROR(VLOOKUP(V226,TD!$N$33:$O$45,2,0)," ")</f>
        <v>"Servicio de monitoreo y seguimiento para la gestión del riesgo"</v>
      </c>
      <c r="X226" s="54" t="str">
        <f t="shared" si="13"/>
        <v>018_"Servicio de monitoreo y seguimiento para la gestión del riesgo"</v>
      </c>
      <c r="Y226" s="54" t="str">
        <f t="shared" si="14"/>
        <v>11-Infraestructura Tecnológica   (Sistemas de Información y Tecnologia) 018_"Servicio de monitoreo y seguimiento para la gestión del riesgo"</v>
      </c>
      <c r="Z226" s="132" t="str">
        <f t="shared" si="15"/>
        <v>O23011745032024025511018</v>
      </c>
      <c r="AA226" s="132" t="str">
        <f>IFERROR(VLOOKUP(Y226,TD!$K$46:$L$64,2,0)," ")</f>
        <v>PM/0131/0111/45030180255</v>
      </c>
      <c r="AB226" s="57" t="s">
        <v>139</v>
      </c>
      <c r="AC226" s="133" t="s">
        <v>205</v>
      </c>
    </row>
    <row r="227" spans="2:29" s="28" customFormat="1" ht="57">
      <c r="B227" s="85">
        <v>20240826</v>
      </c>
      <c r="C227" s="53" t="s">
        <v>210</v>
      </c>
      <c r="D227" s="130" t="s">
        <v>168</v>
      </c>
      <c r="E227" s="54" t="s">
        <v>380</v>
      </c>
      <c r="F227" s="130" t="s">
        <v>394</v>
      </c>
      <c r="G227" s="130" t="s">
        <v>157</v>
      </c>
      <c r="H227" s="117">
        <v>80111600</v>
      </c>
      <c r="I227" s="131">
        <v>8</v>
      </c>
      <c r="J227" s="131">
        <v>6</v>
      </c>
      <c r="K227" s="56">
        <v>0</v>
      </c>
      <c r="L227" s="57">
        <v>18000000</v>
      </c>
      <c r="M227" s="130" t="s">
        <v>173</v>
      </c>
      <c r="N227" s="57" t="s">
        <v>114</v>
      </c>
      <c r="O227" s="54" t="s">
        <v>226</v>
      </c>
      <c r="P227" s="132" t="str">
        <f>IFERROR(VLOOKUP(C227,TD!$B$32:$F$36,2,0)," ")</f>
        <v>O230117</v>
      </c>
      <c r="Q227" s="132" t="str">
        <f>IFERROR(VLOOKUP(C227,TD!$B$32:$F$36,3,0)," ")</f>
        <v>4503</v>
      </c>
      <c r="R227" s="132">
        <f>IFERROR(VLOOKUP(C227,TD!$B$32:$F$36,4,0)," ")</f>
        <v>20240255</v>
      </c>
      <c r="S227" s="54" t="s">
        <v>180</v>
      </c>
      <c r="T227" s="132" t="str">
        <f>IFERROR(VLOOKUP(S227,TD!$J$33:$K$43,2,0)," ")</f>
        <v>Infraestructura Tecnológica   (Sistemas de Información y Tecnologia)</v>
      </c>
      <c r="U227" s="54" t="str">
        <f t="shared" si="12"/>
        <v>11-Infraestructura Tecnológica   (Sistemas de Información y Tecnologia)</v>
      </c>
      <c r="V227" s="54" t="s">
        <v>236</v>
      </c>
      <c r="W227" s="132" t="str">
        <f>IFERROR(VLOOKUP(V227,TD!$N$33:$O$45,2,0)," ")</f>
        <v>"Servicio de monitoreo y seguimiento para la gestión del riesgo"</v>
      </c>
      <c r="X227" s="54" t="str">
        <f t="shared" si="13"/>
        <v>018_"Servicio de monitoreo y seguimiento para la gestión del riesgo"</v>
      </c>
      <c r="Y227" s="54" t="str">
        <f t="shared" si="14"/>
        <v>11-Infraestructura Tecnológica   (Sistemas de Información y Tecnologia) 018_"Servicio de monitoreo y seguimiento para la gestión del riesgo"</v>
      </c>
      <c r="Z227" s="132" t="str">
        <f t="shared" si="15"/>
        <v>O23011745032024025511018</v>
      </c>
      <c r="AA227" s="132" t="str">
        <f>IFERROR(VLOOKUP(Y227,TD!$K$46:$L$64,2,0)," ")</f>
        <v>PM/0131/0111/45030180255</v>
      </c>
      <c r="AB227" s="57" t="s">
        <v>139</v>
      </c>
      <c r="AC227" s="133" t="s">
        <v>205</v>
      </c>
    </row>
    <row r="228" spans="2:29" s="28" customFormat="1" ht="57">
      <c r="B228" s="85">
        <v>20240827</v>
      </c>
      <c r="C228" s="53" t="s">
        <v>210</v>
      </c>
      <c r="D228" s="130" t="s">
        <v>168</v>
      </c>
      <c r="E228" s="54" t="s">
        <v>380</v>
      </c>
      <c r="F228" s="130" t="s">
        <v>394</v>
      </c>
      <c r="G228" s="130" t="s">
        <v>157</v>
      </c>
      <c r="H228" s="117">
        <v>80111600</v>
      </c>
      <c r="I228" s="131">
        <v>8</v>
      </c>
      <c r="J228" s="131">
        <v>6</v>
      </c>
      <c r="K228" s="56">
        <v>0</v>
      </c>
      <c r="L228" s="57">
        <v>18000000</v>
      </c>
      <c r="M228" s="130" t="s">
        <v>173</v>
      </c>
      <c r="N228" s="57" t="s">
        <v>114</v>
      </c>
      <c r="O228" s="54" t="s">
        <v>226</v>
      </c>
      <c r="P228" s="132" t="str">
        <f>IFERROR(VLOOKUP(C228,TD!$B$32:$F$36,2,0)," ")</f>
        <v>O230117</v>
      </c>
      <c r="Q228" s="132" t="str">
        <f>IFERROR(VLOOKUP(C228,TD!$B$32:$F$36,3,0)," ")</f>
        <v>4503</v>
      </c>
      <c r="R228" s="132">
        <f>IFERROR(VLOOKUP(C228,TD!$B$32:$F$36,4,0)," ")</f>
        <v>20240255</v>
      </c>
      <c r="S228" s="54" t="s">
        <v>180</v>
      </c>
      <c r="T228" s="132" t="str">
        <f>IFERROR(VLOOKUP(S228,TD!$J$33:$K$43,2,0)," ")</f>
        <v>Infraestructura Tecnológica   (Sistemas de Información y Tecnologia)</v>
      </c>
      <c r="U228" s="54" t="str">
        <f t="shared" si="12"/>
        <v>11-Infraestructura Tecnológica   (Sistemas de Información y Tecnologia)</v>
      </c>
      <c r="V228" s="54" t="s">
        <v>236</v>
      </c>
      <c r="W228" s="132" t="str">
        <f>IFERROR(VLOOKUP(V228,TD!$N$33:$O$45,2,0)," ")</f>
        <v>"Servicio de monitoreo y seguimiento para la gestión del riesgo"</v>
      </c>
      <c r="X228" s="54" t="str">
        <f t="shared" si="13"/>
        <v>018_"Servicio de monitoreo y seguimiento para la gestión del riesgo"</v>
      </c>
      <c r="Y228" s="54" t="str">
        <f t="shared" si="14"/>
        <v>11-Infraestructura Tecnológica   (Sistemas de Información y Tecnologia) 018_"Servicio de monitoreo y seguimiento para la gestión del riesgo"</v>
      </c>
      <c r="Z228" s="132" t="str">
        <f t="shared" si="15"/>
        <v>O23011745032024025511018</v>
      </c>
      <c r="AA228" s="132" t="str">
        <f>IFERROR(VLOOKUP(Y228,TD!$K$46:$L$64,2,0)," ")</f>
        <v>PM/0131/0111/45030180255</v>
      </c>
      <c r="AB228" s="57" t="s">
        <v>139</v>
      </c>
      <c r="AC228" s="133" t="s">
        <v>205</v>
      </c>
    </row>
    <row r="229" spans="2:29" s="28" customFormat="1" ht="57">
      <c r="B229" s="85">
        <v>20240828</v>
      </c>
      <c r="C229" s="53" t="s">
        <v>210</v>
      </c>
      <c r="D229" s="130" t="s">
        <v>168</v>
      </c>
      <c r="E229" s="54" t="s">
        <v>380</v>
      </c>
      <c r="F229" s="130" t="s">
        <v>394</v>
      </c>
      <c r="G229" s="130" t="s">
        <v>157</v>
      </c>
      <c r="H229" s="117">
        <v>80111600</v>
      </c>
      <c r="I229" s="131">
        <v>8</v>
      </c>
      <c r="J229" s="131">
        <v>6</v>
      </c>
      <c r="K229" s="56">
        <v>0</v>
      </c>
      <c r="L229" s="57">
        <v>18000000</v>
      </c>
      <c r="M229" s="130" t="s">
        <v>173</v>
      </c>
      <c r="N229" s="57" t="s">
        <v>114</v>
      </c>
      <c r="O229" s="54" t="s">
        <v>226</v>
      </c>
      <c r="P229" s="132" t="str">
        <f>IFERROR(VLOOKUP(C229,TD!$B$32:$F$36,2,0)," ")</f>
        <v>O230117</v>
      </c>
      <c r="Q229" s="132" t="str">
        <f>IFERROR(VLOOKUP(C229,TD!$B$32:$F$36,3,0)," ")</f>
        <v>4503</v>
      </c>
      <c r="R229" s="132">
        <f>IFERROR(VLOOKUP(C229,TD!$B$32:$F$36,4,0)," ")</f>
        <v>20240255</v>
      </c>
      <c r="S229" s="54" t="s">
        <v>180</v>
      </c>
      <c r="T229" s="132" t="str">
        <f>IFERROR(VLOOKUP(S229,TD!$J$33:$K$43,2,0)," ")</f>
        <v>Infraestructura Tecnológica   (Sistemas de Información y Tecnologia)</v>
      </c>
      <c r="U229" s="54" t="str">
        <f t="shared" si="12"/>
        <v>11-Infraestructura Tecnológica   (Sistemas de Información y Tecnologia)</v>
      </c>
      <c r="V229" s="54" t="s">
        <v>236</v>
      </c>
      <c r="W229" s="132" t="str">
        <f>IFERROR(VLOOKUP(V229,TD!$N$33:$O$45,2,0)," ")</f>
        <v>"Servicio de monitoreo y seguimiento para la gestión del riesgo"</v>
      </c>
      <c r="X229" s="54" t="str">
        <f t="shared" si="13"/>
        <v>018_"Servicio de monitoreo y seguimiento para la gestión del riesgo"</v>
      </c>
      <c r="Y229" s="54" t="str">
        <f t="shared" si="14"/>
        <v>11-Infraestructura Tecnológica   (Sistemas de Información y Tecnologia) 018_"Servicio de monitoreo y seguimiento para la gestión del riesgo"</v>
      </c>
      <c r="Z229" s="132" t="str">
        <f t="shared" si="15"/>
        <v>O23011745032024025511018</v>
      </c>
      <c r="AA229" s="132" t="str">
        <f>IFERROR(VLOOKUP(Y229,TD!$K$46:$L$64,2,0)," ")</f>
        <v>PM/0131/0111/45030180255</v>
      </c>
      <c r="AB229" s="57" t="s">
        <v>139</v>
      </c>
      <c r="AC229" s="133" t="s">
        <v>205</v>
      </c>
    </row>
    <row r="230" spans="2:29" s="28" customFormat="1" ht="57">
      <c r="B230" s="85">
        <v>20240831</v>
      </c>
      <c r="C230" s="53" t="s">
        <v>210</v>
      </c>
      <c r="D230" s="130" t="s">
        <v>168</v>
      </c>
      <c r="E230" s="54" t="s">
        <v>380</v>
      </c>
      <c r="F230" s="130" t="s">
        <v>395</v>
      </c>
      <c r="G230" s="130" t="s">
        <v>155</v>
      </c>
      <c r="H230" s="117">
        <v>80111600</v>
      </c>
      <c r="I230" s="131">
        <v>8</v>
      </c>
      <c r="J230" s="131">
        <v>1</v>
      </c>
      <c r="K230" s="56">
        <v>0</v>
      </c>
      <c r="L230" s="57">
        <v>35600000</v>
      </c>
      <c r="M230" s="130" t="s">
        <v>174</v>
      </c>
      <c r="N230" s="57" t="s">
        <v>101</v>
      </c>
      <c r="O230" s="54" t="s">
        <v>226</v>
      </c>
      <c r="P230" s="132" t="str">
        <f>IFERROR(VLOOKUP(C230,TD!$B$32:$F$36,2,0)," ")</f>
        <v>O230117</v>
      </c>
      <c r="Q230" s="132" t="str">
        <f>IFERROR(VLOOKUP(C230,TD!$B$32:$F$36,3,0)," ")</f>
        <v>4503</v>
      </c>
      <c r="R230" s="132">
        <f>IFERROR(VLOOKUP(C230,TD!$B$32:$F$36,4,0)," ")</f>
        <v>20240255</v>
      </c>
      <c r="S230" s="54" t="s">
        <v>180</v>
      </c>
      <c r="T230" s="132" t="str">
        <f>IFERROR(VLOOKUP(S230,TD!$J$33:$K$43,2,0)," ")</f>
        <v>Infraestructura Tecnológica   (Sistemas de Información y Tecnologia)</v>
      </c>
      <c r="U230" s="54" t="str">
        <f t="shared" si="12"/>
        <v>11-Infraestructura Tecnológica   (Sistemas de Información y Tecnologia)</v>
      </c>
      <c r="V230" s="54" t="s">
        <v>236</v>
      </c>
      <c r="W230" s="132" t="str">
        <f>IFERROR(VLOOKUP(V230,TD!$N$33:$O$45,2,0)," ")</f>
        <v>"Servicio de monitoreo y seguimiento para la gestión del riesgo"</v>
      </c>
      <c r="X230" s="54" t="str">
        <f t="shared" si="13"/>
        <v>018_"Servicio de monitoreo y seguimiento para la gestión del riesgo"</v>
      </c>
      <c r="Y230" s="54" t="str">
        <f t="shared" si="14"/>
        <v>11-Infraestructura Tecnológica   (Sistemas de Información y Tecnologia) 018_"Servicio de monitoreo y seguimiento para la gestión del riesgo"</v>
      </c>
      <c r="Z230" s="132" t="str">
        <f t="shared" si="15"/>
        <v>O23011745032024025511018</v>
      </c>
      <c r="AA230" s="132" t="str">
        <f>IFERROR(VLOOKUP(Y230,TD!$K$46:$L$64,2,0)," ")</f>
        <v>PM/0131/0111/45030180255</v>
      </c>
      <c r="AB230" s="57" t="s">
        <v>139</v>
      </c>
      <c r="AC230" s="133" t="s">
        <v>206</v>
      </c>
    </row>
    <row r="231" spans="2:29" s="28" customFormat="1" ht="57">
      <c r="B231" s="85">
        <v>20240834</v>
      </c>
      <c r="C231" s="53" t="s">
        <v>210</v>
      </c>
      <c r="D231" s="130" t="s">
        <v>168</v>
      </c>
      <c r="E231" s="54" t="s">
        <v>380</v>
      </c>
      <c r="F231" s="130" t="s">
        <v>393</v>
      </c>
      <c r="G231" s="130" t="s">
        <v>157</v>
      </c>
      <c r="H231" s="117">
        <v>80111600</v>
      </c>
      <c r="I231" s="131">
        <v>8</v>
      </c>
      <c r="J231" s="131">
        <v>6</v>
      </c>
      <c r="K231" s="56">
        <v>0</v>
      </c>
      <c r="L231" s="57">
        <f>7500000+7500000</f>
        <v>15000000</v>
      </c>
      <c r="M231" s="130" t="s">
        <v>173</v>
      </c>
      <c r="N231" s="57" t="s">
        <v>114</v>
      </c>
      <c r="O231" s="54" t="s">
        <v>227</v>
      </c>
      <c r="P231" s="132" t="str">
        <f>IFERROR(VLOOKUP(C231,TD!$B$32:$F$36,2,0)," ")</f>
        <v>O230117</v>
      </c>
      <c r="Q231" s="132" t="str">
        <f>IFERROR(VLOOKUP(C231,TD!$B$32:$F$36,3,0)," ")</f>
        <v>4503</v>
      </c>
      <c r="R231" s="132">
        <f>IFERROR(VLOOKUP(C231,TD!$B$32:$F$36,4,0)," ")</f>
        <v>20240255</v>
      </c>
      <c r="S231" s="54" t="s">
        <v>180</v>
      </c>
      <c r="T231" s="132" t="str">
        <f>IFERROR(VLOOKUP(S231,TD!$J$33:$K$43,2,0)," ")</f>
        <v>Infraestructura Tecnológica   (Sistemas de Información y Tecnologia)</v>
      </c>
      <c r="U231" s="54" t="str">
        <f t="shared" si="12"/>
        <v>11-Infraestructura Tecnológica   (Sistemas de Información y Tecnologia)</v>
      </c>
      <c r="V231" s="54" t="s">
        <v>236</v>
      </c>
      <c r="W231" s="132" t="str">
        <f>IFERROR(VLOOKUP(V231,TD!$N$33:$O$45,2,0)," ")</f>
        <v>"Servicio de monitoreo y seguimiento para la gestión del riesgo"</v>
      </c>
      <c r="X231" s="54" t="str">
        <f t="shared" si="13"/>
        <v>018_"Servicio de monitoreo y seguimiento para la gestión del riesgo"</v>
      </c>
      <c r="Y231" s="54" t="str">
        <f t="shared" si="14"/>
        <v>11-Infraestructura Tecnológica   (Sistemas de Información y Tecnologia) 018_"Servicio de monitoreo y seguimiento para la gestión del riesgo"</v>
      </c>
      <c r="Z231" s="132" t="str">
        <f t="shared" si="15"/>
        <v>O23011745032024025511018</v>
      </c>
      <c r="AA231" s="132" t="str">
        <f>IFERROR(VLOOKUP(Y231,TD!$K$46:$L$64,2,0)," ")</f>
        <v>PM/0131/0111/45030180255</v>
      </c>
      <c r="AB231" s="57" t="s">
        <v>139</v>
      </c>
      <c r="AC231" s="133" t="s">
        <v>205</v>
      </c>
    </row>
    <row r="232" spans="2:29" s="28" customFormat="1" ht="57">
      <c r="B232" s="85">
        <v>20240835</v>
      </c>
      <c r="C232" s="53" t="s">
        <v>210</v>
      </c>
      <c r="D232" s="130" t="s">
        <v>168</v>
      </c>
      <c r="E232" s="54" t="s">
        <v>380</v>
      </c>
      <c r="F232" s="130" t="s">
        <v>394</v>
      </c>
      <c r="G232" s="130" t="s">
        <v>157</v>
      </c>
      <c r="H232" s="117">
        <v>80111600</v>
      </c>
      <c r="I232" s="131">
        <v>8</v>
      </c>
      <c r="J232" s="131">
        <v>5</v>
      </c>
      <c r="K232" s="56">
        <v>0</v>
      </c>
      <c r="L232" s="57">
        <f>15000000-3000000</f>
        <v>12000000</v>
      </c>
      <c r="M232" s="130" t="s">
        <v>173</v>
      </c>
      <c r="N232" s="57" t="s">
        <v>114</v>
      </c>
      <c r="O232" s="54" t="s">
        <v>226</v>
      </c>
      <c r="P232" s="132" t="str">
        <f>IFERROR(VLOOKUP(C232,TD!$B$32:$F$36,2,0)," ")</f>
        <v>O230117</v>
      </c>
      <c r="Q232" s="132" t="str">
        <f>IFERROR(VLOOKUP(C232,TD!$B$32:$F$36,3,0)," ")</f>
        <v>4503</v>
      </c>
      <c r="R232" s="132">
        <f>IFERROR(VLOOKUP(C232,TD!$B$32:$F$36,4,0)," ")</f>
        <v>20240255</v>
      </c>
      <c r="S232" s="54" t="s">
        <v>180</v>
      </c>
      <c r="T232" s="132" t="str">
        <f>IFERROR(VLOOKUP(S232,TD!$J$33:$K$43,2,0)," ")</f>
        <v>Infraestructura Tecnológica   (Sistemas de Información y Tecnologia)</v>
      </c>
      <c r="U232" s="54" t="str">
        <f t="shared" si="12"/>
        <v>11-Infraestructura Tecnológica   (Sistemas de Información y Tecnologia)</v>
      </c>
      <c r="V232" s="54" t="s">
        <v>236</v>
      </c>
      <c r="W232" s="132" t="str">
        <f>IFERROR(VLOOKUP(V232,TD!$N$33:$O$45,2,0)," ")</f>
        <v>"Servicio de monitoreo y seguimiento para la gestión del riesgo"</v>
      </c>
      <c r="X232" s="54" t="str">
        <f t="shared" si="13"/>
        <v>018_"Servicio de monitoreo y seguimiento para la gestión del riesgo"</v>
      </c>
      <c r="Y232" s="54" t="str">
        <f t="shared" si="14"/>
        <v>11-Infraestructura Tecnológica   (Sistemas de Información y Tecnologia) 018_"Servicio de monitoreo y seguimiento para la gestión del riesgo"</v>
      </c>
      <c r="Z232" s="132" t="str">
        <f t="shared" si="15"/>
        <v>O23011745032024025511018</v>
      </c>
      <c r="AA232" s="132" t="str">
        <f>IFERROR(VLOOKUP(Y232,TD!$K$46:$L$64,2,0)," ")</f>
        <v>PM/0131/0111/45030180255</v>
      </c>
      <c r="AB232" s="57" t="s">
        <v>139</v>
      </c>
      <c r="AC232" s="133" t="s">
        <v>205</v>
      </c>
    </row>
    <row r="233" spans="2:29" s="28" customFormat="1" ht="57">
      <c r="B233" s="85">
        <v>20240836</v>
      </c>
      <c r="C233" s="53" t="s">
        <v>210</v>
      </c>
      <c r="D233" s="130" t="s">
        <v>168</v>
      </c>
      <c r="E233" s="54" t="s">
        <v>380</v>
      </c>
      <c r="F233" s="130" t="s">
        <v>394</v>
      </c>
      <c r="G233" s="130" t="s">
        <v>157</v>
      </c>
      <c r="H233" s="117">
        <v>80111600</v>
      </c>
      <c r="I233" s="131">
        <v>8</v>
      </c>
      <c r="J233" s="131">
        <v>5</v>
      </c>
      <c r="K233" s="56">
        <v>0</v>
      </c>
      <c r="L233" s="57">
        <v>15000000</v>
      </c>
      <c r="M233" s="130" t="s">
        <v>173</v>
      </c>
      <c r="N233" s="57" t="s">
        <v>114</v>
      </c>
      <c r="O233" s="54" t="s">
        <v>226</v>
      </c>
      <c r="P233" s="132" t="str">
        <f>IFERROR(VLOOKUP(C233,TD!$B$32:$F$36,2,0)," ")</f>
        <v>O230117</v>
      </c>
      <c r="Q233" s="132" t="str">
        <f>IFERROR(VLOOKUP(C233,TD!$B$32:$F$36,3,0)," ")</f>
        <v>4503</v>
      </c>
      <c r="R233" s="132">
        <f>IFERROR(VLOOKUP(C233,TD!$B$32:$F$36,4,0)," ")</f>
        <v>20240255</v>
      </c>
      <c r="S233" s="54" t="s">
        <v>180</v>
      </c>
      <c r="T233" s="132" t="str">
        <f>IFERROR(VLOOKUP(S233,TD!$J$33:$K$43,2,0)," ")</f>
        <v>Infraestructura Tecnológica   (Sistemas de Información y Tecnologia)</v>
      </c>
      <c r="U233" s="54" t="str">
        <f t="shared" si="12"/>
        <v>11-Infraestructura Tecnológica   (Sistemas de Información y Tecnologia)</v>
      </c>
      <c r="V233" s="54" t="s">
        <v>236</v>
      </c>
      <c r="W233" s="132" t="str">
        <f>IFERROR(VLOOKUP(V233,TD!$N$33:$O$45,2,0)," ")</f>
        <v>"Servicio de monitoreo y seguimiento para la gestión del riesgo"</v>
      </c>
      <c r="X233" s="54" t="str">
        <f t="shared" si="13"/>
        <v>018_"Servicio de monitoreo y seguimiento para la gestión del riesgo"</v>
      </c>
      <c r="Y233" s="54" t="str">
        <f t="shared" si="14"/>
        <v>11-Infraestructura Tecnológica   (Sistemas de Información y Tecnologia) 018_"Servicio de monitoreo y seguimiento para la gestión del riesgo"</v>
      </c>
      <c r="Z233" s="132" t="str">
        <f t="shared" si="15"/>
        <v>O23011745032024025511018</v>
      </c>
      <c r="AA233" s="132" t="str">
        <f>IFERROR(VLOOKUP(Y233,TD!$K$46:$L$64,2,0)," ")</f>
        <v>PM/0131/0111/45030180255</v>
      </c>
      <c r="AB233" s="57" t="s">
        <v>139</v>
      </c>
      <c r="AC233" s="133" t="s">
        <v>205</v>
      </c>
    </row>
    <row r="234" spans="2:29" s="28" customFormat="1" ht="57">
      <c r="B234" s="85">
        <v>20240837</v>
      </c>
      <c r="C234" s="53" t="s">
        <v>210</v>
      </c>
      <c r="D234" s="130" t="s">
        <v>168</v>
      </c>
      <c r="E234" s="54" t="s">
        <v>380</v>
      </c>
      <c r="F234" s="130" t="s">
        <v>394</v>
      </c>
      <c r="G234" s="130" t="s">
        <v>157</v>
      </c>
      <c r="H234" s="117">
        <v>80111600</v>
      </c>
      <c r="I234" s="131">
        <v>8</v>
      </c>
      <c r="J234" s="131">
        <v>5</v>
      </c>
      <c r="K234" s="56">
        <v>0</v>
      </c>
      <c r="L234" s="57">
        <v>15000000</v>
      </c>
      <c r="M234" s="130" t="s">
        <v>173</v>
      </c>
      <c r="N234" s="57" t="s">
        <v>114</v>
      </c>
      <c r="O234" s="54" t="s">
        <v>226</v>
      </c>
      <c r="P234" s="132" t="str">
        <f>IFERROR(VLOOKUP(C234,TD!$B$32:$F$36,2,0)," ")</f>
        <v>O230117</v>
      </c>
      <c r="Q234" s="132" t="str">
        <f>IFERROR(VLOOKUP(C234,TD!$B$32:$F$36,3,0)," ")</f>
        <v>4503</v>
      </c>
      <c r="R234" s="132">
        <f>IFERROR(VLOOKUP(C234,TD!$B$32:$F$36,4,0)," ")</f>
        <v>20240255</v>
      </c>
      <c r="S234" s="54" t="s">
        <v>180</v>
      </c>
      <c r="T234" s="132" t="str">
        <f>IFERROR(VLOOKUP(S234,TD!$J$33:$K$43,2,0)," ")</f>
        <v>Infraestructura Tecnológica   (Sistemas de Información y Tecnologia)</v>
      </c>
      <c r="U234" s="54" t="str">
        <f t="shared" si="12"/>
        <v>11-Infraestructura Tecnológica   (Sistemas de Información y Tecnologia)</v>
      </c>
      <c r="V234" s="54" t="s">
        <v>236</v>
      </c>
      <c r="W234" s="132" t="str">
        <f>IFERROR(VLOOKUP(V234,TD!$N$33:$O$45,2,0)," ")</f>
        <v>"Servicio de monitoreo y seguimiento para la gestión del riesgo"</v>
      </c>
      <c r="X234" s="54" t="str">
        <f t="shared" si="13"/>
        <v>018_"Servicio de monitoreo y seguimiento para la gestión del riesgo"</v>
      </c>
      <c r="Y234" s="54" t="str">
        <f t="shared" si="14"/>
        <v>11-Infraestructura Tecnológica   (Sistemas de Información y Tecnologia) 018_"Servicio de monitoreo y seguimiento para la gestión del riesgo"</v>
      </c>
      <c r="Z234" s="132" t="str">
        <f t="shared" si="15"/>
        <v>O23011745032024025511018</v>
      </c>
      <c r="AA234" s="132" t="str">
        <f>IFERROR(VLOOKUP(Y234,TD!$K$46:$L$64,2,0)," ")</f>
        <v>PM/0131/0111/45030180255</v>
      </c>
      <c r="AB234" s="57" t="s">
        <v>139</v>
      </c>
      <c r="AC234" s="133" t="s">
        <v>205</v>
      </c>
    </row>
    <row r="235" spans="2:29" s="28" customFormat="1" ht="99.75">
      <c r="B235" s="85">
        <v>20240838</v>
      </c>
      <c r="C235" s="53" t="s">
        <v>210</v>
      </c>
      <c r="D235" s="130" t="s">
        <v>168</v>
      </c>
      <c r="E235" s="54" t="s">
        <v>380</v>
      </c>
      <c r="F235" s="130" t="s">
        <v>396</v>
      </c>
      <c r="G235" s="130" t="s">
        <v>97</v>
      </c>
      <c r="H235" s="117" t="s">
        <v>751</v>
      </c>
      <c r="I235" s="131">
        <v>10</v>
      </c>
      <c r="J235" s="131">
        <v>4</v>
      </c>
      <c r="K235" s="56">
        <v>0</v>
      </c>
      <c r="L235" s="57">
        <f>40785000+1662000</f>
        <v>42447000</v>
      </c>
      <c r="M235" s="130" t="s">
        <v>173</v>
      </c>
      <c r="N235" s="57" t="s">
        <v>101</v>
      </c>
      <c r="O235" s="54" t="s">
        <v>226</v>
      </c>
      <c r="P235" s="132" t="str">
        <f>IFERROR(VLOOKUP(C235,TD!$B$32:$F$36,2,0)," ")</f>
        <v>O230117</v>
      </c>
      <c r="Q235" s="132" t="str">
        <f>IFERROR(VLOOKUP(C235,TD!$B$32:$F$36,3,0)," ")</f>
        <v>4503</v>
      </c>
      <c r="R235" s="132">
        <f>IFERROR(VLOOKUP(C235,TD!$B$32:$F$36,4,0)," ")</f>
        <v>20240255</v>
      </c>
      <c r="S235" s="54" t="s">
        <v>180</v>
      </c>
      <c r="T235" s="132" t="str">
        <f>IFERROR(VLOOKUP(S235,TD!$J$33:$K$43,2,0)," ")</f>
        <v>Infraestructura Tecnológica   (Sistemas de Información y Tecnologia)</v>
      </c>
      <c r="U235" s="54" t="str">
        <f t="shared" si="12"/>
        <v>11-Infraestructura Tecnológica   (Sistemas de Información y Tecnologia)</v>
      </c>
      <c r="V235" s="54" t="s">
        <v>236</v>
      </c>
      <c r="W235" s="132" t="str">
        <f>IFERROR(VLOOKUP(V235,TD!$N$33:$O$45,2,0)," ")</f>
        <v>"Servicio de monitoreo y seguimiento para la gestión del riesgo"</v>
      </c>
      <c r="X235" s="54" t="str">
        <f t="shared" si="13"/>
        <v>018_"Servicio de monitoreo y seguimiento para la gestión del riesgo"</v>
      </c>
      <c r="Y235" s="54" t="str">
        <f t="shared" si="14"/>
        <v>11-Infraestructura Tecnológica   (Sistemas de Información y Tecnologia) 018_"Servicio de monitoreo y seguimiento para la gestión del riesgo"</v>
      </c>
      <c r="Z235" s="132" t="str">
        <f t="shared" si="15"/>
        <v>O23011745032024025511018</v>
      </c>
      <c r="AA235" s="132" t="str">
        <f>IFERROR(VLOOKUP(Y235,TD!$K$46:$L$64,2,0)," ")</f>
        <v>PM/0131/0111/45030180255</v>
      </c>
      <c r="AB235" s="57" t="s">
        <v>139</v>
      </c>
      <c r="AC235" s="133" t="s">
        <v>205</v>
      </c>
    </row>
    <row r="236" spans="2:29" s="28" customFormat="1" ht="57">
      <c r="B236" s="85">
        <v>20240842</v>
      </c>
      <c r="C236" s="53" t="s">
        <v>210</v>
      </c>
      <c r="D236" s="130" t="s">
        <v>168</v>
      </c>
      <c r="E236" s="54" t="s">
        <v>380</v>
      </c>
      <c r="F236" s="130" t="s">
        <v>397</v>
      </c>
      <c r="G236" s="130" t="s">
        <v>156</v>
      </c>
      <c r="H236" s="117">
        <v>80111600</v>
      </c>
      <c r="I236" s="131">
        <v>8</v>
      </c>
      <c r="J236" s="131">
        <v>5</v>
      </c>
      <c r="K236" s="56">
        <v>0</v>
      </c>
      <c r="L236" s="57">
        <v>25000000</v>
      </c>
      <c r="M236" s="130" t="s">
        <v>173</v>
      </c>
      <c r="N236" s="57" t="s">
        <v>114</v>
      </c>
      <c r="O236" s="54" t="s">
        <v>226</v>
      </c>
      <c r="P236" s="132" t="str">
        <f>IFERROR(VLOOKUP(C236,TD!$B$32:$F$36,2,0)," ")</f>
        <v>O230117</v>
      </c>
      <c r="Q236" s="132" t="str">
        <f>IFERROR(VLOOKUP(C236,TD!$B$32:$F$36,3,0)," ")</f>
        <v>4503</v>
      </c>
      <c r="R236" s="132">
        <f>IFERROR(VLOOKUP(C236,TD!$B$32:$F$36,4,0)," ")</f>
        <v>20240255</v>
      </c>
      <c r="S236" s="54" t="s">
        <v>180</v>
      </c>
      <c r="T236" s="132" t="str">
        <f>IFERROR(VLOOKUP(S236,TD!$J$33:$K$43,2,0)," ")</f>
        <v>Infraestructura Tecnológica   (Sistemas de Información y Tecnologia)</v>
      </c>
      <c r="U236" s="54" t="str">
        <f t="shared" si="12"/>
        <v>11-Infraestructura Tecnológica   (Sistemas de Información y Tecnologia)</v>
      </c>
      <c r="V236" s="54" t="s">
        <v>236</v>
      </c>
      <c r="W236" s="132" t="str">
        <f>IFERROR(VLOOKUP(V236,TD!$N$33:$O$45,2,0)," ")</f>
        <v>"Servicio de monitoreo y seguimiento para la gestión del riesgo"</v>
      </c>
      <c r="X236" s="54" t="str">
        <f t="shared" si="13"/>
        <v>018_"Servicio de monitoreo y seguimiento para la gestión del riesgo"</v>
      </c>
      <c r="Y236" s="54" t="str">
        <f t="shared" si="14"/>
        <v>11-Infraestructura Tecnológica   (Sistemas de Información y Tecnologia) 018_"Servicio de monitoreo y seguimiento para la gestión del riesgo"</v>
      </c>
      <c r="Z236" s="132" t="str">
        <f t="shared" si="15"/>
        <v>O23011745032024025511018</v>
      </c>
      <c r="AA236" s="132" t="str">
        <f>IFERROR(VLOOKUP(Y236,TD!$K$46:$L$64,2,0)," ")</f>
        <v>PM/0131/0111/45030180255</v>
      </c>
      <c r="AB236" s="57" t="s">
        <v>139</v>
      </c>
      <c r="AC236" s="133" t="s">
        <v>205</v>
      </c>
    </row>
    <row r="237" spans="2:29" s="28" customFormat="1" ht="57">
      <c r="B237" s="85">
        <v>20240843</v>
      </c>
      <c r="C237" s="53" t="s">
        <v>210</v>
      </c>
      <c r="D237" s="130" t="s">
        <v>168</v>
      </c>
      <c r="E237" s="54" t="s">
        <v>380</v>
      </c>
      <c r="F237" s="130" t="s">
        <v>397</v>
      </c>
      <c r="G237" s="130" t="s">
        <v>156</v>
      </c>
      <c r="H237" s="117">
        <v>80111600</v>
      </c>
      <c r="I237" s="131">
        <v>8</v>
      </c>
      <c r="J237" s="131">
        <v>6</v>
      </c>
      <c r="K237" s="56">
        <v>0</v>
      </c>
      <c r="L237" s="57">
        <f>36000000-6000000</f>
        <v>30000000</v>
      </c>
      <c r="M237" s="130" t="s">
        <v>173</v>
      </c>
      <c r="N237" s="57" t="s">
        <v>114</v>
      </c>
      <c r="O237" s="54" t="s">
        <v>226</v>
      </c>
      <c r="P237" s="132" t="str">
        <f>IFERROR(VLOOKUP(C237,TD!$B$32:$F$36,2,0)," ")</f>
        <v>O230117</v>
      </c>
      <c r="Q237" s="132" t="str">
        <f>IFERROR(VLOOKUP(C237,TD!$B$32:$F$36,3,0)," ")</f>
        <v>4503</v>
      </c>
      <c r="R237" s="132">
        <f>IFERROR(VLOOKUP(C237,TD!$B$32:$F$36,4,0)," ")</f>
        <v>20240255</v>
      </c>
      <c r="S237" s="54" t="s">
        <v>180</v>
      </c>
      <c r="T237" s="132" t="str">
        <f>IFERROR(VLOOKUP(S237,TD!$J$33:$K$43,2,0)," ")</f>
        <v>Infraestructura Tecnológica   (Sistemas de Información y Tecnologia)</v>
      </c>
      <c r="U237" s="54" t="str">
        <f t="shared" si="12"/>
        <v>11-Infraestructura Tecnológica   (Sistemas de Información y Tecnologia)</v>
      </c>
      <c r="V237" s="54" t="s">
        <v>236</v>
      </c>
      <c r="W237" s="132" t="str">
        <f>IFERROR(VLOOKUP(V237,TD!$N$33:$O$45,2,0)," ")</f>
        <v>"Servicio de monitoreo y seguimiento para la gestión del riesgo"</v>
      </c>
      <c r="X237" s="54" t="str">
        <f t="shared" si="13"/>
        <v>018_"Servicio de monitoreo y seguimiento para la gestión del riesgo"</v>
      </c>
      <c r="Y237" s="54" t="str">
        <f t="shared" si="14"/>
        <v>11-Infraestructura Tecnológica   (Sistemas de Información y Tecnologia) 018_"Servicio de monitoreo y seguimiento para la gestión del riesgo"</v>
      </c>
      <c r="Z237" s="132" t="str">
        <f t="shared" si="15"/>
        <v>O23011745032024025511018</v>
      </c>
      <c r="AA237" s="132" t="str">
        <f>IFERROR(VLOOKUP(Y237,TD!$K$46:$L$64,2,0)," ")</f>
        <v>PM/0131/0111/45030180255</v>
      </c>
      <c r="AB237" s="57" t="s">
        <v>139</v>
      </c>
      <c r="AC237" s="133" t="s">
        <v>205</v>
      </c>
    </row>
    <row r="238" spans="2:29" s="28" customFormat="1" ht="57">
      <c r="B238" s="85">
        <v>20240844</v>
      </c>
      <c r="C238" s="53" t="s">
        <v>210</v>
      </c>
      <c r="D238" s="130" t="s">
        <v>168</v>
      </c>
      <c r="E238" s="54" t="s">
        <v>380</v>
      </c>
      <c r="F238" s="130" t="s">
        <v>397</v>
      </c>
      <c r="G238" s="130" t="s">
        <v>156</v>
      </c>
      <c r="H238" s="117">
        <v>80111600</v>
      </c>
      <c r="I238" s="131">
        <v>8</v>
      </c>
      <c r="J238" s="131">
        <v>4</v>
      </c>
      <c r="K238" s="56">
        <v>0</v>
      </c>
      <c r="L238" s="57">
        <f>28000000+2000000-6000000</f>
        <v>24000000</v>
      </c>
      <c r="M238" s="130" t="s">
        <v>173</v>
      </c>
      <c r="N238" s="57" t="s">
        <v>114</v>
      </c>
      <c r="O238" s="54" t="s">
        <v>226</v>
      </c>
      <c r="P238" s="132" t="str">
        <f>IFERROR(VLOOKUP(C238,TD!$B$32:$F$36,2,0)," ")</f>
        <v>O230117</v>
      </c>
      <c r="Q238" s="132" t="str">
        <f>IFERROR(VLOOKUP(C238,TD!$B$32:$F$36,3,0)," ")</f>
        <v>4503</v>
      </c>
      <c r="R238" s="132">
        <f>IFERROR(VLOOKUP(C238,TD!$B$32:$F$36,4,0)," ")</f>
        <v>20240255</v>
      </c>
      <c r="S238" s="54" t="s">
        <v>180</v>
      </c>
      <c r="T238" s="132" t="str">
        <f>IFERROR(VLOOKUP(S238,TD!$J$33:$K$43,2,0)," ")</f>
        <v>Infraestructura Tecnológica   (Sistemas de Información y Tecnologia)</v>
      </c>
      <c r="U238" s="54" t="str">
        <f t="shared" si="12"/>
        <v>11-Infraestructura Tecnológica   (Sistemas de Información y Tecnologia)</v>
      </c>
      <c r="V238" s="54" t="s">
        <v>236</v>
      </c>
      <c r="W238" s="132" t="str">
        <f>IFERROR(VLOOKUP(V238,TD!$N$33:$O$45,2,0)," ")</f>
        <v>"Servicio de monitoreo y seguimiento para la gestión del riesgo"</v>
      </c>
      <c r="X238" s="54" t="str">
        <f t="shared" si="13"/>
        <v>018_"Servicio de monitoreo y seguimiento para la gestión del riesgo"</v>
      </c>
      <c r="Y238" s="54" t="str">
        <f t="shared" si="14"/>
        <v>11-Infraestructura Tecnológica   (Sistemas de Información y Tecnologia) 018_"Servicio de monitoreo y seguimiento para la gestión del riesgo"</v>
      </c>
      <c r="Z238" s="132" t="str">
        <f t="shared" si="15"/>
        <v>O23011745032024025511018</v>
      </c>
      <c r="AA238" s="132" t="str">
        <f>IFERROR(VLOOKUP(Y238,TD!$K$46:$L$64,2,0)," ")</f>
        <v>PM/0131/0111/45030180255</v>
      </c>
      <c r="AB238" s="57" t="s">
        <v>139</v>
      </c>
      <c r="AC238" s="133" t="s">
        <v>205</v>
      </c>
    </row>
    <row r="239" spans="2:29" s="28" customFormat="1" ht="57">
      <c r="B239" s="85">
        <v>20240845</v>
      </c>
      <c r="C239" s="53" t="s">
        <v>210</v>
      </c>
      <c r="D239" s="130" t="s">
        <v>168</v>
      </c>
      <c r="E239" s="54" t="s">
        <v>380</v>
      </c>
      <c r="F239" s="130" t="s">
        <v>398</v>
      </c>
      <c r="G239" s="130" t="s">
        <v>156</v>
      </c>
      <c r="H239" s="117">
        <v>80111600</v>
      </c>
      <c r="I239" s="131">
        <v>8</v>
      </c>
      <c r="J239" s="131">
        <v>5</v>
      </c>
      <c r="K239" s="56">
        <v>0</v>
      </c>
      <c r="L239" s="57">
        <f>25000000-5000000</f>
        <v>20000000</v>
      </c>
      <c r="M239" s="130" t="s">
        <v>173</v>
      </c>
      <c r="N239" s="57" t="s">
        <v>114</v>
      </c>
      <c r="O239" s="54" t="s">
        <v>226</v>
      </c>
      <c r="P239" s="132" t="str">
        <f>IFERROR(VLOOKUP(C239,TD!$B$32:$F$36,2,0)," ")</f>
        <v>O230117</v>
      </c>
      <c r="Q239" s="132" t="str">
        <f>IFERROR(VLOOKUP(C239,TD!$B$32:$F$36,3,0)," ")</f>
        <v>4503</v>
      </c>
      <c r="R239" s="132">
        <f>IFERROR(VLOOKUP(C239,TD!$B$32:$F$36,4,0)," ")</f>
        <v>20240255</v>
      </c>
      <c r="S239" s="54" t="s">
        <v>180</v>
      </c>
      <c r="T239" s="132" t="str">
        <f>IFERROR(VLOOKUP(S239,TD!$J$33:$K$43,2,0)," ")</f>
        <v>Infraestructura Tecnológica   (Sistemas de Información y Tecnologia)</v>
      </c>
      <c r="U239" s="54" t="str">
        <f t="shared" si="12"/>
        <v>11-Infraestructura Tecnológica   (Sistemas de Información y Tecnologia)</v>
      </c>
      <c r="V239" s="54" t="s">
        <v>236</v>
      </c>
      <c r="W239" s="132" t="str">
        <f>IFERROR(VLOOKUP(V239,TD!$N$33:$O$45,2,0)," ")</f>
        <v>"Servicio de monitoreo y seguimiento para la gestión del riesgo"</v>
      </c>
      <c r="X239" s="54" t="str">
        <f t="shared" si="13"/>
        <v>018_"Servicio de monitoreo y seguimiento para la gestión del riesgo"</v>
      </c>
      <c r="Y239" s="54" t="str">
        <f t="shared" si="14"/>
        <v>11-Infraestructura Tecnológica   (Sistemas de Información y Tecnologia) 018_"Servicio de monitoreo y seguimiento para la gestión del riesgo"</v>
      </c>
      <c r="Z239" s="132" t="str">
        <f t="shared" si="15"/>
        <v>O23011745032024025511018</v>
      </c>
      <c r="AA239" s="132" t="str">
        <f>IFERROR(VLOOKUP(Y239,TD!$K$46:$L$64,2,0)," ")</f>
        <v>PM/0131/0111/45030180255</v>
      </c>
      <c r="AB239" s="57" t="s">
        <v>139</v>
      </c>
      <c r="AC239" s="133" t="s">
        <v>205</v>
      </c>
    </row>
    <row r="240" spans="2:29" s="28" customFormat="1" ht="57">
      <c r="B240" s="85">
        <v>20240850</v>
      </c>
      <c r="C240" s="53" t="s">
        <v>210</v>
      </c>
      <c r="D240" s="130" t="s">
        <v>168</v>
      </c>
      <c r="E240" s="54" t="s">
        <v>380</v>
      </c>
      <c r="F240" s="130" t="s">
        <v>404</v>
      </c>
      <c r="G240" s="130" t="s">
        <v>156</v>
      </c>
      <c r="H240" s="117">
        <v>80111600</v>
      </c>
      <c r="I240" s="131">
        <v>8</v>
      </c>
      <c r="J240" s="131">
        <v>6</v>
      </c>
      <c r="K240" s="56">
        <v>0</v>
      </c>
      <c r="L240" s="57">
        <f>28400000+4600000</f>
        <v>33000000</v>
      </c>
      <c r="M240" s="130" t="s">
        <v>173</v>
      </c>
      <c r="N240" s="57" t="s">
        <v>114</v>
      </c>
      <c r="O240" s="54" t="s">
        <v>222</v>
      </c>
      <c r="P240" s="132" t="str">
        <f>IFERROR(VLOOKUP(C240,TD!$B$32:$F$36,2,0)," ")</f>
        <v>O230117</v>
      </c>
      <c r="Q240" s="132" t="str">
        <f>IFERROR(VLOOKUP(C240,TD!$B$32:$F$36,3,0)," ")</f>
        <v>4503</v>
      </c>
      <c r="R240" s="132">
        <f>IFERROR(VLOOKUP(C240,TD!$B$32:$F$36,4,0)," ")</f>
        <v>20240255</v>
      </c>
      <c r="S240" s="54" t="s">
        <v>178</v>
      </c>
      <c r="T240" s="132" t="str">
        <f>IFERROR(VLOOKUP(S240,TD!$J$33:$K$43,2,0)," ")</f>
        <v>Servicio de capacitaciones en gestión del riesgo de incendios  a la ciudadania.</v>
      </c>
      <c r="U240" s="54" t="str">
        <f t="shared" si="12"/>
        <v>05-Servicio de capacitaciones en gestión del riesgo de incendios  a la ciudadania.</v>
      </c>
      <c r="V240" s="54" t="s">
        <v>234</v>
      </c>
      <c r="W240" s="132" t="str">
        <f>IFERROR(VLOOKUP(V240,TD!$N$33:$O$45,2,0)," ")</f>
        <v>Servicio de educación informal</v>
      </c>
      <c r="X240" s="54" t="str">
        <f t="shared" si="13"/>
        <v>002_Servicio de educación informal</v>
      </c>
      <c r="Y240" s="54" t="str">
        <f t="shared" si="14"/>
        <v>05-Servicio de capacitaciones en gestión del riesgo de incendios  a la ciudadania. 002_Servicio de educación informal</v>
      </c>
      <c r="Z240" s="132" t="str">
        <f t="shared" si="15"/>
        <v>O23011745032024025505002</v>
      </c>
      <c r="AA240" s="132" t="str">
        <f>IFERROR(VLOOKUP(Y240,TD!$K$46:$L$64,2,0)," ")</f>
        <v>PM/0131/0105/45030020255</v>
      </c>
      <c r="AB240" s="57" t="s">
        <v>139</v>
      </c>
      <c r="AC240" s="133" t="s">
        <v>205</v>
      </c>
    </row>
    <row r="241" spans="2:29" s="28" customFormat="1" ht="57">
      <c r="B241" s="85">
        <v>20240852</v>
      </c>
      <c r="C241" s="53" t="s">
        <v>210</v>
      </c>
      <c r="D241" s="130" t="s">
        <v>168</v>
      </c>
      <c r="E241" s="54" t="s">
        <v>380</v>
      </c>
      <c r="F241" s="130" t="s">
        <v>405</v>
      </c>
      <c r="G241" s="130" t="s">
        <v>156</v>
      </c>
      <c r="H241" s="117">
        <v>80111600</v>
      </c>
      <c r="I241" s="131">
        <v>8</v>
      </c>
      <c r="J241" s="131">
        <v>4</v>
      </c>
      <c r="K241" s="56">
        <v>0</v>
      </c>
      <c r="L241" s="57">
        <v>24000000</v>
      </c>
      <c r="M241" s="130" t="s">
        <v>173</v>
      </c>
      <c r="N241" s="57" t="s">
        <v>114</v>
      </c>
      <c r="O241" s="54" t="s">
        <v>222</v>
      </c>
      <c r="P241" s="132" t="str">
        <f>IFERROR(VLOOKUP(C241,TD!$B$32:$F$36,2,0)," ")</f>
        <v>O230117</v>
      </c>
      <c r="Q241" s="132" t="str">
        <f>IFERROR(VLOOKUP(C241,TD!$B$32:$F$36,3,0)," ")</f>
        <v>4503</v>
      </c>
      <c r="R241" s="132">
        <f>IFERROR(VLOOKUP(C241,TD!$B$32:$F$36,4,0)," ")</f>
        <v>20240255</v>
      </c>
      <c r="S241" s="54" t="s">
        <v>178</v>
      </c>
      <c r="T241" s="132" t="str">
        <f>IFERROR(VLOOKUP(S241,TD!$J$33:$K$43,2,0)," ")</f>
        <v>Servicio de capacitaciones en gestión del riesgo de incendios  a la ciudadania.</v>
      </c>
      <c r="U241" s="54" t="str">
        <f t="shared" si="12"/>
        <v>05-Servicio de capacitaciones en gestión del riesgo de incendios  a la ciudadania.</v>
      </c>
      <c r="V241" s="54" t="s">
        <v>234</v>
      </c>
      <c r="W241" s="132" t="str">
        <f>IFERROR(VLOOKUP(V241,TD!$N$33:$O$45,2,0)," ")</f>
        <v>Servicio de educación informal</v>
      </c>
      <c r="X241" s="54" t="str">
        <f t="shared" si="13"/>
        <v>002_Servicio de educación informal</v>
      </c>
      <c r="Y241" s="54" t="str">
        <f t="shared" si="14"/>
        <v>05-Servicio de capacitaciones en gestión del riesgo de incendios  a la ciudadania. 002_Servicio de educación informal</v>
      </c>
      <c r="Z241" s="132" t="str">
        <f t="shared" si="15"/>
        <v>O23011745032024025505002</v>
      </c>
      <c r="AA241" s="132" t="str">
        <f>IFERROR(VLOOKUP(Y241,TD!$K$46:$L$64,2,0)," ")</f>
        <v>PM/0131/0105/45030020255</v>
      </c>
      <c r="AB241" s="57" t="s">
        <v>139</v>
      </c>
      <c r="AC241" s="133" t="s">
        <v>205</v>
      </c>
    </row>
    <row r="242" spans="2:29" s="28" customFormat="1" ht="57">
      <c r="B242" s="85">
        <v>20240853</v>
      </c>
      <c r="C242" s="53" t="s">
        <v>210</v>
      </c>
      <c r="D242" s="130" t="s">
        <v>168</v>
      </c>
      <c r="E242" s="54" t="s">
        <v>380</v>
      </c>
      <c r="F242" s="130" t="s">
        <v>659</v>
      </c>
      <c r="G242" s="130" t="s">
        <v>156</v>
      </c>
      <c r="H242" s="117">
        <v>80111600</v>
      </c>
      <c r="I242" s="131">
        <v>8</v>
      </c>
      <c r="J242" s="131">
        <v>3</v>
      </c>
      <c r="K242" s="56">
        <v>0</v>
      </c>
      <c r="L242" s="57">
        <v>24000000</v>
      </c>
      <c r="M242" s="130" t="s">
        <v>173</v>
      </c>
      <c r="N242" s="57" t="s">
        <v>114</v>
      </c>
      <c r="O242" s="54" t="s">
        <v>222</v>
      </c>
      <c r="P242" s="132" t="str">
        <f>IFERROR(VLOOKUP(C242,TD!$B$32:$F$36,2,0)," ")</f>
        <v>O230117</v>
      </c>
      <c r="Q242" s="132" t="str">
        <f>IFERROR(VLOOKUP(C242,TD!$B$32:$F$36,3,0)," ")</f>
        <v>4503</v>
      </c>
      <c r="R242" s="132">
        <f>IFERROR(VLOOKUP(C242,TD!$B$32:$F$36,4,0)," ")</f>
        <v>20240255</v>
      </c>
      <c r="S242" s="54" t="s">
        <v>178</v>
      </c>
      <c r="T242" s="132" t="str">
        <f>IFERROR(VLOOKUP(S242,TD!$J$33:$K$43,2,0)," ")</f>
        <v>Servicio de capacitaciones en gestión del riesgo de incendios  a la ciudadania.</v>
      </c>
      <c r="U242" s="54" t="str">
        <f t="shared" si="12"/>
        <v>05-Servicio de capacitaciones en gestión del riesgo de incendios  a la ciudadania.</v>
      </c>
      <c r="V242" s="54" t="s">
        <v>234</v>
      </c>
      <c r="W242" s="132" t="str">
        <f>IFERROR(VLOOKUP(V242,TD!$N$33:$O$45,2,0)," ")</f>
        <v>Servicio de educación informal</v>
      </c>
      <c r="X242" s="54" t="str">
        <f t="shared" si="13"/>
        <v>002_Servicio de educación informal</v>
      </c>
      <c r="Y242" s="54" t="str">
        <f t="shared" si="14"/>
        <v>05-Servicio de capacitaciones en gestión del riesgo de incendios  a la ciudadania. 002_Servicio de educación informal</v>
      </c>
      <c r="Z242" s="132" t="str">
        <f t="shared" si="15"/>
        <v>O23011745032024025505002</v>
      </c>
      <c r="AA242" s="132" t="str">
        <f>IFERROR(VLOOKUP(Y242,TD!$K$46:$L$64,2,0)," ")</f>
        <v>PM/0131/0105/45030020255</v>
      </c>
      <c r="AB242" s="57" t="s">
        <v>139</v>
      </c>
      <c r="AC242" s="133" t="s">
        <v>206</v>
      </c>
    </row>
    <row r="243" spans="2:29" s="28" customFormat="1" ht="57">
      <c r="B243" s="85">
        <v>20240855</v>
      </c>
      <c r="C243" s="53" t="s">
        <v>210</v>
      </c>
      <c r="D243" s="130" t="s">
        <v>168</v>
      </c>
      <c r="E243" s="54" t="s">
        <v>380</v>
      </c>
      <c r="F243" s="130" t="s">
        <v>660</v>
      </c>
      <c r="G243" s="130" t="s">
        <v>156</v>
      </c>
      <c r="H243" s="117">
        <v>80111600</v>
      </c>
      <c r="I243" s="131">
        <v>10</v>
      </c>
      <c r="J243" s="131">
        <v>1</v>
      </c>
      <c r="K243" s="56">
        <v>0</v>
      </c>
      <c r="L243" s="57">
        <f>28105459-28105459</f>
        <v>0</v>
      </c>
      <c r="M243" s="130" t="s">
        <v>173</v>
      </c>
      <c r="N243" s="57" t="s">
        <v>114</v>
      </c>
      <c r="O243" s="54" t="s">
        <v>226</v>
      </c>
      <c r="P243" s="132" t="str">
        <f>IFERROR(VLOOKUP(C243,TD!$B$32:$F$36,2,0)," ")</f>
        <v>O230117</v>
      </c>
      <c r="Q243" s="132" t="str">
        <f>IFERROR(VLOOKUP(C243,TD!$B$32:$F$36,3,0)," ")</f>
        <v>4503</v>
      </c>
      <c r="R243" s="132">
        <f>IFERROR(VLOOKUP(C243,TD!$B$32:$F$36,4,0)," ")</f>
        <v>20240255</v>
      </c>
      <c r="S243" s="54" t="s">
        <v>180</v>
      </c>
      <c r="T243" s="132" t="str">
        <f>IFERROR(VLOOKUP(S243,TD!$J$33:$K$43,2,0)," ")</f>
        <v>Infraestructura Tecnológica   (Sistemas de Información y Tecnologia)</v>
      </c>
      <c r="U243" s="54" t="str">
        <f t="shared" si="12"/>
        <v>11-Infraestructura Tecnológica   (Sistemas de Información y Tecnologia)</v>
      </c>
      <c r="V243" s="54" t="s">
        <v>236</v>
      </c>
      <c r="W243" s="132" t="str">
        <f>IFERROR(VLOOKUP(V243,TD!$N$33:$O$45,2,0)," ")</f>
        <v>"Servicio de monitoreo y seguimiento para la gestión del riesgo"</v>
      </c>
      <c r="X243" s="54" t="str">
        <f t="shared" si="13"/>
        <v>018_"Servicio de monitoreo y seguimiento para la gestión del riesgo"</v>
      </c>
      <c r="Y243" s="54" t="str">
        <f t="shared" si="14"/>
        <v>11-Infraestructura Tecnológica   (Sistemas de Información y Tecnologia) 018_"Servicio de monitoreo y seguimiento para la gestión del riesgo"</v>
      </c>
      <c r="Z243" s="132" t="str">
        <f t="shared" si="15"/>
        <v>O23011745032024025511018</v>
      </c>
      <c r="AA243" s="132" t="str">
        <f>IFERROR(VLOOKUP(Y243,TD!$K$46:$L$64,2,0)," ")</f>
        <v>PM/0131/0111/45030180255</v>
      </c>
      <c r="AB243" s="57" t="s">
        <v>139</v>
      </c>
      <c r="AC243" s="133" t="s">
        <v>206</v>
      </c>
    </row>
    <row r="244" spans="2:29" s="28" customFormat="1" ht="57">
      <c r="B244" s="85">
        <v>20240856</v>
      </c>
      <c r="C244" s="53" t="s">
        <v>210</v>
      </c>
      <c r="D244" s="130" t="s">
        <v>168</v>
      </c>
      <c r="E244" s="54" t="s">
        <v>380</v>
      </c>
      <c r="F244" s="130" t="s">
        <v>393</v>
      </c>
      <c r="G244" s="130" t="s">
        <v>157</v>
      </c>
      <c r="H244" s="117">
        <v>80111600</v>
      </c>
      <c r="I244" s="131">
        <v>10</v>
      </c>
      <c r="J244" s="131">
        <v>1</v>
      </c>
      <c r="K244" s="56">
        <v>0</v>
      </c>
      <c r="L244" s="57">
        <f>60432792-60432792</f>
        <v>0</v>
      </c>
      <c r="M244" s="130" t="s">
        <v>173</v>
      </c>
      <c r="N244" s="57" t="s">
        <v>114</v>
      </c>
      <c r="O244" s="54" t="s">
        <v>226</v>
      </c>
      <c r="P244" s="132" t="str">
        <f>IFERROR(VLOOKUP(C244,TD!$B$32:$F$36,2,0)," ")</f>
        <v>O230117</v>
      </c>
      <c r="Q244" s="132" t="str">
        <f>IFERROR(VLOOKUP(C244,TD!$B$32:$F$36,3,0)," ")</f>
        <v>4503</v>
      </c>
      <c r="R244" s="132">
        <f>IFERROR(VLOOKUP(C244,TD!$B$32:$F$36,4,0)," ")</f>
        <v>20240255</v>
      </c>
      <c r="S244" s="54" t="s">
        <v>180</v>
      </c>
      <c r="T244" s="132" t="str">
        <f>IFERROR(VLOOKUP(S244,TD!$J$33:$K$43,2,0)," ")</f>
        <v>Infraestructura Tecnológica   (Sistemas de Información y Tecnologia)</v>
      </c>
      <c r="U244" s="54" t="str">
        <f t="shared" si="12"/>
        <v>11-Infraestructura Tecnológica   (Sistemas de Información y Tecnologia)</v>
      </c>
      <c r="V244" s="54" t="s">
        <v>236</v>
      </c>
      <c r="W244" s="132" t="str">
        <f>IFERROR(VLOOKUP(V244,TD!$N$33:$O$45,2,0)," ")</f>
        <v>"Servicio de monitoreo y seguimiento para la gestión del riesgo"</v>
      </c>
      <c r="X244" s="54" t="str">
        <f t="shared" si="13"/>
        <v>018_"Servicio de monitoreo y seguimiento para la gestión del riesgo"</v>
      </c>
      <c r="Y244" s="54" t="str">
        <f t="shared" si="14"/>
        <v>11-Infraestructura Tecnológica   (Sistemas de Información y Tecnologia) 018_"Servicio de monitoreo y seguimiento para la gestión del riesgo"</v>
      </c>
      <c r="Z244" s="132" t="str">
        <f t="shared" si="15"/>
        <v>O23011745032024025511018</v>
      </c>
      <c r="AA244" s="132" t="str">
        <f>IFERROR(VLOOKUP(Y244,TD!$K$46:$L$64,2,0)," ")</f>
        <v>PM/0131/0111/45030180255</v>
      </c>
      <c r="AB244" s="57" t="s">
        <v>139</v>
      </c>
      <c r="AC244" s="133" t="s">
        <v>205</v>
      </c>
    </row>
    <row r="245" spans="2:29" s="28" customFormat="1" ht="57">
      <c r="B245" s="85">
        <v>20240858</v>
      </c>
      <c r="C245" s="53" t="s">
        <v>209</v>
      </c>
      <c r="D245" s="130" t="s">
        <v>37</v>
      </c>
      <c r="E245" s="54" t="s">
        <v>406</v>
      </c>
      <c r="F245" s="130" t="s">
        <v>407</v>
      </c>
      <c r="G245" s="130" t="s">
        <v>156</v>
      </c>
      <c r="H245" s="117">
        <v>80111600</v>
      </c>
      <c r="I245" s="131">
        <v>8</v>
      </c>
      <c r="J245" s="131">
        <v>5</v>
      </c>
      <c r="K245" s="56">
        <v>0</v>
      </c>
      <c r="L245" s="57">
        <v>20000000</v>
      </c>
      <c r="M245" s="130" t="s">
        <v>173</v>
      </c>
      <c r="N245" s="57" t="s">
        <v>114</v>
      </c>
      <c r="O245" s="54" t="s">
        <v>212</v>
      </c>
      <c r="P245" s="132" t="str">
        <f>IFERROR(VLOOKUP(C245,TD!$B$32:$F$36,2,0)," ")</f>
        <v>O230117</v>
      </c>
      <c r="Q245" s="132" t="str">
        <f>IFERROR(VLOOKUP(C245,TD!$B$32:$F$36,3,0)," ")</f>
        <v>4599</v>
      </c>
      <c r="R245" s="132">
        <f>IFERROR(VLOOKUP(C245,TD!$B$32:$F$36,4,0)," ")</f>
        <v>20240207</v>
      </c>
      <c r="S245" s="54" t="s">
        <v>194</v>
      </c>
      <c r="T245" s="132" t="str">
        <f>IFERROR(VLOOKUP(S245,TD!$J$33:$K$43,2,0)," ")</f>
        <v>Servicios para la planeación y sistemas de gestión y comunicación estratégica</v>
      </c>
      <c r="U245" s="54" t="str">
        <f t="shared" si="12"/>
        <v>13-Servicios para la planeación y sistemas de gestión y comunicación estratégica</v>
      </c>
      <c r="V245" s="54" t="s">
        <v>241</v>
      </c>
      <c r="W245" s="132" t="str">
        <f>IFERROR(VLOOKUP(V245,TD!$N$33:$O$45,2,0)," ")</f>
        <v>Servicio de asistencia técnica</v>
      </c>
      <c r="X245" s="54" t="str">
        <f t="shared" si="13"/>
        <v>031_Servicio de asistencia técnica</v>
      </c>
      <c r="Y245" s="54" t="str">
        <f t="shared" si="14"/>
        <v>13-Servicios para la planeación y sistemas de gestión y comunicación estratégica 031_Servicio de asistencia técnica</v>
      </c>
      <c r="Z245" s="132" t="str">
        <f t="shared" si="15"/>
        <v>O23011745992024020713031</v>
      </c>
      <c r="AA245" s="132" t="str">
        <f>IFERROR(VLOOKUP(Y245,TD!$K$46:$L$64,2,0)," ")</f>
        <v>PM/0131/0113/45990310207</v>
      </c>
      <c r="AB245" s="57" t="s">
        <v>139</v>
      </c>
      <c r="AC245" s="133" t="s">
        <v>205</v>
      </c>
    </row>
    <row r="246" spans="2:29" s="28" customFormat="1" ht="57">
      <c r="B246" s="85">
        <v>20240859</v>
      </c>
      <c r="C246" s="53" t="s">
        <v>209</v>
      </c>
      <c r="D246" s="130" t="s">
        <v>37</v>
      </c>
      <c r="E246" s="54" t="s">
        <v>406</v>
      </c>
      <c r="F246" s="130" t="s">
        <v>408</v>
      </c>
      <c r="G246" s="130" t="s">
        <v>157</v>
      </c>
      <c r="H246" s="117">
        <v>80111600</v>
      </c>
      <c r="I246" s="131">
        <v>8</v>
      </c>
      <c r="J246" s="131">
        <v>5</v>
      </c>
      <c r="K246" s="56">
        <v>0</v>
      </c>
      <c r="L246" s="57">
        <f>22737120-3789520</f>
        <v>18947600</v>
      </c>
      <c r="M246" s="130" t="s">
        <v>173</v>
      </c>
      <c r="N246" s="57" t="s">
        <v>114</v>
      </c>
      <c r="O246" s="54" t="s">
        <v>212</v>
      </c>
      <c r="P246" s="132" t="str">
        <f>IFERROR(VLOOKUP(C246,TD!$B$32:$F$36,2,0)," ")</f>
        <v>O230117</v>
      </c>
      <c r="Q246" s="132" t="str">
        <f>IFERROR(VLOOKUP(C246,TD!$B$32:$F$36,3,0)," ")</f>
        <v>4599</v>
      </c>
      <c r="R246" s="132">
        <f>IFERROR(VLOOKUP(C246,TD!$B$32:$F$36,4,0)," ")</f>
        <v>20240207</v>
      </c>
      <c r="S246" s="54" t="s">
        <v>194</v>
      </c>
      <c r="T246" s="132" t="str">
        <f>IFERROR(VLOOKUP(S246,TD!$J$33:$K$43,2,0)," ")</f>
        <v>Servicios para la planeación y sistemas de gestión y comunicación estratégica</v>
      </c>
      <c r="U246" s="54" t="str">
        <f t="shared" si="12"/>
        <v>13-Servicios para la planeación y sistemas de gestión y comunicación estratégica</v>
      </c>
      <c r="V246" s="54" t="s">
        <v>241</v>
      </c>
      <c r="W246" s="132" t="str">
        <f>IFERROR(VLOOKUP(V246,TD!$N$33:$O$45,2,0)," ")</f>
        <v>Servicio de asistencia técnica</v>
      </c>
      <c r="X246" s="54" t="str">
        <f t="shared" si="13"/>
        <v>031_Servicio de asistencia técnica</v>
      </c>
      <c r="Y246" s="54" t="str">
        <f t="shared" si="14"/>
        <v>13-Servicios para la planeación y sistemas de gestión y comunicación estratégica 031_Servicio de asistencia técnica</v>
      </c>
      <c r="Z246" s="132" t="str">
        <f t="shared" si="15"/>
        <v>O23011745992024020713031</v>
      </c>
      <c r="AA246" s="132" t="str">
        <f>IFERROR(VLOOKUP(Y246,TD!$K$46:$L$64,2,0)," ")</f>
        <v>PM/0131/0113/45990310207</v>
      </c>
      <c r="AB246" s="57" t="s">
        <v>139</v>
      </c>
      <c r="AC246" s="133" t="s">
        <v>205</v>
      </c>
    </row>
    <row r="247" spans="2:29" s="28" customFormat="1" ht="71.25">
      <c r="B247" s="85">
        <v>20240860</v>
      </c>
      <c r="C247" s="53" t="s">
        <v>209</v>
      </c>
      <c r="D247" s="130" t="s">
        <v>37</v>
      </c>
      <c r="E247" s="54" t="s">
        <v>406</v>
      </c>
      <c r="F247" s="130" t="s">
        <v>409</v>
      </c>
      <c r="G247" s="130" t="s">
        <v>156</v>
      </c>
      <c r="H247" s="117">
        <v>80111600</v>
      </c>
      <c r="I247" s="131">
        <v>8</v>
      </c>
      <c r="J247" s="131">
        <v>5</v>
      </c>
      <c r="K247" s="56">
        <v>0</v>
      </c>
      <c r="L247" s="57">
        <f>51000000-8500000</f>
        <v>42500000</v>
      </c>
      <c r="M247" s="130" t="s">
        <v>173</v>
      </c>
      <c r="N247" s="57" t="s">
        <v>114</v>
      </c>
      <c r="O247" s="54" t="s">
        <v>212</v>
      </c>
      <c r="P247" s="132" t="str">
        <f>IFERROR(VLOOKUP(C247,TD!$B$32:$F$36,2,0)," ")</f>
        <v>O230117</v>
      </c>
      <c r="Q247" s="132" t="str">
        <f>IFERROR(VLOOKUP(C247,TD!$B$32:$F$36,3,0)," ")</f>
        <v>4599</v>
      </c>
      <c r="R247" s="132">
        <f>IFERROR(VLOOKUP(C247,TD!$B$32:$F$36,4,0)," ")</f>
        <v>20240207</v>
      </c>
      <c r="S247" s="54" t="s">
        <v>194</v>
      </c>
      <c r="T247" s="132" t="str">
        <f>IFERROR(VLOOKUP(S247,TD!$J$33:$K$43,2,0)," ")</f>
        <v>Servicios para la planeación y sistemas de gestión y comunicación estratégica</v>
      </c>
      <c r="U247" s="54" t="str">
        <f t="shared" si="12"/>
        <v>13-Servicios para la planeación y sistemas de gestión y comunicación estratégica</v>
      </c>
      <c r="V247" s="54" t="s">
        <v>241</v>
      </c>
      <c r="W247" s="132" t="str">
        <f>IFERROR(VLOOKUP(V247,TD!$N$33:$O$45,2,0)," ")</f>
        <v>Servicio de asistencia técnica</v>
      </c>
      <c r="X247" s="54" t="str">
        <f t="shared" si="13"/>
        <v>031_Servicio de asistencia técnica</v>
      </c>
      <c r="Y247" s="54" t="str">
        <f t="shared" si="14"/>
        <v>13-Servicios para la planeación y sistemas de gestión y comunicación estratégica 031_Servicio de asistencia técnica</v>
      </c>
      <c r="Z247" s="132" t="str">
        <f t="shared" si="15"/>
        <v>O23011745992024020713031</v>
      </c>
      <c r="AA247" s="132" t="str">
        <f>IFERROR(VLOOKUP(Y247,TD!$K$46:$L$64,2,0)," ")</f>
        <v>PM/0131/0113/45990310207</v>
      </c>
      <c r="AB247" s="57" t="s">
        <v>139</v>
      </c>
      <c r="AC247" s="133" t="s">
        <v>205</v>
      </c>
    </row>
    <row r="248" spans="2:29" s="28" customFormat="1" ht="57">
      <c r="B248" s="85">
        <v>20240861</v>
      </c>
      <c r="C248" s="53" t="s">
        <v>209</v>
      </c>
      <c r="D248" s="130" t="s">
        <v>37</v>
      </c>
      <c r="E248" s="54" t="s">
        <v>406</v>
      </c>
      <c r="F248" s="130" t="s">
        <v>410</v>
      </c>
      <c r="G248" s="130" t="s">
        <v>156</v>
      </c>
      <c r="H248" s="117">
        <v>80111600</v>
      </c>
      <c r="I248" s="131">
        <v>8</v>
      </c>
      <c r="J248" s="131">
        <v>5</v>
      </c>
      <c r="K248" s="56">
        <v>0</v>
      </c>
      <c r="L248" s="57">
        <f>39000000-6500000</f>
        <v>32500000</v>
      </c>
      <c r="M248" s="130" t="s">
        <v>173</v>
      </c>
      <c r="N248" s="57" t="s">
        <v>114</v>
      </c>
      <c r="O248" s="54" t="s">
        <v>212</v>
      </c>
      <c r="P248" s="132" t="str">
        <f>IFERROR(VLOOKUP(C248,TD!$B$32:$F$36,2,0)," ")</f>
        <v>O230117</v>
      </c>
      <c r="Q248" s="132" t="str">
        <f>IFERROR(VLOOKUP(C248,TD!$B$32:$F$36,3,0)," ")</f>
        <v>4599</v>
      </c>
      <c r="R248" s="132">
        <f>IFERROR(VLOOKUP(C248,TD!$B$32:$F$36,4,0)," ")</f>
        <v>20240207</v>
      </c>
      <c r="S248" s="54" t="s">
        <v>194</v>
      </c>
      <c r="T248" s="132" t="str">
        <f>IFERROR(VLOOKUP(S248,TD!$J$33:$K$43,2,0)," ")</f>
        <v>Servicios para la planeación y sistemas de gestión y comunicación estratégica</v>
      </c>
      <c r="U248" s="54" t="str">
        <f t="shared" si="12"/>
        <v>13-Servicios para la planeación y sistemas de gestión y comunicación estratégica</v>
      </c>
      <c r="V248" s="54" t="s">
        <v>241</v>
      </c>
      <c r="W248" s="132" t="str">
        <f>IFERROR(VLOOKUP(V248,TD!$N$33:$O$45,2,0)," ")</f>
        <v>Servicio de asistencia técnica</v>
      </c>
      <c r="X248" s="54" t="str">
        <f t="shared" si="13"/>
        <v>031_Servicio de asistencia técnica</v>
      </c>
      <c r="Y248" s="54" t="str">
        <f t="shared" si="14"/>
        <v>13-Servicios para la planeación y sistemas de gestión y comunicación estratégica 031_Servicio de asistencia técnica</v>
      </c>
      <c r="Z248" s="132" t="str">
        <f t="shared" si="15"/>
        <v>O23011745992024020713031</v>
      </c>
      <c r="AA248" s="132" t="str">
        <f>IFERROR(VLOOKUP(Y248,TD!$K$46:$L$64,2,0)," ")</f>
        <v>PM/0131/0113/45990310207</v>
      </c>
      <c r="AB248" s="57" t="s">
        <v>139</v>
      </c>
      <c r="AC248" s="133" t="s">
        <v>205</v>
      </c>
    </row>
    <row r="249" spans="2:29" s="28" customFormat="1" ht="85.5">
      <c r="B249" s="85">
        <v>20240862</v>
      </c>
      <c r="C249" s="53" t="s">
        <v>209</v>
      </c>
      <c r="D249" s="130" t="s">
        <v>37</v>
      </c>
      <c r="E249" s="54" t="s">
        <v>406</v>
      </c>
      <c r="F249" s="130" t="s">
        <v>652</v>
      </c>
      <c r="G249" s="130" t="s">
        <v>156</v>
      </c>
      <c r="H249" s="117">
        <v>80111600</v>
      </c>
      <c r="I249" s="131">
        <v>8</v>
      </c>
      <c r="J249" s="131">
        <v>5</v>
      </c>
      <c r="K249" s="56">
        <v>0</v>
      </c>
      <c r="L249" s="57">
        <f>42000000-7000000</f>
        <v>35000000</v>
      </c>
      <c r="M249" s="130" t="s">
        <v>173</v>
      </c>
      <c r="N249" s="57" t="s">
        <v>114</v>
      </c>
      <c r="O249" s="54" t="s">
        <v>212</v>
      </c>
      <c r="P249" s="132" t="str">
        <f>IFERROR(VLOOKUP(C249,TD!$B$32:$F$36,2,0)," ")</f>
        <v>O230117</v>
      </c>
      <c r="Q249" s="132" t="str">
        <f>IFERROR(VLOOKUP(C249,TD!$B$32:$F$36,3,0)," ")</f>
        <v>4599</v>
      </c>
      <c r="R249" s="132">
        <f>IFERROR(VLOOKUP(C249,TD!$B$32:$F$36,4,0)," ")</f>
        <v>20240207</v>
      </c>
      <c r="S249" s="54" t="s">
        <v>194</v>
      </c>
      <c r="T249" s="132" t="str">
        <f>IFERROR(VLOOKUP(S249,TD!$J$33:$K$43,2,0)," ")</f>
        <v>Servicios para la planeación y sistemas de gestión y comunicación estratégica</v>
      </c>
      <c r="U249" s="54" t="str">
        <f t="shared" si="12"/>
        <v>13-Servicios para la planeación y sistemas de gestión y comunicación estratégica</v>
      </c>
      <c r="V249" s="54" t="s">
        <v>241</v>
      </c>
      <c r="W249" s="132" t="str">
        <f>IFERROR(VLOOKUP(V249,TD!$N$33:$O$45,2,0)," ")</f>
        <v>Servicio de asistencia técnica</v>
      </c>
      <c r="X249" s="54" t="str">
        <f t="shared" si="13"/>
        <v>031_Servicio de asistencia técnica</v>
      </c>
      <c r="Y249" s="54" t="str">
        <f t="shared" si="14"/>
        <v>13-Servicios para la planeación y sistemas de gestión y comunicación estratégica 031_Servicio de asistencia técnica</v>
      </c>
      <c r="Z249" s="132" t="str">
        <f t="shared" si="15"/>
        <v>O23011745992024020713031</v>
      </c>
      <c r="AA249" s="132" t="str">
        <f>IFERROR(VLOOKUP(Y249,TD!$K$46:$L$64,2,0)," ")</f>
        <v>PM/0131/0113/45990310207</v>
      </c>
      <c r="AB249" s="57" t="s">
        <v>139</v>
      </c>
      <c r="AC249" s="133" t="s">
        <v>205</v>
      </c>
    </row>
    <row r="250" spans="2:29" s="28" customFormat="1" ht="99.75">
      <c r="B250" s="85">
        <v>20240863</v>
      </c>
      <c r="C250" s="53" t="s">
        <v>209</v>
      </c>
      <c r="D250" s="130" t="s">
        <v>37</v>
      </c>
      <c r="E250" s="54" t="s">
        <v>406</v>
      </c>
      <c r="F250" s="130" t="s">
        <v>411</v>
      </c>
      <c r="G250" s="130" t="s">
        <v>156</v>
      </c>
      <c r="H250" s="117">
        <v>80111600</v>
      </c>
      <c r="I250" s="131">
        <v>8</v>
      </c>
      <c r="J250" s="131">
        <v>5</v>
      </c>
      <c r="K250" s="56">
        <v>0</v>
      </c>
      <c r="L250" s="57">
        <f>42000000-7000000</f>
        <v>35000000</v>
      </c>
      <c r="M250" s="130" t="s">
        <v>173</v>
      </c>
      <c r="N250" s="57" t="s">
        <v>114</v>
      </c>
      <c r="O250" s="54" t="s">
        <v>213</v>
      </c>
      <c r="P250" s="132" t="str">
        <f>IFERROR(VLOOKUP(C250,TD!$B$32:$F$36,2,0)," ")</f>
        <v>O230117</v>
      </c>
      <c r="Q250" s="132" t="str">
        <f>IFERROR(VLOOKUP(C250,TD!$B$32:$F$36,3,0)," ")</f>
        <v>4599</v>
      </c>
      <c r="R250" s="132">
        <f>IFERROR(VLOOKUP(C250,TD!$B$32:$F$36,4,0)," ")</f>
        <v>20240207</v>
      </c>
      <c r="S250" s="54" t="s">
        <v>194</v>
      </c>
      <c r="T250" s="132" t="str">
        <f>IFERROR(VLOOKUP(S250,TD!$J$33:$K$43,2,0)," ")</f>
        <v>Servicios para la planeación y sistemas de gestión y comunicación estratégica</v>
      </c>
      <c r="U250" s="54" t="str">
        <f t="shared" si="12"/>
        <v>13-Servicios para la planeación y sistemas de gestión y comunicación estratégica</v>
      </c>
      <c r="V250" s="54" t="s">
        <v>242</v>
      </c>
      <c r="W250" s="132" t="str">
        <f>IFERROR(VLOOKUP(V250,TD!$N$33:$O$45,2,0)," ")</f>
        <v>Servicio de Implementación Sistemas de Gestión</v>
      </c>
      <c r="X250" s="54" t="str">
        <f t="shared" si="13"/>
        <v>023_Servicio de Implementación Sistemas de Gestión</v>
      </c>
      <c r="Y250" s="54" t="str">
        <f t="shared" si="14"/>
        <v>13-Servicios para la planeación y sistemas de gestión y comunicación estratégica 023_Servicio de Implementación Sistemas de Gestión</v>
      </c>
      <c r="Z250" s="132" t="str">
        <f t="shared" si="15"/>
        <v>O23011745992024020713023</v>
      </c>
      <c r="AA250" s="132" t="str">
        <f>IFERROR(VLOOKUP(Y250,TD!$K$46:$L$64,2,0)," ")</f>
        <v>PM/0131/0113/45990230207</v>
      </c>
      <c r="AB250" s="57" t="s">
        <v>139</v>
      </c>
      <c r="AC250" s="133" t="s">
        <v>205</v>
      </c>
    </row>
    <row r="251" spans="2:29" s="28" customFormat="1" ht="85.5">
      <c r="B251" s="85">
        <v>20240864</v>
      </c>
      <c r="C251" s="53" t="s">
        <v>209</v>
      </c>
      <c r="D251" s="130" t="s">
        <v>37</v>
      </c>
      <c r="E251" s="54" t="s">
        <v>406</v>
      </c>
      <c r="F251" s="130" t="s">
        <v>653</v>
      </c>
      <c r="G251" s="130" t="s">
        <v>156</v>
      </c>
      <c r="H251" s="117">
        <v>80111600</v>
      </c>
      <c r="I251" s="131">
        <v>8</v>
      </c>
      <c r="J251" s="131">
        <v>5</v>
      </c>
      <c r="K251" s="56">
        <v>0</v>
      </c>
      <c r="L251" s="57">
        <f>40800000-6800000</f>
        <v>34000000</v>
      </c>
      <c r="M251" s="130" t="s">
        <v>173</v>
      </c>
      <c r="N251" s="57" t="s">
        <v>114</v>
      </c>
      <c r="O251" s="54" t="s">
        <v>212</v>
      </c>
      <c r="P251" s="132" t="str">
        <f>IFERROR(VLOOKUP(C251,TD!$B$32:$F$36,2,0)," ")</f>
        <v>O230117</v>
      </c>
      <c r="Q251" s="132" t="str">
        <f>IFERROR(VLOOKUP(C251,TD!$B$32:$F$36,3,0)," ")</f>
        <v>4599</v>
      </c>
      <c r="R251" s="132">
        <f>IFERROR(VLOOKUP(C251,TD!$B$32:$F$36,4,0)," ")</f>
        <v>20240207</v>
      </c>
      <c r="S251" s="54" t="s">
        <v>194</v>
      </c>
      <c r="T251" s="132" t="str">
        <f>IFERROR(VLOOKUP(S251,TD!$J$33:$K$43,2,0)," ")</f>
        <v>Servicios para la planeación y sistemas de gestión y comunicación estratégica</v>
      </c>
      <c r="U251" s="54" t="str">
        <f t="shared" si="12"/>
        <v>13-Servicios para la planeación y sistemas de gestión y comunicación estratégica</v>
      </c>
      <c r="V251" s="54" t="s">
        <v>241</v>
      </c>
      <c r="W251" s="132" t="str">
        <f>IFERROR(VLOOKUP(V251,TD!$N$33:$O$45,2,0)," ")</f>
        <v>Servicio de asistencia técnica</v>
      </c>
      <c r="X251" s="54" t="str">
        <f t="shared" si="13"/>
        <v>031_Servicio de asistencia técnica</v>
      </c>
      <c r="Y251" s="54" t="str">
        <f t="shared" si="14"/>
        <v>13-Servicios para la planeación y sistemas de gestión y comunicación estratégica 031_Servicio de asistencia técnica</v>
      </c>
      <c r="Z251" s="132" t="str">
        <f t="shared" si="15"/>
        <v>O23011745992024020713031</v>
      </c>
      <c r="AA251" s="132" t="str">
        <f>IFERROR(VLOOKUP(Y251,TD!$K$46:$L$64,2,0)," ")</f>
        <v>PM/0131/0113/45990310207</v>
      </c>
      <c r="AB251" s="57" t="s">
        <v>139</v>
      </c>
      <c r="AC251" s="133" t="s">
        <v>205</v>
      </c>
    </row>
    <row r="252" spans="2:29" s="28" customFormat="1" ht="57">
      <c r="B252" s="85">
        <v>20240865</v>
      </c>
      <c r="C252" s="53" t="s">
        <v>209</v>
      </c>
      <c r="D252" s="130" t="s">
        <v>37</v>
      </c>
      <c r="E252" s="54" t="s">
        <v>406</v>
      </c>
      <c r="F252" s="130" t="s">
        <v>412</v>
      </c>
      <c r="G252" s="130" t="s">
        <v>156</v>
      </c>
      <c r="H252" s="117">
        <v>80111600</v>
      </c>
      <c r="I252" s="131">
        <v>9</v>
      </c>
      <c r="J252" s="131">
        <v>4</v>
      </c>
      <c r="K252" s="56">
        <v>0</v>
      </c>
      <c r="L252" s="57">
        <v>32000000</v>
      </c>
      <c r="M252" s="130" t="s">
        <v>173</v>
      </c>
      <c r="N252" s="57" t="s">
        <v>114</v>
      </c>
      <c r="O252" s="54" t="s">
        <v>212</v>
      </c>
      <c r="P252" s="132" t="str">
        <f>IFERROR(VLOOKUP(C252,TD!$B$32:$F$36,2,0)," ")</f>
        <v>O230117</v>
      </c>
      <c r="Q252" s="132" t="str">
        <f>IFERROR(VLOOKUP(C252,TD!$B$32:$F$36,3,0)," ")</f>
        <v>4599</v>
      </c>
      <c r="R252" s="132">
        <f>IFERROR(VLOOKUP(C252,TD!$B$32:$F$36,4,0)," ")</f>
        <v>20240207</v>
      </c>
      <c r="S252" s="54" t="s">
        <v>194</v>
      </c>
      <c r="T252" s="132" t="str">
        <f>IFERROR(VLOOKUP(S252,TD!$J$33:$K$43,2,0)," ")</f>
        <v>Servicios para la planeación y sistemas de gestión y comunicación estratégica</v>
      </c>
      <c r="U252" s="54" t="str">
        <f t="shared" si="12"/>
        <v>13-Servicios para la planeación y sistemas de gestión y comunicación estratégica</v>
      </c>
      <c r="V252" s="54" t="s">
        <v>241</v>
      </c>
      <c r="W252" s="132" t="str">
        <f>IFERROR(VLOOKUP(V252,TD!$N$33:$O$45,2,0)," ")</f>
        <v>Servicio de asistencia técnica</v>
      </c>
      <c r="X252" s="54" t="str">
        <f t="shared" si="13"/>
        <v>031_Servicio de asistencia técnica</v>
      </c>
      <c r="Y252" s="54" t="str">
        <f t="shared" si="14"/>
        <v>13-Servicios para la planeación y sistemas de gestión y comunicación estratégica 031_Servicio de asistencia técnica</v>
      </c>
      <c r="Z252" s="132" t="str">
        <f t="shared" si="15"/>
        <v>O23011745992024020713031</v>
      </c>
      <c r="AA252" s="132" t="str">
        <f>IFERROR(VLOOKUP(Y252,TD!$K$46:$L$64,2,0)," ")</f>
        <v>PM/0131/0113/45990310207</v>
      </c>
      <c r="AB252" s="57" t="s">
        <v>139</v>
      </c>
      <c r="AC252" s="133" t="s">
        <v>205</v>
      </c>
    </row>
    <row r="253" spans="2:29" s="28" customFormat="1" ht="57">
      <c r="B253" s="85">
        <v>20240866</v>
      </c>
      <c r="C253" s="53" t="s">
        <v>209</v>
      </c>
      <c r="D253" s="130" t="s">
        <v>37</v>
      </c>
      <c r="E253" s="54" t="s">
        <v>406</v>
      </c>
      <c r="F253" s="130" t="s">
        <v>413</v>
      </c>
      <c r="G253" s="130" t="s">
        <v>157</v>
      </c>
      <c r="H253" s="117">
        <v>80111600</v>
      </c>
      <c r="I253" s="131">
        <v>12</v>
      </c>
      <c r="J253" s="131">
        <v>1</v>
      </c>
      <c r="K253" s="56">
        <v>15</v>
      </c>
      <c r="L253" s="57">
        <f>11367000-5683500</f>
        <v>5683500</v>
      </c>
      <c r="M253" s="130" t="s">
        <v>173</v>
      </c>
      <c r="N253" s="57" t="s">
        <v>114</v>
      </c>
      <c r="O253" s="54" t="s">
        <v>212</v>
      </c>
      <c r="P253" s="132" t="str">
        <f>IFERROR(VLOOKUP(C253,TD!$B$32:$F$36,2,0)," ")</f>
        <v>O230117</v>
      </c>
      <c r="Q253" s="132" t="str">
        <f>IFERROR(VLOOKUP(C253,TD!$B$32:$F$36,3,0)," ")</f>
        <v>4599</v>
      </c>
      <c r="R253" s="132">
        <f>IFERROR(VLOOKUP(C253,TD!$B$32:$F$36,4,0)," ")</f>
        <v>20240207</v>
      </c>
      <c r="S253" s="54" t="s">
        <v>194</v>
      </c>
      <c r="T253" s="132" t="str">
        <f>IFERROR(VLOOKUP(S253,TD!$J$33:$K$43,2,0)," ")</f>
        <v>Servicios para la planeación y sistemas de gestión y comunicación estratégica</v>
      </c>
      <c r="U253" s="54" t="str">
        <f t="shared" si="12"/>
        <v>13-Servicios para la planeación y sistemas de gestión y comunicación estratégica</v>
      </c>
      <c r="V253" s="54" t="s">
        <v>241</v>
      </c>
      <c r="W253" s="132" t="str">
        <f>IFERROR(VLOOKUP(V253,TD!$N$33:$O$45,2,0)," ")</f>
        <v>Servicio de asistencia técnica</v>
      </c>
      <c r="X253" s="54" t="str">
        <f t="shared" si="13"/>
        <v>031_Servicio de asistencia técnica</v>
      </c>
      <c r="Y253" s="54" t="str">
        <f t="shared" si="14"/>
        <v>13-Servicios para la planeación y sistemas de gestión y comunicación estratégica 031_Servicio de asistencia técnica</v>
      </c>
      <c r="Z253" s="132" t="str">
        <f t="shared" si="15"/>
        <v>O23011745992024020713031</v>
      </c>
      <c r="AA253" s="132" t="str">
        <f>IFERROR(VLOOKUP(Y253,TD!$K$46:$L$64,2,0)," ")</f>
        <v>PM/0131/0113/45990310207</v>
      </c>
      <c r="AB253" s="57" t="s">
        <v>139</v>
      </c>
      <c r="AC253" s="133" t="s">
        <v>206</v>
      </c>
    </row>
    <row r="254" spans="2:29" s="28" customFormat="1" ht="99.75">
      <c r="B254" s="85">
        <v>20240867</v>
      </c>
      <c r="C254" s="53" t="s">
        <v>209</v>
      </c>
      <c r="D254" s="130" t="s">
        <v>37</v>
      </c>
      <c r="E254" s="54" t="s">
        <v>406</v>
      </c>
      <c r="F254" s="130" t="s">
        <v>414</v>
      </c>
      <c r="G254" s="130" t="s">
        <v>156</v>
      </c>
      <c r="H254" s="117">
        <v>80111600</v>
      </c>
      <c r="I254" s="131">
        <v>9</v>
      </c>
      <c r="J254" s="131">
        <v>4</v>
      </c>
      <c r="K254" s="56">
        <v>15</v>
      </c>
      <c r="L254" s="57">
        <f>42500000-6500000</f>
        <v>36000000</v>
      </c>
      <c r="M254" s="130" t="s">
        <v>173</v>
      </c>
      <c r="N254" s="57" t="s">
        <v>114</v>
      </c>
      <c r="O254" s="54" t="s">
        <v>213</v>
      </c>
      <c r="P254" s="132" t="str">
        <f>IFERROR(VLOOKUP(C254,TD!$B$32:$F$36,2,0)," ")</f>
        <v>O230117</v>
      </c>
      <c r="Q254" s="132" t="str">
        <f>IFERROR(VLOOKUP(C254,TD!$B$32:$F$36,3,0)," ")</f>
        <v>4599</v>
      </c>
      <c r="R254" s="132">
        <f>IFERROR(VLOOKUP(C254,TD!$B$32:$F$36,4,0)," ")</f>
        <v>20240207</v>
      </c>
      <c r="S254" s="54" t="s">
        <v>194</v>
      </c>
      <c r="T254" s="132" t="str">
        <f>IFERROR(VLOOKUP(S254,TD!$J$33:$K$43,2,0)," ")</f>
        <v>Servicios para la planeación y sistemas de gestión y comunicación estratégica</v>
      </c>
      <c r="U254" s="54" t="str">
        <f t="shared" si="12"/>
        <v>13-Servicios para la planeación y sistemas de gestión y comunicación estratégica</v>
      </c>
      <c r="V254" s="54" t="s">
        <v>242</v>
      </c>
      <c r="W254" s="132" t="str">
        <f>IFERROR(VLOOKUP(V254,TD!$N$33:$O$45,2,0)," ")</f>
        <v>Servicio de Implementación Sistemas de Gestión</v>
      </c>
      <c r="X254" s="54" t="str">
        <f t="shared" si="13"/>
        <v>023_Servicio de Implementación Sistemas de Gestión</v>
      </c>
      <c r="Y254" s="54" t="str">
        <f t="shared" si="14"/>
        <v>13-Servicios para la planeación y sistemas de gestión y comunicación estratégica 023_Servicio de Implementación Sistemas de Gestión</v>
      </c>
      <c r="Z254" s="132" t="str">
        <f t="shared" si="15"/>
        <v>O23011745992024020713023</v>
      </c>
      <c r="AA254" s="132" t="str">
        <f>IFERROR(VLOOKUP(Y254,TD!$K$46:$L$64,2,0)," ")</f>
        <v>PM/0131/0113/45990230207</v>
      </c>
      <c r="AB254" s="57" t="s">
        <v>139</v>
      </c>
      <c r="AC254" s="133" t="s">
        <v>205</v>
      </c>
    </row>
    <row r="255" spans="2:29" s="28" customFormat="1" ht="85.5">
      <c r="B255" s="85">
        <v>20240868</v>
      </c>
      <c r="C255" s="53" t="s">
        <v>209</v>
      </c>
      <c r="D255" s="130" t="s">
        <v>37</v>
      </c>
      <c r="E255" s="54" t="s">
        <v>406</v>
      </c>
      <c r="F255" s="130" t="s">
        <v>415</v>
      </c>
      <c r="G255" s="130" t="s">
        <v>156</v>
      </c>
      <c r="H255" s="117">
        <v>80111600</v>
      </c>
      <c r="I255" s="131">
        <v>8</v>
      </c>
      <c r="J255" s="131">
        <v>5</v>
      </c>
      <c r="K255" s="56">
        <v>0</v>
      </c>
      <c r="L255" s="57">
        <f>42000000-7000000</f>
        <v>35000000</v>
      </c>
      <c r="M255" s="130" t="s">
        <v>173</v>
      </c>
      <c r="N255" s="57" t="s">
        <v>114</v>
      </c>
      <c r="O255" s="54" t="s">
        <v>212</v>
      </c>
      <c r="P255" s="132" t="str">
        <f>IFERROR(VLOOKUP(C255,TD!$B$32:$F$36,2,0)," ")</f>
        <v>O230117</v>
      </c>
      <c r="Q255" s="132" t="str">
        <f>IFERROR(VLOOKUP(C255,TD!$B$32:$F$36,3,0)," ")</f>
        <v>4599</v>
      </c>
      <c r="R255" s="132">
        <f>IFERROR(VLOOKUP(C255,TD!$B$32:$F$36,4,0)," ")</f>
        <v>20240207</v>
      </c>
      <c r="S255" s="54" t="s">
        <v>194</v>
      </c>
      <c r="T255" s="132" t="str">
        <f>IFERROR(VLOOKUP(S255,TD!$J$33:$K$43,2,0)," ")</f>
        <v>Servicios para la planeación y sistemas de gestión y comunicación estratégica</v>
      </c>
      <c r="U255" s="54" t="str">
        <f t="shared" si="12"/>
        <v>13-Servicios para la planeación y sistemas de gestión y comunicación estratégica</v>
      </c>
      <c r="V255" s="54" t="s">
        <v>241</v>
      </c>
      <c r="W255" s="132" t="str">
        <f>IFERROR(VLOOKUP(V255,TD!$N$33:$O$45,2,0)," ")</f>
        <v>Servicio de asistencia técnica</v>
      </c>
      <c r="X255" s="54" t="str">
        <f t="shared" si="13"/>
        <v>031_Servicio de asistencia técnica</v>
      </c>
      <c r="Y255" s="54" t="str">
        <f t="shared" si="14"/>
        <v>13-Servicios para la planeación y sistemas de gestión y comunicación estratégica 031_Servicio de asistencia técnica</v>
      </c>
      <c r="Z255" s="132" t="str">
        <f t="shared" si="15"/>
        <v>O23011745992024020713031</v>
      </c>
      <c r="AA255" s="132" t="str">
        <f>IFERROR(VLOOKUP(Y255,TD!$K$46:$L$64,2,0)," ")</f>
        <v>PM/0131/0113/45990310207</v>
      </c>
      <c r="AB255" s="57" t="s">
        <v>139</v>
      </c>
      <c r="AC255" s="133" t="s">
        <v>205</v>
      </c>
    </row>
    <row r="256" spans="2:29" s="28" customFormat="1" ht="57">
      <c r="B256" s="85">
        <v>20240870</v>
      </c>
      <c r="C256" s="53" t="s">
        <v>209</v>
      </c>
      <c r="D256" s="130" t="s">
        <v>37</v>
      </c>
      <c r="E256" s="54" t="s">
        <v>406</v>
      </c>
      <c r="F256" s="130" t="s">
        <v>416</v>
      </c>
      <c r="G256" s="130" t="s">
        <v>156</v>
      </c>
      <c r="H256" s="117">
        <v>80111600</v>
      </c>
      <c r="I256" s="131">
        <v>8</v>
      </c>
      <c r="J256" s="131">
        <v>5</v>
      </c>
      <c r="K256" s="56">
        <v>0</v>
      </c>
      <c r="L256" s="57">
        <v>35000000</v>
      </c>
      <c r="M256" s="130" t="s">
        <v>173</v>
      </c>
      <c r="N256" s="57" t="s">
        <v>114</v>
      </c>
      <c r="O256" s="54" t="s">
        <v>212</v>
      </c>
      <c r="P256" s="132" t="str">
        <f>IFERROR(VLOOKUP(C256,TD!$B$32:$F$36,2,0)," ")</f>
        <v>O230117</v>
      </c>
      <c r="Q256" s="132" t="str">
        <f>IFERROR(VLOOKUP(C256,TD!$B$32:$F$36,3,0)," ")</f>
        <v>4599</v>
      </c>
      <c r="R256" s="132">
        <f>IFERROR(VLOOKUP(C256,TD!$B$32:$F$36,4,0)," ")</f>
        <v>20240207</v>
      </c>
      <c r="S256" s="54" t="s">
        <v>194</v>
      </c>
      <c r="T256" s="132" t="str">
        <f>IFERROR(VLOOKUP(S256,TD!$J$33:$K$43,2,0)," ")</f>
        <v>Servicios para la planeación y sistemas de gestión y comunicación estratégica</v>
      </c>
      <c r="U256" s="54" t="str">
        <f t="shared" si="12"/>
        <v>13-Servicios para la planeación y sistemas de gestión y comunicación estratégica</v>
      </c>
      <c r="V256" s="54" t="s">
        <v>241</v>
      </c>
      <c r="W256" s="132" t="str">
        <f>IFERROR(VLOOKUP(V256,TD!$N$33:$O$45,2,0)," ")</f>
        <v>Servicio de asistencia técnica</v>
      </c>
      <c r="X256" s="54" t="str">
        <f t="shared" si="13"/>
        <v>031_Servicio de asistencia técnica</v>
      </c>
      <c r="Y256" s="54" t="str">
        <f t="shared" si="14"/>
        <v>13-Servicios para la planeación y sistemas de gestión y comunicación estratégica 031_Servicio de asistencia técnica</v>
      </c>
      <c r="Z256" s="132" t="str">
        <f t="shared" si="15"/>
        <v>O23011745992024020713031</v>
      </c>
      <c r="AA256" s="132" t="str">
        <f>IFERROR(VLOOKUP(Y256,TD!$K$46:$L$64,2,0)," ")</f>
        <v>PM/0131/0113/45990310207</v>
      </c>
      <c r="AB256" s="57" t="s">
        <v>139</v>
      </c>
      <c r="AC256" s="133" t="s">
        <v>205</v>
      </c>
    </row>
    <row r="257" spans="2:29" s="28" customFormat="1" ht="57">
      <c r="B257" s="85">
        <v>20240871</v>
      </c>
      <c r="C257" s="53" t="s">
        <v>209</v>
      </c>
      <c r="D257" s="130" t="s">
        <v>37</v>
      </c>
      <c r="E257" s="54" t="s">
        <v>406</v>
      </c>
      <c r="F257" s="130" t="s">
        <v>417</v>
      </c>
      <c r="G257" s="130" t="s">
        <v>156</v>
      </c>
      <c r="H257" s="117">
        <v>80111600</v>
      </c>
      <c r="I257" s="131">
        <v>9</v>
      </c>
      <c r="J257" s="131">
        <v>5</v>
      </c>
      <c r="K257" s="56">
        <v>0</v>
      </c>
      <c r="L257" s="57">
        <f>21141844+8205116-1846960</f>
        <v>27500000</v>
      </c>
      <c r="M257" s="130" t="s">
        <v>173</v>
      </c>
      <c r="N257" s="57" t="s">
        <v>114</v>
      </c>
      <c r="O257" s="54" t="s">
        <v>214</v>
      </c>
      <c r="P257" s="132" t="str">
        <f>IFERROR(VLOOKUP(C257,TD!$B$32:$F$36,2,0)," ")</f>
        <v>O230117</v>
      </c>
      <c r="Q257" s="132" t="str">
        <f>IFERROR(VLOOKUP(C257,TD!$B$32:$F$36,3,0)," ")</f>
        <v>4599</v>
      </c>
      <c r="R257" s="132">
        <f>IFERROR(VLOOKUP(C257,TD!$B$32:$F$36,4,0)," ")</f>
        <v>20240207</v>
      </c>
      <c r="S257" s="54" t="s">
        <v>194</v>
      </c>
      <c r="T257" s="132" t="str">
        <f>IFERROR(VLOOKUP(S257,TD!$J$33:$K$43,2,0)," ")</f>
        <v>Servicios para la planeación y sistemas de gestión y comunicación estratégica</v>
      </c>
      <c r="U257" s="54" t="str">
        <f t="shared" si="12"/>
        <v>13-Servicios para la planeación y sistemas de gestión y comunicación estratégica</v>
      </c>
      <c r="V257" s="54" t="s">
        <v>242</v>
      </c>
      <c r="W257" s="132" t="str">
        <f>IFERROR(VLOOKUP(V257,TD!$N$33:$O$45,2,0)," ")</f>
        <v>Servicio de Implementación Sistemas de Gestión</v>
      </c>
      <c r="X257" s="54" t="str">
        <f t="shared" si="13"/>
        <v>023_Servicio de Implementación Sistemas de Gestión</v>
      </c>
      <c r="Y257" s="54" t="str">
        <f t="shared" si="14"/>
        <v>13-Servicios para la planeación y sistemas de gestión y comunicación estratégica 023_Servicio de Implementación Sistemas de Gestión</v>
      </c>
      <c r="Z257" s="132" t="str">
        <f t="shared" si="15"/>
        <v>O23011745992024020713023</v>
      </c>
      <c r="AA257" s="132" t="str">
        <f>IFERROR(VLOOKUP(Y257,TD!$K$46:$L$64,2,0)," ")</f>
        <v>PM/0131/0113/45990230207</v>
      </c>
      <c r="AB257" s="57" t="s">
        <v>139</v>
      </c>
      <c r="AC257" s="133" t="s">
        <v>205</v>
      </c>
    </row>
    <row r="258" spans="2:29" s="28" customFormat="1" ht="57">
      <c r="B258" s="85">
        <v>20240872</v>
      </c>
      <c r="C258" s="53" t="s">
        <v>209</v>
      </c>
      <c r="D258" s="130" t="s">
        <v>37</v>
      </c>
      <c r="E258" s="54" t="s">
        <v>406</v>
      </c>
      <c r="F258" s="130" t="s">
        <v>418</v>
      </c>
      <c r="G258" s="130" t="s">
        <v>156</v>
      </c>
      <c r="H258" s="117">
        <v>80111600</v>
      </c>
      <c r="I258" s="131">
        <v>9</v>
      </c>
      <c r="J258" s="131">
        <v>5</v>
      </c>
      <c r="K258" s="56">
        <v>0</v>
      </c>
      <c r="L258" s="57">
        <v>35000000</v>
      </c>
      <c r="M258" s="130" t="s">
        <v>173</v>
      </c>
      <c r="N258" s="57" t="s">
        <v>114</v>
      </c>
      <c r="O258" s="54" t="s">
        <v>214</v>
      </c>
      <c r="P258" s="132" t="str">
        <f>IFERROR(VLOOKUP(C258,TD!$B$32:$F$36,2,0)," ")</f>
        <v>O230117</v>
      </c>
      <c r="Q258" s="132" t="str">
        <f>IFERROR(VLOOKUP(C258,TD!$B$32:$F$36,3,0)," ")</f>
        <v>4599</v>
      </c>
      <c r="R258" s="132">
        <f>IFERROR(VLOOKUP(C258,TD!$B$32:$F$36,4,0)," ")</f>
        <v>20240207</v>
      </c>
      <c r="S258" s="54" t="s">
        <v>194</v>
      </c>
      <c r="T258" s="132" t="str">
        <f>IFERROR(VLOOKUP(S258,TD!$J$33:$K$43,2,0)," ")</f>
        <v>Servicios para la planeación y sistemas de gestión y comunicación estratégica</v>
      </c>
      <c r="U258" s="54" t="str">
        <f t="shared" si="12"/>
        <v>13-Servicios para la planeación y sistemas de gestión y comunicación estratégica</v>
      </c>
      <c r="V258" s="54" t="s">
        <v>242</v>
      </c>
      <c r="W258" s="132" t="str">
        <f>IFERROR(VLOOKUP(V258,TD!$N$33:$O$45,2,0)," ")</f>
        <v>Servicio de Implementación Sistemas de Gestión</v>
      </c>
      <c r="X258" s="54" t="str">
        <f t="shared" si="13"/>
        <v>023_Servicio de Implementación Sistemas de Gestión</v>
      </c>
      <c r="Y258" s="54" t="str">
        <f t="shared" si="14"/>
        <v>13-Servicios para la planeación y sistemas de gestión y comunicación estratégica 023_Servicio de Implementación Sistemas de Gestión</v>
      </c>
      <c r="Z258" s="132" t="str">
        <f t="shared" si="15"/>
        <v>O23011745992024020713023</v>
      </c>
      <c r="AA258" s="132" t="str">
        <f>IFERROR(VLOOKUP(Y258,TD!$K$46:$L$64,2,0)," ")</f>
        <v>PM/0131/0113/45990230207</v>
      </c>
      <c r="AB258" s="57" t="s">
        <v>139</v>
      </c>
      <c r="AC258" s="133" t="s">
        <v>205</v>
      </c>
    </row>
    <row r="259" spans="2:29" s="28" customFormat="1" ht="99.75">
      <c r="B259" s="85">
        <v>20240873</v>
      </c>
      <c r="C259" s="53" t="s">
        <v>209</v>
      </c>
      <c r="D259" s="130" t="s">
        <v>37</v>
      </c>
      <c r="E259" s="54" t="s">
        <v>406</v>
      </c>
      <c r="F259" s="130" t="s">
        <v>419</v>
      </c>
      <c r="G259" s="130" t="s">
        <v>156</v>
      </c>
      <c r="H259" s="117">
        <v>80111600</v>
      </c>
      <c r="I259" s="131">
        <v>9</v>
      </c>
      <c r="J259" s="131">
        <v>4</v>
      </c>
      <c r="K259" s="56">
        <v>0</v>
      </c>
      <c r="L259" s="57">
        <f>11758172+30741828-8500000</f>
        <v>34000000</v>
      </c>
      <c r="M259" s="130" t="s">
        <v>173</v>
      </c>
      <c r="N259" s="57" t="s">
        <v>114</v>
      </c>
      <c r="O259" s="54" t="s">
        <v>213</v>
      </c>
      <c r="P259" s="132" t="str">
        <f>IFERROR(VLOOKUP(C259,TD!$B$32:$F$36,2,0)," ")</f>
        <v>O230117</v>
      </c>
      <c r="Q259" s="132" t="str">
        <f>IFERROR(VLOOKUP(C259,TD!$B$32:$F$36,3,0)," ")</f>
        <v>4599</v>
      </c>
      <c r="R259" s="132">
        <f>IFERROR(VLOOKUP(C259,TD!$B$32:$F$36,4,0)," ")</f>
        <v>20240207</v>
      </c>
      <c r="S259" s="54" t="s">
        <v>194</v>
      </c>
      <c r="T259" s="132" t="str">
        <f>IFERROR(VLOOKUP(S259,TD!$J$33:$K$43,2,0)," ")</f>
        <v>Servicios para la planeación y sistemas de gestión y comunicación estratégica</v>
      </c>
      <c r="U259" s="54" t="str">
        <f t="shared" si="12"/>
        <v>13-Servicios para la planeación y sistemas de gestión y comunicación estratégica</v>
      </c>
      <c r="V259" s="54" t="s">
        <v>242</v>
      </c>
      <c r="W259" s="132" t="str">
        <f>IFERROR(VLOOKUP(V259,TD!$N$33:$O$45,2,0)," ")</f>
        <v>Servicio de Implementación Sistemas de Gestión</v>
      </c>
      <c r="X259" s="54" t="str">
        <f t="shared" si="13"/>
        <v>023_Servicio de Implementación Sistemas de Gestión</v>
      </c>
      <c r="Y259" s="54" t="str">
        <f t="shared" si="14"/>
        <v>13-Servicios para la planeación y sistemas de gestión y comunicación estratégica 023_Servicio de Implementación Sistemas de Gestión</v>
      </c>
      <c r="Z259" s="132" t="str">
        <f t="shared" si="15"/>
        <v>O23011745992024020713023</v>
      </c>
      <c r="AA259" s="132" t="str">
        <f>IFERROR(VLOOKUP(Y259,TD!$K$46:$L$64,2,0)," ")</f>
        <v>PM/0131/0113/45990230207</v>
      </c>
      <c r="AB259" s="57" t="s">
        <v>139</v>
      </c>
      <c r="AC259" s="133" t="s">
        <v>205</v>
      </c>
    </row>
    <row r="260" spans="2:29" s="28" customFormat="1" ht="99.75">
      <c r="B260" s="85">
        <v>20240874</v>
      </c>
      <c r="C260" s="53" t="s">
        <v>209</v>
      </c>
      <c r="D260" s="130" t="s">
        <v>37</v>
      </c>
      <c r="E260" s="54" t="s">
        <v>406</v>
      </c>
      <c r="F260" s="130" t="s">
        <v>420</v>
      </c>
      <c r="G260" s="130" t="s">
        <v>156</v>
      </c>
      <c r="H260" s="117">
        <v>80111600</v>
      </c>
      <c r="I260" s="131">
        <v>8</v>
      </c>
      <c r="J260" s="131">
        <v>5</v>
      </c>
      <c r="K260" s="56">
        <v>0</v>
      </c>
      <c r="L260" s="57">
        <f>39000000-6500000</f>
        <v>32500000</v>
      </c>
      <c r="M260" s="130" t="s">
        <v>173</v>
      </c>
      <c r="N260" s="57" t="s">
        <v>114</v>
      </c>
      <c r="O260" s="54" t="s">
        <v>213</v>
      </c>
      <c r="P260" s="132" t="str">
        <f>IFERROR(VLOOKUP(C260,TD!$B$32:$F$36,2,0)," ")</f>
        <v>O230117</v>
      </c>
      <c r="Q260" s="132" t="str">
        <f>IFERROR(VLOOKUP(C260,TD!$B$32:$F$36,3,0)," ")</f>
        <v>4599</v>
      </c>
      <c r="R260" s="132">
        <f>IFERROR(VLOOKUP(C260,TD!$B$32:$F$36,4,0)," ")</f>
        <v>20240207</v>
      </c>
      <c r="S260" s="54" t="s">
        <v>194</v>
      </c>
      <c r="T260" s="132" t="str">
        <f>IFERROR(VLOOKUP(S260,TD!$J$33:$K$43,2,0)," ")</f>
        <v>Servicios para la planeación y sistemas de gestión y comunicación estratégica</v>
      </c>
      <c r="U260" s="54" t="str">
        <f t="shared" si="12"/>
        <v>13-Servicios para la planeación y sistemas de gestión y comunicación estratégica</v>
      </c>
      <c r="V260" s="54" t="s">
        <v>242</v>
      </c>
      <c r="W260" s="132" t="str">
        <f>IFERROR(VLOOKUP(V260,TD!$N$33:$O$45,2,0)," ")</f>
        <v>Servicio de Implementación Sistemas de Gestión</v>
      </c>
      <c r="X260" s="54" t="str">
        <f t="shared" si="13"/>
        <v>023_Servicio de Implementación Sistemas de Gestión</v>
      </c>
      <c r="Y260" s="54" t="str">
        <f t="shared" si="14"/>
        <v>13-Servicios para la planeación y sistemas de gestión y comunicación estratégica 023_Servicio de Implementación Sistemas de Gestión</v>
      </c>
      <c r="Z260" s="132" t="str">
        <f t="shared" si="15"/>
        <v>O23011745992024020713023</v>
      </c>
      <c r="AA260" s="132" t="str">
        <f>IFERROR(VLOOKUP(Y260,TD!$K$46:$L$64,2,0)," ")</f>
        <v>PM/0131/0113/45990230207</v>
      </c>
      <c r="AB260" s="57" t="s">
        <v>139</v>
      </c>
      <c r="AC260" s="133" t="s">
        <v>205</v>
      </c>
    </row>
    <row r="261" spans="2:29" s="28" customFormat="1" ht="57">
      <c r="B261" s="85">
        <v>20240876</v>
      </c>
      <c r="C261" s="53" t="s">
        <v>210</v>
      </c>
      <c r="D261" s="130" t="s">
        <v>170</v>
      </c>
      <c r="E261" s="54" t="s">
        <v>456</v>
      </c>
      <c r="F261" s="130" t="s">
        <v>664</v>
      </c>
      <c r="G261" s="130" t="s">
        <v>156</v>
      </c>
      <c r="H261" s="117">
        <v>80111600</v>
      </c>
      <c r="I261" s="131">
        <v>8</v>
      </c>
      <c r="J261" s="131">
        <v>5</v>
      </c>
      <c r="K261" s="56">
        <v>0</v>
      </c>
      <c r="L261" s="57">
        <v>42500000</v>
      </c>
      <c r="M261" s="130" t="s">
        <v>173</v>
      </c>
      <c r="N261" s="57" t="s">
        <v>114</v>
      </c>
      <c r="O261" s="54" t="s">
        <v>223</v>
      </c>
      <c r="P261" s="132" t="str">
        <f>IFERROR(VLOOKUP(C261,TD!$B$32:$F$36,2,0)," ")</f>
        <v>O230117</v>
      </c>
      <c r="Q261" s="132" t="str">
        <f>IFERROR(VLOOKUP(C261,TD!$B$32:$F$36,3,0)," ")</f>
        <v>4503</v>
      </c>
      <c r="R261" s="132">
        <f>IFERROR(VLOOKUP(C261,TD!$B$32:$F$36,4,0)," ")</f>
        <v>20240255</v>
      </c>
      <c r="S261" s="54" t="s">
        <v>176</v>
      </c>
      <c r="T261" s="132" t="str">
        <f>IFERROR(VLOOKUP(S261,TD!$J$33:$K$43,2,0)," ")</f>
        <v>Servicio de atención a incidentes y emergencias.</v>
      </c>
      <c r="U261" s="54" t="str">
        <f t="shared" si="12"/>
        <v>04-Servicio de atención a incidentes y emergencias.</v>
      </c>
      <c r="V261" s="54" t="s">
        <v>233</v>
      </c>
      <c r="W261" s="132" t="str">
        <f>IFERROR(VLOOKUP(V261,TD!$N$33:$O$45,2,0)," ")</f>
        <v>Servicio de atención a emergencias y desastres</v>
      </c>
      <c r="X261" s="54" t="str">
        <f t="shared" si="13"/>
        <v>004_Servicio de atención a emergencias y desastres</v>
      </c>
      <c r="Y261" s="54" t="str">
        <f t="shared" si="14"/>
        <v>04-Servicio de atención a incidentes y emergencias. 004_Servicio de atención a emergencias y desastres</v>
      </c>
      <c r="Z261" s="132" t="str">
        <f t="shared" si="15"/>
        <v>O23011745032024025504004</v>
      </c>
      <c r="AA261" s="132" t="str">
        <f>IFERROR(VLOOKUP(Y261,TD!$K$46:$L$64,2,0)," ")</f>
        <v>PM/0131/0104/45030040255</v>
      </c>
      <c r="AB261" s="57" t="s">
        <v>139</v>
      </c>
      <c r="AC261" s="133" t="s">
        <v>205</v>
      </c>
    </row>
    <row r="262" spans="2:29" s="28" customFormat="1" ht="85.5">
      <c r="B262" s="85">
        <v>20240877</v>
      </c>
      <c r="C262" s="53" t="s">
        <v>210</v>
      </c>
      <c r="D262" s="130" t="s">
        <v>169</v>
      </c>
      <c r="E262" s="54" t="s">
        <v>804</v>
      </c>
      <c r="F262" s="130" t="s">
        <v>422</v>
      </c>
      <c r="G262" s="130" t="s">
        <v>120</v>
      </c>
      <c r="H262" s="117" t="s">
        <v>452</v>
      </c>
      <c r="I262" s="131">
        <v>7</v>
      </c>
      <c r="J262" s="131">
        <v>6</v>
      </c>
      <c r="K262" s="56">
        <v>0</v>
      </c>
      <c r="L262" s="57">
        <f>34378829-2006125</f>
        <v>32372704</v>
      </c>
      <c r="M262" s="130" t="s">
        <v>173</v>
      </c>
      <c r="N262" s="57" t="s">
        <v>101</v>
      </c>
      <c r="O262" s="54" t="s">
        <v>225</v>
      </c>
      <c r="P262" s="132" t="str">
        <f>IFERROR(VLOOKUP(C262,TD!$B$32:$F$36,2,0)," ")</f>
        <v>O230117</v>
      </c>
      <c r="Q262" s="132" t="str">
        <f>IFERROR(VLOOKUP(C262,TD!$B$32:$F$36,3,0)," ")</f>
        <v>4503</v>
      </c>
      <c r="R262" s="132">
        <f>IFERROR(VLOOKUP(C262,TD!$B$32:$F$36,4,0)," ")</f>
        <v>20240255</v>
      </c>
      <c r="S262" s="54" t="s">
        <v>192</v>
      </c>
      <c r="T262" s="132" t="str">
        <f>IFERROR(VLOOKUP(S262,TD!$J$33:$K$43,2,0)," ")</f>
        <v>Servicio de apoyo   logístico  en eventos operativos y/o emergencias.</v>
      </c>
      <c r="U262" s="54" t="str">
        <f t="shared" si="12"/>
        <v>12-Servicio de apoyo   logístico  en eventos operativos y/o emergencias.</v>
      </c>
      <c r="V262" s="54" t="s">
        <v>233</v>
      </c>
      <c r="W262" s="132" t="str">
        <f>IFERROR(VLOOKUP(V262,TD!$N$33:$O$45,2,0)," ")</f>
        <v>Servicio de atención a emergencias y desastres</v>
      </c>
      <c r="X262" s="54" t="str">
        <f t="shared" si="13"/>
        <v>004_Servicio de atención a emergencias y desastres</v>
      </c>
      <c r="Y262" s="54" t="str">
        <f t="shared" si="14"/>
        <v>12-Servicio de apoyo   logístico  en eventos operativos y/o emergencias. 004_Servicio de atención a emergencias y desastres</v>
      </c>
      <c r="Z262" s="132" t="str">
        <f t="shared" si="15"/>
        <v>O23011745032024025512004</v>
      </c>
      <c r="AA262" s="132" t="str">
        <f>IFERROR(VLOOKUP(Y262,TD!$K$46:$L$64,2,0)," ")</f>
        <v>PM/0131/0112/45030040255</v>
      </c>
      <c r="AB262" s="57" t="s">
        <v>98</v>
      </c>
      <c r="AC262" s="133" t="s">
        <v>205</v>
      </c>
    </row>
    <row r="263" spans="2:29" s="28" customFormat="1" ht="57">
      <c r="B263" s="85">
        <v>20240878</v>
      </c>
      <c r="C263" s="53" t="s">
        <v>210</v>
      </c>
      <c r="D263" s="130" t="s">
        <v>169</v>
      </c>
      <c r="E263" s="54" t="s">
        <v>804</v>
      </c>
      <c r="F263" s="130" t="s">
        <v>423</v>
      </c>
      <c r="G263" s="130" t="s">
        <v>120</v>
      </c>
      <c r="H263" s="117" t="s">
        <v>453</v>
      </c>
      <c r="I263" s="131">
        <v>7</v>
      </c>
      <c r="J263" s="131">
        <v>7</v>
      </c>
      <c r="K263" s="56">
        <v>0</v>
      </c>
      <c r="L263" s="57">
        <v>200000000</v>
      </c>
      <c r="M263" s="130" t="s">
        <v>173</v>
      </c>
      <c r="N263" s="57" t="s">
        <v>96</v>
      </c>
      <c r="O263" s="54" t="s">
        <v>225</v>
      </c>
      <c r="P263" s="132" t="str">
        <f>IFERROR(VLOOKUP(C263,TD!$B$32:$F$36,2,0)," ")</f>
        <v>O230117</v>
      </c>
      <c r="Q263" s="132" t="str">
        <f>IFERROR(VLOOKUP(C263,TD!$B$32:$F$36,3,0)," ")</f>
        <v>4503</v>
      </c>
      <c r="R263" s="132">
        <f>IFERROR(VLOOKUP(C263,TD!$B$32:$F$36,4,0)," ")</f>
        <v>20240255</v>
      </c>
      <c r="S263" s="54" t="s">
        <v>192</v>
      </c>
      <c r="T263" s="132" t="str">
        <f>IFERROR(VLOOKUP(S263,TD!$J$33:$K$43,2,0)," ")</f>
        <v>Servicio de apoyo   logístico  en eventos operativos y/o emergencias.</v>
      </c>
      <c r="U263" s="54" t="str">
        <f t="shared" si="12"/>
        <v>12-Servicio de apoyo   logístico  en eventos operativos y/o emergencias.</v>
      </c>
      <c r="V263" s="54" t="s">
        <v>233</v>
      </c>
      <c r="W263" s="132" t="str">
        <f>IFERROR(VLOOKUP(V263,TD!$N$33:$O$45,2,0)," ")</f>
        <v>Servicio de atención a emergencias y desastres</v>
      </c>
      <c r="X263" s="54" t="str">
        <f t="shared" si="13"/>
        <v>004_Servicio de atención a emergencias y desastres</v>
      </c>
      <c r="Y263" s="54" t="str">
        <f t="shared" si="14"/>
        <v>12-Servicio de apoyo   logístico  en eventos operativos y/o emergencias. 004_Servicio de atención a emergencias y desastres</v>
      </c>
      <c r="Z263" s="132" t="str">
        <f t="shared" si="15"/>
        <v>O23011745032024025512004</v>
      </c>
      <c r="AA263" s="132" t="str">
        <f>IFERROR(VLOOKUP(Y263,TD!$K$46:$L$64,2,0)," ")</f>
        <v>PM/0131/0112/45030040255</v>
      </c>
      <c r="AB263" s="57" t="s">
        <v>111</v>
      </c>
      <c r="AC263" s="133" t="s">
        <v>205</v>
      </c>
    </row>
    <row r="264" spans="2:29" s="28" customFormat="1" ht="57">
      <c r="B264" s="85">
        <v>20240879</v>
      </c>
      <c r="C264" s="53" t="s">
        <v>210</v>
      </c>
      <c r="D264" s="130" t="s">
        <v>169</v>
      </c>
      <c r="E264" s="54" t="s">
        <v>804</v>
      </c>
      <c r="F264" s="130" t="s">
        <v>424</v>
      </c>
      <c r="G264" s="130" t="s">
        <v>120</v>
      </c>
      <c r="H264" s="117" t="s">
        <v>453</v>
      </c>
      <c r="I264" s="131">
        <v>7</v>
      </c>
      <c r="J264" s="131">
        <v>1</v>
      </c>
      <c r="K264" s="56">
        <v>15</v>
      </c>
      <c r="L264" s="57">
        <v>30000000</v>
      </c>
      <c r="M264" s="130" t="s">
        <v>173</v>
      </c>
      <c r="N264" s="57" t="s">
        <v>96</v>
      </c>
      <c r="O264" s="54" t="s">
        <v>225</v>
      </c>
      <c r="P264" s="132" t="str">
        <f>IFERROR(VLOOKUP(C264,TD!$B$32:$F$36,2,0)," ")</f>
        <v>O230117</v>
      </c>
      <c r="Q264" s="132" t="str">
        <f>IFERROR(VLOOKUP(C264,TD!$B$32:$F$36,3,0)," ")</f>
        <v>4503</v>
      </c>
      <c r="R264" s="132">
        <f>IFERROR(VLOOKUP(C264,TD!$B$32:$F$36,4,0)," ")</f>
        <v>20240255</v>
      </c>
      <c r="S264" s="54" t="s">
        <v>192</v>
      </c>
      <c r="T264" s="132" t="str">
        <f>IFERROR(VLOOKUP(S264,TD!$J$33:$K$43,2,0)," ")</f>
        <v>Servicio de apoyo   logístico  en eventos operativos y/o emergencias.</v>
      </c>
      <c r="U264" s="54" t="str">
        <f t="shared" si="12"/>
        <v>12-Servicio de apoyo   logístico  en eventos operativos y/o emergencias.</v>
      </c>
      <c r="V264" s="54" t="s">
        <v>233</v>
      </c>
      <c r="W264" s="132" t="str">
        <f>IFERROR(VLOOKUP(V264,TD!$N$33:$O$45,2,0)," ")</f>
        <v>Servicio de atención a emergencias y desastres</v>
      </c>
      <c r="X264" s="54" t="str">
        <f t="shared" si="13"/>
        <v>004_Servicio de atención a emergencias y desastres</v>
      </c>
      <c r="Y264" s="54" t="str">
        <f t="shared" si="14"/>
        <v>12-Servicio de apoyo   logístico  en eventos operativos y/o emergencias. 004_Servicio de atención a emergencias y desastres</v>
      </c>
      <c r="Z264" s="132" t="str">
        <f t="shared" si="15"/>
        <v>O23011745032024025512004</v>
      </c>
      <c r="AA264" s="132" t="str">
        <f>IFERROR(VLOOKUP(Y264,TD!$K$46:$L$64,2,0)," ")</f>
        <v>PM/0131/0112/45030040255</v>
      </c>
      <c r="AB264" s="57" t="s">
        <v>111</v>
      </c>
      <c r="AC264" s="133" t="s">
        <v>206</v>
      </c>
    </row>
    <row r="265" spans="2:29" s="28" customFormat="1" ht="57">
      <c r="B265" s="85">
        <v>20240880</v>
      </c>
      <c r="C265" s="53" t="s">
        <v>210</v>
      </c>
      <c r="D265" s="130" t="s">
        <v>169</v>
      </c>
      <c r="E265" s="54" t="s">
        <v>804</v>
      </c>
      <c r="F265" s="130" t="s">
        <v>425</v>
      </c>
      <c r="G265" s="130" t="s">
        <v>120</v>
      </c>
      <c r="H265" s="117">
        <v>50192700</v>
      </c>
      <c r="I265" s="131">
        <v>7</v>
      </c>
      <c r="J265" s="131">
        <v>1</v>
      </c>
      <c r="K265" s="56">
        <v>0</v>
      </c>
      <c r="L265" s="57">
        <f>15000000+20000000</f>
        <v>35000000</v>
      </c>
      <c r="M265" s="130" t="s">
        <v>173</v>
      </c>
      <c r="N265" s="57" t="s">
        <v>101</v>
      </c>
      <c r="O265" s="54" t="s">
        <v>225</v>
      </c>
      <c r="P265" s="132" t="str">
        <f>IFERROR(VLOOKUP(C265,TD!$B$32:$F$36,2,0)," ")</f>
        <v>O230117</v>
      </c>
      <c r="Q265" s="132" t="str">
        <f>IFERROR(VLOOKUP(C265,TD!$B$32:$F$36,3,0)," ")</f>
        <v>4503</v>
      </c>
      <c r="R265" s="132">
        <f>IFERROR(VLOOKUP(C265,TD!$B$32:$F$36,4,0)," ")</f>
        <v>20240255</v>
      </c>
      <c r="S265" s="54" t="s">
        <v>192</v>
      </c>
      <c r="T265" s="132" t="str">
        <f>IFERROR(VLOOKUP(S265,TD!$J$33:$K$43,2,0)," ")</f>
        <v>Servicio de apoyo   logístico  en eventos operativos y/o emergencias.</v>
      </c>
      <c r="U265" s="54" t="str">
        <f t="shared" si="12"/>
        <v>12-Servicio de apoyo   logístico  en eventos operativos y/o emergencias.</v>
      </c>
      <c r="V265" s="54" t="s">
        <v>233</v>
      </c>
      <c r="W265" s="132" t="str">
        <f>IFERROR(VLOOKUP(V265,TD!$N$33:$O$45,2,0)," ")</f>
        <v>Servicio de atención a emergencias y desastres</v>
      </c>
      <c r="X265" s="54" t="str">
        <f t="shared" si="13"/>
        <v>004_Servicio de atención a emergencias y desastres</v>
      </c>
      <c r="Y265" s="54" t="str">
        <f t="shared" si="14"/>
        <v>12-Servicio de apoyo   logístico  en eventos operativos y/o emergencias. 004_Servicio de atención a emergencias y desastres</v>
      </c>
      <c r="Z265" s="132" t="str">
        <f t="shared" si="15"/>
        <v>O23011745032024025512004</v>
      </c>
      <c r="AA265" s="132" t="str">
        <f>IFERROR(VLOOKUP(Y265,TD!$K$46:$L$64,2,0)," ")</f>
        <v>PM/0131/0112/45030040255</v>
      </c>
      <c r="AB265" s="57" t="s">
        <v>111</v>
      </c>
      <c r="AC265" s="133" t="s">
        <v>205</v>
      </c>
    </row>
    <row r="266" spans="2:29" s="28" customFormat="1" ht="57">
      <c r="B266" s="85">
        <v>20240881</v>
      </c>
      <c r="C266" s="53" t="s">
        <v>210</v>
      </c>
      <c r="D266" s="130" t="s">
        <v>169</v>
      </c>
      <c r="E266" s="54" t="s">
        <v>804</v>
      </c>
      <c r="F266" s="130" t="s">
        <v>516</v>
      </c>
      <c r="G266" s="130" t="s">
        <v>120</v>
      </c>
      <c r="H266" s="117" t="s">
        <v>693</v>
      </c>
      <c r="I266" s="131">
        <v>7</v>
      </c>
      <c r="J266" s="131">
        <v>6</v>
      </c>
      <c r="K266" s="56">
        <v>0</v>
      </c>
      <c r="L266" s="57">
        <v>58500000</v>
      </c>
      <c r="M266" s="130" t="s">
        <v>173</v>
      </c>
      <c r="N266" s="57" t="s">
        <v>101</v>
      </c>
      <c r="O266" s="54" t="s">
        <v>225</v>
      </c>
      <c r="P266" s="132" t="str">
        <f>IFERROR(VLOOKUP(C266,TD!$B$32:$F$36,2,0)," ")</f>
        <v>O230117</v>
      </c>
      <c r="Q266" s="132" t="str">
        <f>IFERROR(VLOOKUP(C266,TD!$B$32:$F$36,3,0)," ")</f>
        <v>4503</v>
      </c>
      <c r="R266" s="132">
        <f>IFERROR(VLOOKUP(C266,TD!$B$32:$F$36,4,0)," ")</f>
        <v>20240255</v>
      </c>
      <c r="S266" s="54" t="s">
        <v>192</v>
      </c>
      <c r="T266" s="132" t="str">
        <f>IFERROR(VLOOKUP(S266,TD!$J$33:$K$43,2,0)," ")</f>
        <v>Servicio de apoyo   logístico  en eventos operativos y/o emergencias.</v>
      </c>
      <c r="U266" s="54" t="str">
        <f t="shared" si="12"/>
        <v>12-Servicio de apoyo   logístico  en eventos operativos y/o emergencias.</v>
      </c>
      <c r="V266" s="54" t="s">
        <v>233</v>
      </c>
      <c r="W266" s="132" t="str">
        <f>IFERROR(VLOOKUP(V266,TD!$N$33:$O$45,2,0)," ")</f>
        <v>Servicio de atención a emergencias y desastres</v>
      </c>
      <c r="X266" s="54" t="str">
        <f t="shared" si="13"/>
        <v>004_Servicio de atención a emergencias y desastres</v>
      </c>
      <c r="Y266" s="54" t="str">
        <f t="shared" si="14"/>
        <v>12-Servicio de apoyo   logístico  en eventos operativos y/o emergencias. 004_Servicio de atención a emergencias y desastres</v>
      </c>
      <c r="Z266" s="132" t="str">
        <f t="shared" si="15"/>
        <v>O23011745032024025512004</v>
      </c>
      <c r="AA266" s="132" t="str">
        <f>IFERROR(VLOOKUP(Y266,TD!$K$46:$L$64,2,0)," ")</f>
        <v>PM/0131/0112/45030040255</v>
      </c>
      <c r="AB266" s="57" t="s">
        <v>135</v>
      </c>
      <c r="AC266" s="133" t="s">
        <v>205</v>
      </c>
    </row>
    <row r="267" spans="2:29" s="28" customFormat="1" ht="57">
      <c r="B267" s="85">
        <v>20240883</v>
      </c>
      <c r="C267" s="53" t="s">
        <v>210</v>
      </c>
      <c r="D267" s="130" t="s">
        <v>169</v>
      </c>
      <c r="E267" s="54" t="s">
        <v>804</v>
      </c>
      <c r="F267" s="130" t="s">
        <v>694</v>
      </c>
      <c r="G267" s="130" t="s">
        <v>110</v>
      </c>
      <c r="H267" s="117">
        <v>72101509</v>
      </c>
      <c r="I267" s="131">
        <v>7</v>
      </c>
      <c r="J267" s="131">
        <v>5</v>
      </c>
      <c r="K267" s="56">
        <v>0</v>
      </c>
      <c r="L267" s="57">
        <v>65753688</v>
      </c>
      <c r="M267" s="130" t="s">
        <v>173</v>
      </c>
      <c r="N267" s="57" t="s">
        <v>96</v>
      </c>
      <c r="O267" s="54" t="s">
        <v>225</v>
      </c>
      <c r="P267" s="132" t="str">
        <f>IFERROR(VLOOKUP(C267,TD!$B$32:$F$36,2,0)," ")</f>
        <v>O230117</v>
      </c>
      <c r="Q267" s="132" t="str">
        <f>IFERROR(VLOOKUP(C267,TD!$B$32:$F$36,3,0)," ")</f>
        <v>4503</v>
      </c>
      <c r="R267" s="132">
        <f>IFERROR(VLOOKUP(C267,TD!$B$32:$F$36,4,0)," ")</f>
        <v>20240255</v>
      </c>
      <c r="S267" s="54" t="s">
        <v>192</v>
      </c>
      <c r="T267" s="132" t="str">
        <f>IFERROR(VLOOKUP(S267,TD!$J$33:$K$43,2,0)," ")</f>
        <v>Servicio de apoyo   logístico  en eventos operativos y/o emergencias.</v>
      </c>
      <c r="U267" s="54" t="str">
        <f t="shared" ref="U267:U330" si="16">CONCATENATE(S267,"-",T267)</f>
        <v>12-Servicio de apoyo   logístico  en eventos operativos y/o emergencias.</v>
      </c>
      <c r="V267" s="54" t="s">
        <v>233</v>
      </c>
      <c r="W267" s="132" t="str">
        <f>IFERROR(VLOOKUP(V267,TD!$N$33:$O$45,2,0)," ")</f>
        <v>Servicio de atención a emergencias y desastres</v>
      </c>
      <c r="X267" s="54" t="str">
        <f t="shared" ref="X267:X330" si="17">CONCATENATE(V267,"_",W267)</f>
        <v>004_Servicio de atención a emergencias y desastres</v>
      </c>
      <c r="Y267" s="54" t="str">
        <f t="shared" ref="Y267:Y330" si="18">CONCATENATE(U267," ",X267)</f>
        <v>12-Servicio de apoyo   logístico  en eventos operativos y/o emergencias. 004_Servicio de atención a emergencias y desastres</v>
      </c>
      <c r="Z267" s="132" t="str">
        <f t="shared" ref="Z267:Z330" si="19">CONCATENATE(P267,Q267,R267,S267,V267)</f>
        <v>O23011745032024025512004</v>
      </c>
      <c r="AA267" s="132" t="str">
        <f>IFERROR(VLOOKUP(Y267,TD!$K$46:$L$64,2,0)," ")</f>
        <v>PM/0131/0112/45030040255</v>
      </c>
      <c r="AB267" s="57" t="s">
        <v>88</v>
      </c>
      <c r="AC267" s="133" t="s">
        <v>206</v>
      </c>
    </row>
    <row r="268" spans="2:29" s="28" customFormat="1" ht="114">
      <c r="B268" s="85">
        <v>20240885</v>
      </c>
      <c r="C268" s="53" t="s">
        <v>210</v>
      </c>
      <c r="D268" s="130" t="s">
        <v>169</v>
      </c>
      <c r="E268" s="54" t="s">
        <v>804</v>
      </c>
      <c r="F268" s="130" t="s">
        <v>695</v>
      </c>
      <c r="G268" s="130" t="s">
        <v>120</v>
      </c>
      <c r="H268" s="117" t="s">
        <v>696</v>
      </c>
      <c r="I268" s="131">
        <v>7</v>
      </c>
      <c r="J268" s="131">
        <v>5</v>
      </c>
      <c r="K268" s="56">
        <v>0</v>
      </c>
      <c r="L268" s="57">
        <v>90000000</v>
      </c>
      <c r="M268" s="130" t="s">
        <v>173</v>
      </c>
      <c r="N268" s="57" t="s">
        <v>114</v>
      </c>
      <c r="O268" s="54" t="s">
        <v>225</v>
      </c>
      <c r="P268" s="132" t="str">
        <f>IFERROR(VLOOKUP(C268,TD!$B$32:$F$36,2,0)," ")</f>
        <v>O230117</v>
      </c>
      <c r="Q268" s="132" t="str">
        <f>IFERROR(VLOOKUP(C268,TD!$B$32:$F$36,3,0)," ")</f>
        <v>4503</v>
      </c>
      <c r="R268" s="132">
        <f>IFERROR(VLOOKUP(C268,TD!$B$32:$F$36,4,0)," ")</f>
        <v>20240255</v>
      </c>
      <c r="S268" s="54" t="s">
        <v>188</v>
      </c>
      <c r="T268" s="132" t="str">
        <f>IFERROR(VLOOKUP(S268,TD!$J$33:$K$43,2,0)," ")</f>
        <v>Servicio de mantenimiento, dotación (HEA´s y equipo menor) y adquisición de vehiculos   especializados para la atención de emergencias.</v>
      </c>
      <c r="U268" s="54" t="str">
        <f t="shared" si="16"/>
        <v>09-Servicio de mantenimiento, dotación (HEA´s y equipo menor) y adquisición de vehiculos   especializados para la atención de emergencias.</v>
      </c>
      <c r="V268" s="54" t="s">
        <v>233</v>
      </c>
      <c r="W268" s="132" t="str">
        <f>IFERROR(VLOOKUP(V268,TD!$N$33:$O$45,2,0)," ")</f>
        <v>Servicio de atención a emergencias y desastres</v>
      </c>
      <c r="X268" s="54" t="str">
        <f t="shared" si="17"/>
        <v>004_Servicio de atención a emergencias y desastres</v>
      </c>
      <c r="Y268" s="54" t="str">
        <f t="shared" si="18"/>
        <v>09-Servicio de mantenimiento, dotación (HEA´s y equipo menor) y adquisición de vehiculos   especializados para la atención de emergencias. 004_Servicio de atención a emergencias y desastres</v>
      </c>
      <c r="Z268" s="132" t="str">
        <f t="shared" si="19"/>
        <v>O23011745032024025509004</v>
      </c>
      <c r="AA268" s="132" t="str">
        <f>IFERROR(VLOOKUP(Y268,TD!$K$46:$L$64,2,0)," ")</f>
        <v>PM/0131/0109/45030040255</v>
      </c>
      <c r="AB268" s="57" t="s">
        <v>88</v>
      </c>
      <c r="AC268" s="133" t="s">
        <v>205</v>
      </c>
    </row>
    <row r="269" spans="2:29" s="28" customFormat="1" ht="71.25">
      <c r="B269" s="85">
        <v>20240886</v>
      </c>
      <c r="C269" s="53" t="s">
        <v>210</v>
      </c>
      <c r="D269" s="130" t="s">
        <v>169</v>
      </c>
      <c r="E269" s="54" t="s">
        <v>804</v>
      </c>
      <c r="F269" s="130" t="s">
        <v>697</v>
      </c>
      <c r="G269" s="130" t="s">
        <v>158</v>
      </c>
      <c r="H269" s="117" t="s">
        <v>698</v>
      </c>
      <c r="I269" s="131">
        <v>7</v>
      </c>
      <c r="J269" s="131">
        <v>7</v>
      </c>
      <c r="K269" s="56">
        <v>0</v>
      </c>
      <c r="L269" s="57">
        <f>90000000-55000000-34212080-787920</f>
        <v>0</v>
      </c>
      <c r="M269" s="130" t="s">
        <v>173</v>
      </c>
      <c r="N269" s="57" t="s">
        <v>114</v>
      </c>
      <c r="O269" s="54" t="s">
        <v>225</v>
      </c>
      <c r="P269" s="132" t="str">
        <f>IFERROR(VLOOKUP(C269,TD!$B$32:$F$36,2,0)," ")</f>
        <v>O230117</v>
      </c>
      <c r="Q269" s="132" t="str">
        <f>IFERROR(VLOOKUP(C269,TD!$B$32:$F$36,3,0)," ")</f>
        <v>4503</v>
      </c>
      <c r="R269" s="132">
        <f>IFERROR(VLOOKUP(C269,TD!$B$32:$F$36,4,0)," ")</f>
        <v>20240255</v>
      </c>
      <c r="S269" s="54" t="s">
        <v>188</v>
      </c>
      <c r="T269" s="132" t="str">
        <f>IFERROR(VLOOKUP(S269,TD!$J$33:$K$43,2,0)," ")</f>
        <v>Servicio de mantenimiento, dotación (HEA´s y equipo menor) y adquisición de vehiculos   especializados para la atención de emergencias.</v>
      </c>
      <c r="U269" s="54" t="str">
        <f t="shared" si="16"/>
        <v>09-Servicio de mantenimiento, dotación (HEA´s y equipo menor) y adquisición de vehiculos   especializados para la atención de emergencias.</v>
      </c>
      <c r="V269" s="54" t="s">
        <v>233</v>
      </c>
      <c r="W269" s="132" t="str">
        <f>IFERROR(VLOOKUP(V269,TD!$N$33:$O$45,2,0)," ")</f>
        <v>Servicio de atención a emergencias y desastres</v>
      </c>
      <c r="X269" s="54" t="str">
        <f t="shared" si="17"/>
        <v>004_Servicio de atención a emergencias y desastres</v>
      </c>
      <c r="Y269" s="54" t="str">
        <f t="shared" si="18"/>
        <v>09-Servicio de mantenimiento, dotación (HEA´s y equipo menor) y adquisición de vehiculos   especializados para la atención de emergencias. 004_Servicio de atención a emergencias y desastres</v>
      </c>
      <c r="Z269" s="132" t="str">
        <f t="shared" si="19"/>
        <v>O23011745032024025509004</v>
      </c>
      <c r="AA269" s="132" t="str">
        <f>IFERROR(VLOOKUP(Y269,TD!$K$46:$L$64,2,0)," ")</f>
        <v>PM/0131/0109/45030040255</v>
      </c>
      <c r="AB269" s="57" t="s">
        <v>88</v>
      </c>
      <c r="AC269" s="133" t="s">
        <v>205</v>
      </c>
    </row>
    <row r="270" spans="2:29" s="28" customFormat="1" ht="71.25">
      <c r="B270" s="85">
        <v>20240887</v>
      </c>
      <c r="C270" s="53" t="s">
        <v>210</v>
      </c>
      <c r="D270" s="130" t="s">
        <v>169</v>
      </c>
      <c r="E270" s="54" t="s">
        <v>804</v>
      </c>
      <c r="F270" s="130" t="s">
        <v>426</v>
      </c>
      <c r="G270" s="130" t="s">
        <v>120</v>
      </c>
      <c r="H270" s="117" t="s">
        <v>699</v>
      </c>
      <c r="I270" s="131">
        <v>7</v>
      </c>
      <c r="J270" s="131">
        <v>6</v>
      </c>
      <c r="K270" s="56">
        <v>0</v>
      </c>
      <c r="L270" s="57">
        <v>100000000</v>
      </c>
      <c r="M270" s="130" t="s">
        <v>173</v>
      </c>
      <c r="N270" s="57" t="s">
        <v>96</v>
      </c>
      <c r="O270" s="54" t="s">
        <v>225</v>
      </c>
      <c r="P270" s="132" t="str">
        <f>IFERROR(VLOOKUP(C270,TD!$B$32:$F$36,2,0)," ")</f>
        <v>O230117</v>
      </c>
      <c r="Q270" s="132" t="str">
        <f>IFERROR(VLOOKUP(C270,TD!$B$32:$F$36,3,0)," ")</f>
        <v>4503</v>
      </c>
      <c r="R270" s="132">
        <f>IFERROR(VLOOKUP(C270,TD!$B$32:$F$36,4,0)," ")</f>
        <v>20240255</v>
      </c>
      <c r="S270" s="54" t="s">
        <v>188</v>
      </c>
      <c r="T270" s="132" t="str">
        <f>IFERROR(VLOOKUP(S270,TD!$J$33:$K$43,2,0)," ")</f>
        <v>Servicio de mantenimiento, dotación (HEA´s y equipo menor) y adquisición de vehiculos   especializados para la atención de emergencias.</v>
      </c>
      <c r="U270" s="54" t="str">
        <f t="shared" si="16"/>
        <v>09-Servicio de mantenimiento, dotación (HEA´s y equipo menor) y adquisición de vehiculos   especializados para la atención de emergencias.</v>
      </c>
      <c r="V270" s="54" t="s">
        <v>233</v>
      </c>
      <c r="W270" s="132" t="str">
        <f>IFERROR(VLOOKUP(V270,TD!$N$33:$O$45,2,0)," ")</f>
        <v>Servicio de atención a emergencias y desastres</v>
      </c>
      <c r="X270" s="54" t="str">
        <f t="shared" si="17"/>
        <v>004_Servicio de atención a emergencias y desastres</v>
      </c>
      <c r="Y270" s="54" t="str">
        <f t="shared" si="18"/>
        <v>09-Servicio de mantenimiento, dotación (HEA´s y equipo menor) y adquisición de vehiculos   especializados para la atención de emergencias. 004_Servicio de atención a emergencias y desastres</v>
      </c>
      <c r="Z270" s="132" t="str">
        <f t="shared" si="19"/>
        <v>O23011745032024025509004</v>
      </c>
      <c r="AA270" s="132" t="str">
        <f>IFERROR(VLOOKUP(Y270,TD!$K$46:$L$64,2,0)," ")</f>
        <v>PM/0131/0109/45030040255</v>
      </c>
      <c r="AB270" s="57" t="s">
        <v>88</v>
      </c>
      <c r="AC270" s="133" t="s">
        <v>205</v>
      </c>
    </row>
    <row r="271" spans="2:29" s="28" customFormat="1" ht="57">
      <c r="B271" s="85">
        <v>20240888</v>
      </c>
      <c r="C271" s="53" t="s">
        <v>210</v>
      </c>
      <c r="D271" s="130" t="s">
        <v>169</v>
      </c>
      <c r="E271" s="54" t="s">
        <v>804</v>
      </c>
      <c r="F271" s="130" t="s">
        <v>515</v>
      </c>
      <c r="G271" s="130" t="s">
        <v>97</v>
      </c>
      <c r="H271" s="117" t="s">
        <v>700</v>
      </c>
      <c r="I271" s="131">
        <v>7</v>
      </c>
      <c r="J271" s="131">
        <v>12</v>
      </c>
      <c r="K271" s="56">
        <v>0</v>
      </c>
      <c r="L271" s="57">
        <v>30000000</v>
      </c>
      <c r="M271" s="130" t="s">
        <v>173</v>
      </c>
      <c r="N271" s="57" t="s">
        <v>101</v>
      </c>
      <c r="O271" s="54" t="s">
        <v>225</v>
      </c>
      <c r="P271" s="132" t="str">
        <f>IFERROR(VLOOKUP(C271,TD!$B$32:$F$36,2,0)," ")</f>
        <v>O230117</v>
      </c>
      <c r="Q271" s="132" t="str">
        <f>IFERROR(VLOOKUP(C271,TD!$B$32:$F$36,3,0)," ")</f>
        <v>4503</v>
      </c>
      <c r="R271" s="132">
        <f>IFERROR(VLOOKUP(C271,TD!$B$32:$F$36,4,0)," ")</f>
        <v>20240255</v>
      </c>
      <c r="S271" s="54" t="s">
        <v>192</v>
      </c>
      <c r="T271" s="132" t="str">
        <f>IFERROR(VLOOKUP(S271,TD!$J$33:$K$43,2,0)," ")</f>
        <v>Servicio de apoyo   logístico  en eventos operativos y/o emergencias.</v>
      </c>
      <c r="U271" s="54" t="str">
        <f t="shared" si="16"/>
        <v>12-Servicio de apoyo   logístico  en eventos operativos y/o emergencias.</v>
      </c>
      <c r="V271" s="54" t="s">
        <v>233</v>
      </c>
      <c r="W271" s="132" t="str">
        <f>IFERROR(VLOOKUP(V271,TD!$N$33:$O$45,2,0)," ")</f>
        <v>Servicio de atención a emergencias y desastres</v>
      </c>
      <c r="X271" s="54" t="str">
        <f t="shared" si="17"/>
        <v>004_Servicio de atención a emergencias y desastres</v>
      </c>
      <c r="Y271" s="54" t="str">
        <f t="shared" si="18"/>
        <v>12-Servicio de apoyo   logístico  en eventos operativos y/o emergencias. 004_Servicio de atención a emergencias y desastres</v>
      </c>
      <c r="Z271" s="132" t="str">
        <f t="shared" si="19"/>
        <v>O23011745032024025512004</v>
      </c>
      <c r="AA271" s="132" t="str">
        <f>IFERROR(VLOOKUP(Y271,TD!$K$46:$L$64,2,0)," ")</f>
        <v>PM/0131/0112/45030040255</v>
      </c>
      <c r="AB271" s="57" t="s">
        <v>135</v>
      </c>
      <c r="AC271" s="133" t="s">
        <v>205</v>
      </c>
    </row>
    <row r="272" spans="2:29" s="28" customFormat="1" ht="57">
      <c r="B272" s="85">
        <v>20240889</v>
      </c>
      <c r="C272" s="53" t="s">
        <v>210</v>
      </c>
      <c r="D272" s="130" t="s">
        <v>169</v>
      </c>
      <c r="E272" s="54" t="s">
        <v>804</v>
      </c>
      <c r="F272" s="130" t="s">
        <v>427</v>
      </c>
      <c r="G272" s="130" t="s">
        <v>97</v>
      </c>
      <c r="H272" s="117" t="s">
        <v>454</v>
      </c>
      <c r="I272" s="131">
        <v>7</v>
      </c>
      <c r="J272" s="131">
        <v>1</v>
      </c>
      <c r="K272" s="56">
        <v>0</v>
      </c>
      <c r="L272" s="57">
        <v>2000000</v>
      </c>
      <c r="M272" s="130" t="s">
        <v>173</v>
      </c>
      <c r="N272" s="57" t="s">
        <v>96</v>
      </c>
      <c r="O272" s="54" t="s">
        <v>225</v>
      </c>
      <c r="P272" s="132" t="str">
        <f>IFERROR(VLOOKUP(C272,TD!$B$32:$F$36,2,0)," ")</f>
        <v>O230117</v>
      </c>
      <c r="Q272" s="132" t="str">
        <f>IFERROR(VLOOKUP(C272,TD!$B$32:$F$36,3,0)," ")</f>
        <v>4503</v>
      </c>
      <c r="R272" s="132">
        <f>IFERROR(VLOOKUP(C272,TD!$B$32:$F$36,4,0)," ")</f>
        <v>20240255</v>
      </c>
      <c r="S272" s="54" t="s">
        <v>192</v>
      </c>
      <c r="T272" s="132" t="str">
        <f>IFERROR(VLOOKUP(S272,TD!$J$33:$K$43,2,0)," ")</f>
        <v>Servicio de apoyo   logístico  en eventos operativos y/o emergencias.</v>
      </c>
      <c r="U272" s="54" t="str">
        <f t="shared" si="16"/>
        <v>12-Servicio de apoyo   logístico  en eventos operativos y/o emergencias.</v>
      </c>
      <c r="V272" s="54" t="s">
        <v>233</v>
      </c>
      <c r="W272" s="132" t="str">
        <f>IFERROR(VLOOKUP(V272,TD!$N$33:$O$45,2,0)," ")</f>
        <v>Servicio de atención a emergencias y desastres</v>
      </c>
      <c r="X272" s="54" t="str">
        <f t="shared" si="17"/>
        <v>004_Servicio de atención a emergencias y desastres</v>
      </c>
      <c r="Y272" s="54" t="str">
        <f t="shared" si="18"/>
        <v>12-Servicio de apoyo   logístico  en eventos operativos y/o emergencias. 004_Servicio de atención a emergencias y desastres</v>
      </c>
      <c r="Z272" s="132" t="str">
        <f t="shared" si="19"/>
        <v>O23011745032024025512004</v>
      </c>
      <c r="AA272" s="132" t="str">
        <f>IFERROR(VLOOKUP(Y272,TD!$K$46:$L$64,2,0)," ")</f>
        <v>PM/0131/0112/45030040255</v>
      </c>
      <c r="AB272" s="57" t="s">
        <v>135</v>
      </c>
      <c r="AC272" s="133" t="s">
        <v>206</v>
      </c>
    </row>
    <row r="273" spans="2:29" s="28" customFormat="1" ht="57">
      <c r="B273" s="85">
        <v>20240890</v>
      </c>
      <c r="C273" s="53" t="s">
        <v>210</v>
      </c>
      <c r="D273" s="130" t="s">
        <v>169</v>
      </c>
      <c r="E273" s="54" t="s">
        <v>804</v>
      </c>
      <c r="F273" s="130" t="s">
        <v>428</v>
      </c>
      <c r="G273" s="130" t="s">
        <v>120</v>
      </c>
      <c r="H273" s="117">
        <v>15121500</v>
      </c>
      <c r="I273" s="131">
        <v>7</v>
      </c>
      <c r="J273" s="131">
        <v>3</v>
      </c>
      <c r="K273" s="56">
        <v>0</v>
      </c>
      <c r="L273" s="57">
        <v>8000000</v>
      </c>
      <c r="M273" s="130" t="s">
        <v>173</v>
      </c>
      <c r="N273" s="57" t="s">
        <v>101</v>
      </c>
      <c r="O273" s="54" t="s">
        <v>225</v>
      </c>
      <c r="P273" s="132" t="str">
        <f>IFERROR(VLOOKUP(C273,TD!$B$32:$F$36,2,0)," ")</f>
        <v>O230117</v>
      </c>
      <c r="Q273" s="132" t="str">
        <f>IFERROR(VLOOKUP(C273,TD!$B$32:$F$36,3,0)," ")</f>
        <v>4503</v>
      </c>
      <c r="R273" s="132">
        <f>IFERROR(VLOOKUP(C273,TD!$B$32:$F$36,4,0)," ")</f>
        <v>20240255</v>
      </c>
      <c r="S273" s="54" t="s">
        <v>192</v>
      </c>
      <c r="T273" s="132" t="str">
        <f>IFERROR(VLOOKUP(S273,TD!$J$33:$K$43,2,0)," ")</f>
        <v>Servicio de apoyo   logístico  en eventos operativos y/o emergencias.</v>
      </c>
      <c r="U273" s="54" t="str">
        <f t="shared" si="16"/>
        <v>12-Servicio de apoyo   logístico  en eventos operativos y/o emergencias.</v>
      </c>
      <c r="V273" s="54" t="s">
        <v>233</v>
      </c>
      <c r="W273" s="132" t="str">
        <f>IFERROR(VLOOKUP(V273,TD!$N$33:$O$45,2,0)," ")</f>
        <v>Servicio de atención a emergencias y desastres</v>
      </c>
      <c r="X273" s="54" t="str">
        <f t="shared" si="17"/>
        <v>004_Servicio de atención a emergencias y desastres</v>
      </c>
      <c r="Y273" s="54" t="str">
        <f t="shared" si="18"/>
        <v>12-Servicio de apoyo   logístico  en eventos operativos y/o emergencias. 004_Servicio de atención a emergencias y desastres</v>
      </c>
      <c r="Z273" s="132" t="str">
        <f t="shared" si="19"/>
        <v>O23011745032024025512004</v>
      </c>
      <c r="AA273" s="132" t="str">
        <f>IFERROR(VLOOKUP(Y273,TD!$K$46:$L$64,2,0)," ")</f>
        <v>PM/0131/0112/45030040255</v>
      </c>
      <c r="AB273" s="57" t="s">
        <v>93</v>
      </c>
      <c r="AC273" s="133" t="s">
        <v>205</v>
      </c>
    </row>
    <row r="274" spans="2:29" s="28" customFormat="1" ht="57">
      <c r="B274" s="85">
        <v>20240891</v>
      </c>
      <c r="C274" s="53" t="s">
        <v>210</v>
      </c>
      <c r="D274" s="130" t="s">
        <v>170</v>
      </c>
      <c r="E274" s="54" t="s">
        <v>456</v>
      </c>
      <c r="F274" s="130" t="s">
        <v>665</v>
      </c>
      <c r="G274" s="130" t="s">
        <v>156</v>
      </c>
      <c r="H274" s="117">
        <v>80111600</v>
      </c>
      <c r="I274" s="131">
        <v>8</v>
      </c>
      <c r="J274" s="131">
        <v>5</v>
      </c>
      <c r="K274" s="56">
        <v>0</v>
      </c>
      <c r="L274" s="57">
        <v>29775000</v>
      </c>
      <c r="M274" s="130" t="s">
        <v>173</v>
      </c>
      <c r="N274" s="57" t="s">
        <v>114</v>
      </c>
      <c r="O274" s="54" t="s">
        <v>223</v>
      </c>
      <c r="P274" s="132" t="str">
        <f>IFERROR(VLOOKUP(C274,TD!$B$32:$F$36,2,0)," ")</f>
        <v>O230117</v>
      </c>
      <c r="Q274" s="132" t="str">
        <f>IFERROR(VLOOKUP(C274,TD!$B$32:$F$36,3,0)," ")</f>
        <v>4503</v>
      </c>
      <c r="R274" s="132">
        <f>IFERROR(VLOOKUP(C274,TD!$B$32:$F$36,4,0)," ")</f>
        <v>20240255</v>
      </c>
      <c r="S274" s="54" t="s">
        <v>176</v>
      </c>
      <c r="T274" s="132" t="str">
        <f>IFERROR(VLOOKUP(S274,TD!$J$33:$K$43,2,0)," ")</f>
        <v>Servicio de atención a incidentes y emergencias.</v>
      </c>
      <c r="U274" s="54" t="str">
        <f t="shared" si="16"/>
        <v>04-Servicio de atención a incidentes y emergencias.</v>
      </c>
      <c r="V274" s="54" t="s">
        <v>233</v>
      </c>
      <c r="W274" s="132" t="str">
        <f>IFERROR(VLOOKUP(V274,TD!$N$33:$O$45,2,0)," ")</f>
        <v>Servicio de atención a emergencias y desastres</v>
      </c>
      <c r="X274" s="54" t="str">
        <f t="shared" si="17"/>
        <v>004_Servicio de atención a emergencias y desastres</v>
      </c>
      <c r="Y274" s="54" t="str">
        <f t="shared" si="18"/>
        <v>04-Servicio de atención a incidentes y emergencias. 004_Servicio de atención a emergencias y desastres</v>
      </c>
      <c r="Z274" s="132" t="str">
        <f t="shared" si="19"/>
        <v>O23011745032024025504004</v>
      </c>
      <c r="AA274" s="132" t="str">
        <f>IFERROR(VLOOKUP(Y274,TD!$K$46:$L$64,2,0)," ")</f>
        <v>PM/0131/0104/45030040255</v>
      </c>
      <c r="AB274" s="57" t="s">
        <v>139</v>
      </c>
      <c r="AC274" s="133" t="s">
        <v>205</v>
      </c>
    </row>
    <row r="275" spans="2:29" s="28" customFormat="1" ht="57">
      <c r="B275" s="85">
        <v>20240892</v>
      </c>
      <c r="C275" s="53" t="s">
        <v>210</v>
      </c>
      <c r="D275" s="130" t="s">
        <v>170</v>
      </c>
      <c r="E275" s="54" t="s">
        <v>456</v>
      </c>
      <c r="F275" s="130" t="s">
        <v>665</v>
      </c>
      <c r="G275" s="130" t="s">
        <v>156</v>
      </c>
      <c r="H275" s="117">
        <v>80111600</v>
      </c>
      <c r="I275" s="131">
        <v>8</v>
      </c>
      <c r="J275" s="131">
        <v>5</v>
      </c>
      <c r="K275" s="56">
        <v>0</v>
      </c>
      <c r="L275" s="57">
        <v>29775000</v>
      </c>
      <c r="M275" s="130" t="s">
        <v>173</v>
      </c>
      <c r="N275" s="57" t="s">
        <v>114</v>
      </c>
      <c r="O275" s="54" t="s">
        <v>223</v>
      </c>
      <c r="P275" s="132" t="str">
        <f>IFERROR(VLOOKUP(C275,TD!$B$32:$F$36,2,0)," ")</f>
        <v>O230117</v>
      </c>
      <c r="Q275" s="132" t="str">
        <f>IFERROR(VLOOKUP(C275,TD!$B$32:$F$36,3,0)," ")</f>
        <v>4503</v>
      </c>
      <c r="R275" s="132">
        <f>IFERROR(VLOOKUP(C275,TD!$B$32:$F$36,4,0)," ")</f>
        <v>20240255</v>
      </c>
      <c r="S275" s="54" t="s">
        <v>176</v>
      </c>
      <c r="T275" s="132" t="str">
        <f>IFERROR(VLOOKUP(S275,TD!$J$33:$K$43,2,0)," ")</f>
        <v>Servicio de atención a incidentes y emergencias.</v>
      </c>
      <c r="U275" s="54" t="str">
        <f t="shared" si="16"/>
        <v>04-Servicio de atención a incidentes y emergencias.</v>
      </c>
      <c r="V275" s="54" t="s">
        <v>233</v>
      </c>
      <c r="W275" s="132" t="str">
        <f>IFERROR(VLOOKUP(V275,TD!$N$33:$O$45,2,0)," ")</f>
        <v>Servicio de atención a emergencias y desastres</v>
      </c>
      <c r="X275" s="54" t="str">
        <f t="shared" si="17"/>
        <v>004_Servicio de atención a emergencias y desastres</v>
      </c>
      <c r="Y275" s="54" t="str">
        <f t="shared" si="18"/>
        <v>04-Servicio de atención a incidentes y emergencias. 004_Servicio de atención a emergencias y desastres</v>
      </c>
      <c r="Z275" s="132" t="str">
        <f t="shared" si="19"/>
        <v>O23011745032024025504004</v>
      </c>
      <c r="AA275" s="132" t="str">
        <f>IFERROR(VLOOKUP(Y275,TD!$K$46:$L$64,2,0)," ")</f>
        <v>PM/0131/0104/45030040255</v>
      </c>
      <c r="AB275" s="57" t="s">
        <v>139</v>
      </c>
      <c r="AC275" s="133" t="s">
        <v>205</v>
      </c>
    </row>
    <row r="276" spans="2:29" s="28" customFormat="1" ht="57">
      <c r="B276" s="85">
        <v>20240893</v>
      </c>
      <c r="C276" s="53" t="s">
        <v>210</v>
      </c>
      <c r="D276" s="130" t="s">
        <v>169</v>
      </c>
      <c r="E276" s="54" t="s">
        <v>804</v>
      </c>
      <c r="F276" s="130" t="s">
        <v>430</v>
      </c>
      <c r="G276" s="130" t="s">
        <v>156</v>
      </c>
      <c r="H276" s="117">
        <v>80111600</v>
      </c>
      <c r="I276" s="131">
        <v>7</v>
      </c>
      <c r="J276" s="131">
        <v>4</v>
      </c>
      <c r="K276" s="56">
        <v>0</v>
      </c>
      <c r="L276" s="57">
        <f>34000000-4000000</f>
        <v>30000000</v>
      </c>
      <c r="M276" s="130" t="s">
        <v>173</v>
      </c>
      <c r="N276" s="57" t="s">
        <v>114</v>
      </c>
      <c r="O276" s="54" t="s">
        <v>225</v>
      </c>
      <c r="P276" s="132" t="str">
        <f>IFERROR(VLOOKUP(C276,TD!$B$32:$F$36,2,0)," ")</f>
        <v>O230117</v>
      </c>
      <c r="Q276" s="132" t="str">
        <f>IFERROR(VLOOKUP(C276,TD!$B$32:$F$36,3,0)," ")</f>
        <v>4503</v>
      </c>
      <c r="R276" s="132">
        <f>IFERROR(VLOOKUP(C276,TD!$B$32:$F$36,4,0)," ")</f>
        <v>20240255</v>
      </c>
      <c r="S276" s="54" t="s">
        <v>192</v>
      </c>
      <c r="T276" s="132" t="str">
        <f>IFERROR(VLOOKUP(S276,TD!$J$33:$K$43,2,0)," ")</f>
        <v>Servicio de apoyo   logístico  en eventos operativos y/o emergencias.</v>
      </c>
      <c r="U276" s="54" t="str">
        <f t="shared" si="16"/>
        <v>12-Servicio de apoyo   logístico  en eventos operativos y/o emergencias.</v>
      </c>
      <c r="V276" s="54" t="s">
        <v>233</v>
      </c>
      <c r="W276" s="132" t="str">
        <f>IFERROR(VLOOKUP(V276,TD!$N$33:$O$45,2,0)," ")</f>
        <v>Servicio de atención a emergencias y desastres</v>
      </c>
      <c r="X276" s="54" t="str">
        <f t="shared" si="17"/>
        <v>004_Servicio de atención a emergencias y desastres</v>
      </c>
      <c r="Y276" s="54" t="str">
        <f t="shared" si="18"/>
        <v>12-Servicio de apoyo   logístico  en eventos operativos y/o emergencias. 004_Servicio de atención a emergencias y desastres</v>
      </c>
      <c r="Z276" s="132" t="str">
        <f t="shared" si="19"/>
        <v>O23011745032024025512004</v>
      </c>
      <c r="AA276" s="132" t="str">
        <f>IFERROR(VLOOKUP(Y276,TD!$K$46:$L$64,2,0)," ")</f>
        <v>PM/0131/0112/45030040255</v>
      </c>
      <c r="AB276" s="57" t="s">
        <v>139</v>
      </c>
      <c r="AC276" s="133" t="s">
        <v>205</v>
      </c>
    </row>
    <row r="277" spans="2:29" s="28" customFormat="1" ht="57">
      <c r="B277" s="85">
        <v>20240894</v>
      </c>
      <c r="C277" s="53" t="s">
        <v>210</v>
      </c>
      <c r="D277" s="130" t="s">
        <v>169</v>
      </c>
      <c r="E277" s="54" t="s">
        <v>804</v>
      </c>
      <c r="F277" s="130" t="s">
        <v>431</v>
      </c>
      <c r="G277" s="130" t="s">
        <v>156</v>
      </c>
      <c r="H277" s="117">
        <v>80111600</v>
      </c>
      <c r="I277" s="131">
        <v>10</v>
      </c>
      <c r="J277" s="131">
        <v>3</v>
      </c>
      <c r="K277" s="56">
        <v>0</v>
      </c>
      <c r="L277" s="57">
        <f>24000000-4000000</f>
        <v>20000000</v>
      </c>
      <c r="M277" s="130" t="s">
        <v>173</v>
      </c>
      <c r="N277" s="57" t="s">
        <v>114</v>
      </c>
      <c r="O277" s="54" t="s">
        <v>225</v>
      </c>
      <c r="P277" s="132" t="str">
        <f>IFERROR(VLOOKUP(C277,TD!$B$32:$F$36,2,0)," ")</f>
        <v>O230117</v>
      </c>
      <c r="Q277" s="132" t="str">
        <f>IFERROR(VLOOKUP(C277,TD!$B$32:$F$36,3,0)," ")</f>
        <v>4503</v>
      </c>
      <c r="R277" s="132">
        <f>IFERROR(VLOOKUP(C277,TD!$B$32:$F$36,4,0)," ")</f>
        <v>20240255</v>
      </c>
      <c r="S277" s="54" t="s">
        <v>192</v>
      </c>
      <c r="T277" s="132" t="str">
        <f>IFERROR(VLOOKUP(S277,TD!$J$33:$K$43,2,0)," ")</f>
        <v>Servicio de apoyo   logístico  en eventos operativos y/o emergencias.</v>
      </c>
      <c r="U277" s="54" t="str">
        <f t="shared" si="16"/>
        <v>12-Servicio de apoyo   logístico  en eventos operativos y/o emergencias.</v>
      </c>
      <c r="V277" s="54" t="s">
        <v>233</v>
      </c>
      <c r="W277" s="132" t="str">
        <f>IFERROR(VLOOKUP(V277,TD!$N$33:$O$45,2,0)," ")</f>
        <v>Servicio de atención a emergencias y desastres</v>
      </c>
      <c r="X277" s="54" t="str">
        <f t="shared" si="17"/>
        <v>004_Servicio de atención a emergencias y desastres</v>
      </c>
      <c r="Y277" s="54" t="str">
        <f t="shared" si="18"/>
        <v>12-Servicio de apoyo   logístico  en eventos operativos y/o emergencias. 004_Servicio de atención a emergencias y desastres</v>
      </c>
      <c r="Z277" s="132" t="str">
        <f t="shared" si="19"/>
        <v>O23011745032024025512004</v>
      </c>
      <c r="AA277" s="132" t="str">
        <f>IFERROR(VLOOKUP(Y277,TD!$K$46:$L$64,2,0)," ")</f>
        <v>PM/0131/0112/45030040255</v>
      </c>
      <c r="AB277" s="57" t="s">
        <v>139</v>
      </c>
      <c r="AC277" s="133" t="s">
        <v>205</v>
      </c>
    </row>
    <row r="278" spans="2:29" s="28" customFormat="1" ht="57">
      <c r="B278" s="85">
        <v>20240895</v>
      </c>
      <c r="C278" s="53" t="s">
        <v>210</v>
      </c>
      <c r="D278" s="130" t="s">
        <v>169</v>
      </c>
      <c r="E278" s="54" t="s">
        <v>804</v>
      </c>
      <c r="F278" s="130" t="s">
        <v>702</v>
      </c>
      <c r="G278" s="130" t="s">
        <v>156</v>
      </c>
      <c r="H278" s="117">
        <v>80111600</v>
      </c>
      <c r="I278" s="131">
        <v>8</v>
      </c>
      <c r="J278" s="131">
        <v>4</v>
      </c>
      <c r="K278" s="56">
        <v>0</v>
      </c>
      <c r="L278" s="57">
        <f>27810000+9270000</f>
        <v>37080000</v>
      </c>
      <c r="M278" s="130" t="s">
        <v>173</v>
      </c>
      <c r="N278" s="57" t="s">
        <v>114</v>
      </c>
      <c r="O278" s="54" t="s">
        <v>225</v>
      </c>
      <c r="P278" s="132" t="str">
        <f>IFERROR(VLOOKUP(C278,TD!$B$32:$F$36,2,0)," ")</f>
        <v>O230117</v>
      </c>
      <c r="Q278" s="132" t="str">
        <f>IFERROR(VLOOKUP(C278,TD!$B$32:$F$36,3,0)," ")</f>
        <v>4503</v>
      </c>
      <c r="R278" s="132">
        <f>IFERROR(VLOOKUP(C278,TD!$B$32:$F$36,4,0)," ")</f>
        <v>20240255</v>
      </c>
      <c r="S278" s="54" t="s">
        <v>192</v>
      </c>
      <c r="T278" s="132" t="str">
        <f>IFERROR(VLOOKUP(S278,TD!$J$33:$K$43,2,0)," ")</f>
        <v>Servicio de apoyo   logístico  en eventos operativos y/o emergencias.</v>
      </c>
      <c r="U278" s="54" t="str">
        <f t="shared" si="16"/>
        <v>12-Servicio de apoyo   logístico  en eventos operativos y/o emergencias.</v>
      </c>
      <c r="V278" s="54" t="s">
        <v>233</v>
      </c>
      <c r="W278" s="132" t="str">
        <f>IFERROR(VLOOKUP(V278,TD!$N$33:$O$45,2,0)," ")</f>
        <v>Servicio de atención a emergencias y desastres</v>
      </c>
      <c r="X278" s="54" t="str">
        <f t="shared" si="17"/>
        <v>004_Servicio de atención a emergencias y desastres</v>
      </c>
      <c r="Y278" s="54" t="str">
        <f t="shared" si="18"/>
        <v>12-Servicio de apoyo   logístico  en eventos operativos y/o emergencias. 004_Servicio de atención a emergencias y desastres</v>
      </c>
      <c r="Z278" s="132" t="str">
        <f t="shared" si="19"/>
        <v>O23011745032024025512004</v>
      </c>
      <c r="AA278" s="132" t="str">
        <f>IFERROR(VLOOKUP(Y278,TD!$K$46:$L$64,2,0)," ")</f>
        <v>PM/0131/0112/45030040255</v>
      </c>
      <c r="AB278" s="57" t="s">
        <v>139</v>
      </c>
      <c r="AC278" s="133" t="s">
        <v>205</v>
      </c>
    </row>
    <row r="279" spans="2:29" s="28" customFormat="1" ht="57">
      <c r="B279" s="85">
        <v>20240896</v>
      </c>
      <c r="C279" s="53" t="s">
        <v>210</v>
      </c>
      <c r="D279" s="130" t="s">
        <v>169</v>
      </c>
      <c r="E279" s="54" t="s">
        <v>804</v>
      </c>
      <c r="F279" s="130" t="s">
        <v>432</v>
      </c>
      <c r="G279" s="130" t="s">
        <v>156</v>
      </c>
      <c r="H279" s="117">
        <v>80111600</v>
      </c>
      <c r="I279" s="131">
        <v>7</v>
      </c>
      <c r="J279" s="131">
        <v>4</v>
      </c>
      <c r="K279" s="56">
        <v>0</v>
      </c>
      <c r="L279" s="57">
        <v>22000000</v>
      </c>
      <c r="M279" s="130" t="s">
        <v>173</v>
      </c>
      <c r="N279" s="57" t="s">
        <v>114</v>
      </c>
      <c r="O279" s="54" t="s">
        <v>225</v>
      </c>
      <c r="P279" s="132" t="str">
        <f>IFERROR(VLOOKUP(C279,TD!$B$32:$F$36,2,0)," ")</f>
        <v>O230117</v>
      </c>
      <c r="Q279" s="132" t="str">
        <f>IFERROR(VLOOKUP(C279,TD!$B$32:$F$36,3,0)," ")</f>
        <v>4503</v>
      </c>
      <c r="R279" s="132">
        <f>IFERROR(VLOOKUP(C279,TD!$B$32:$F$36,4,0)," ")</f>
        <v>20240255</v>
      </c>
      <c r="S279" s="54" t="s">
        <v>192</v>
      </c>
      <c r="T279" s="132" t="str">
        <f>IFERROR(VLOOKUP(S279,TD!$J$33:$K$43,2,0)," ")</f>
        <v>Servicio de apoyo   logístico  en eventos operativos y/o emergencias.</v>
      </c>
      <c r="U279" s="54" t="str">
        <f t="shared" si="16"/>
        <v>12-Servicio de apoyo   logístico  en eventos operativos y/o emergencias.</v>
      </c>
      <c r="V279" s="54" t="s">
        <v>233</v>
      </c>
      <c r="W279" s="132" t="str">
        <f>IFERROR(VLOOKUP(V279,TD!$N$33:$O$45,2,0)," ")</f>
        <v>Servicio de atención a emergencias y desastres</v>
      </c>
      <c r="X279" s="54" t="str">
        <f t="shared" si="17"/>
        <v>004_Servicio de atención a emergencias y desastres</v>
      </c>
      <c r="Y279" s="54" t="str">
        <f t="shared" si="18"/>
        <v>12-Servicio de apoyo   logístico  en eventos operativos y/o emergencias. 004_Servicio de atención a emergencias y desastres</v>
      </c>
      <c r="Z279" s="132" t="str">
        <f t="shared" si="19"/>
        <v>O23011745032024025512004</v>
      </c>
      <c r="AA279" s="132" t="str">
        <f>IFERROR(VLOOKUP(Y279,TD!$K$46:$L$64,2,0)," ")</f>
        <v>PM/0131/0112/45030040255</v>
      </c>
      <c r="AB279" s="57" t="s">
        <v>139</v>
      </c>
      <c r="AC279" s="133" t="s">
        <v>205</v>
      </c>
    </row>
    <row r="280" spans="2:29" s="28" customFormat="1" ht="57">
      <c r="B280" s="85">
        <v>20240897</v>
      </c>
      <c r="C280" s="53" t="s">
        <v>210</v>
      </c>
      <c r="D280" s="130" t="s">
        <v>169</v>
      </c>
      <c r="E280" s="54" t="s">
        <v>804</v>
      </c>
      <c r="F280" s="130" t="s">
        <v>433</v>
      </c>
      <c r="G280" s="130" t="s">
        <v>157</v>
      </c>
      <c r="H280" s="117">
        <v>80111600</v>
      </c>
      <c r="I280" s="131">
        <v>7</v>
      </c>
      <c r="J280" s="131">
        <v>3</v>
      </c>
      <c r="K280" s="56">
        <v>0</v>
      </c>
      <c r="L280" s="57">
        <v>10500000</v>
      </c>
      <c r="M280" s="130" t="s">
        <v>173</v>
      </c>
      <c r="N280" s="57" t="s">
        <v>114</v>
      </c>
      <c r="O280" s="54" t="s">
        <v>225</v>
      </c>
      <c r="P280" s="132" t="str">
        <f>IFERROR(VLOOKUP(C280,TD!$B$32:$F$36,2,0)," ")</f>
        <v>O230117</v>
      </c>
      <c r="Q280" s="132" t="str">
        <f>IFERROR(VLOOKUP(C280,TD!$B$32:$F$36,3,0)," ")</f>
        <v>4503</v>
      </c>
      <c r="R280" s="132">
        <f>IFERROR(VLOOKUP(C280,TD!$B$32:$F$36,4,0)," ")</f>
        <v>20240255</v>
      </c>
      <c r="S280" s="54" t="s">
        <v>192</v>
      </c>
      <c r="T280" s="132" t="str">
        <f>IFERROR(VLOOKUP(S280,TD!$J$33:$K$43,2,0)," ")</f>
        <v>Servicio de apoyo   logístico  en eventos operativos y/o emergencias.</v>
      </c>
      <c r="U280" s="54" t="str">
        <f t="shared" si="16"/>
        <v>12-Servicio de apoyo   logístico  en eventos operativos y/o emergencias.</v>
      </c>
      <c r="V280" s="54" t="s">
        <v>233</v>
      </c>
      <c r="W280" s="132" t="str">
        <f>IFERROR(VLOOKUP(V280,TD!$N$33:$O$45,2,0)," ")</f>
        <v>Servicio de atención a emergencias y desastres</v>
      </c>
      <c r="X280" s="54" t="str">
        <f t="shared" si="17"/>
        <v>004_Servicio de atención a emergencias y desastres</v>
      </c>
      <c r="Y280" s="54" t="str">
        <f t="shared" si="18"/>
        <v>12-Servicio de apoyo   logístico  en eventos operativos y/o emergencias. 004_Servicio de atención a emergencias y desastres</v>
      </c>
      <c r="Z280" s="132" t="str">
        <f t="shared" si="19"/>
        <v>O23011745032024025512004</v>
      </c>
      <c r="AA280" s="132" t="str">
        <f>IFERROR(VLOOKUP(Y280,TD!$K$46:$L$64,2,0)," ")</f>
        <v>PM/0131/0112/45030040255</v>
      </c>
      <c r="AB280" s="57" t="s">
        <v>139</v>
      </c>
      <c r="AC280" s="133" t="s">
        <v>205</v>
      </c>
    </row>
    <row r="281" spans="2:29" s="28" customFormat="1" ht="57">
      <c r="B281" s="85">
        <v>20240898</v>
      </c>
      <c r="C281" s="53" t="s">
        <v>210</v>
      </c>
      <c r="D281" s="130" t="s">
        <v>169</v>
      </c>
      <c r="E281" s="54" t="s">
        <v>804</v>
      </c>
      <c r="F281" s="130" t="s">
        <v>434</v>
      </c>
      <c r="G281" s="130" t="s">
        <v>157</v>
      </c>
      <c r="H281" s="117">
        <v>80111600</v>
      </c>
      <c r="I281" s="131">
        <v>7</v>
      </c>
      <c r="J281" s="131">
        <v>3</v>
      </c>
      <c r="K281" s="56">
        <v>0</v>
      </c>
      <c r="L281" s="57">
        <v>9300000</v>
      </c>
      <c r="M281" s="130" t="s">
        <v>173</v>
      </c>
      <c r="N281" s="57" t="s">
        <v>114</v>
      </c>
      <c r="O281" s="54" t="s">
        <v>225</v>
      </c>
      <c r="P281" s="132" t="str">
        <f>IFERROR(VLOOKUP(C281,TD!$B$32:$F$36,2,0)," ")</f>
        <v>O230117</v>
      </c>
      <c r="Q281" s="132" t="str">
        <f>IFERROR(VLOOKUP(C281,TD!$B$32:$F$36,3,0)," ")</f>
        <v>4503</v>
      </c>
      <c r="R281" s="132">
        <f>IFERROR(VLOOKUP(C281,TD!$B$32:$F$36,4,0)," ")</f>
        <v>20240255</v>
      </c>
      <c r="S281" s="54" t="s">
        <v>192</v>
      </c>
      <c r="T281" s="132" t="str">
        <f>IFERROR(VLOOKUP(S281,TD!$J$33:$K$43,2,0)," ")</f>
        <v>Servicio de apoyo   logístico  en eventos operativos y/o emergencias.</v>
      </c>
      <c r="U281" s="54" t="str">
        <f t="shared" si="16"/>
        <v>12-Servicio de apoyo   logístico  en eventos operativos y/o emergencias.</v>
      </c>
      <c r="V281" s="54" t="s">
        <v>233</v>
      </c>
      <c r="W281" s="132" t="str">
        <f>IFERROR(VLOOKUP(V281,TD!$N$33:$O$45,2,0)," ")</f>
        <v>Servicio de atención a emergencias y desastres</v>
      </c>
      <c r="X281" s="54" t="str">
        <f t="shared" si="17"/>
        <v>004_Servicio de atención a emergencias y desastres</v>
      </c>
      <c r="Y281" s="54" t="str">
        <f t="shared" si="18"/>
        <v>12-Servicio de apoyo   logístico  en eventos operativos y/o emergencias. 004_Servicio de atención a emergencias y desastres</v>
      </c>
      <c r="Z281" s="132" t="str">
        <f t="shared" si="19"/>
        <v>O23011745032024025512004</v>
      </c>
      <c r="AA281" s="132" t="str">
        <f>IFERROR(VLOOKUP(Y281,TD!$K$46:$L$64,2,0)," ")</f>
        <v>PM/0131/0112/45030040255</v>
      </c>
      <c r="AB281" s="57" t="s">
        <v>139</v>
      </c>
      <c r="AC281" s="133" t="s">
        <v>205</v>
      </c>
    </row>
    <row r="282" spans="2:29" s="28" customFormat="1" ht="57">
      <c r="B282" s="85">
        <v>20240899</v>
      </c>
      <c r="C282" s="53" t="s">
        <v>210</v>
      </c>
      <c r="D282" s="130" t="s">
        <v>169</v>
      </c>
      <c r="E282" s="54" t="s">
        <v>804</v>
      </c>
      <c r="F282" s="130" t="s">
        <v>435</v>
      </c>
      <c r="G282" s="130" t="s">
        <v>156</v>
      </c>
      <c r="H282" s="117">
        <v>80111600</v>
      </c>
      <c r="I282" s="131">
        <v>8</v>
      </c>
      <c r="J282" s="131">
        <v>5</v>
      </c>
      <c r="K282" s="56">
        <v>0</v>
      </c>
      <c r="L282" s="57">
        <f>45821312-7765000+500000-7556312</f>
        <v>31000000</v>
      </c>
      <c r="M282" s="130" t="s">
        <v>173</v>
      </c>
      <c r="N282" s="57" t="s">
        <v>114</v>
      </c>
      <c r="O282" s="54" t="s">
        <v>225</v>
      </c>
      <c r="P282" s="132" t="str">
        <f>IFERROR(VLOOKUP(C282,TD!$B$32:$F$36,2,0)," ")</f>
        <v>O230117</v>
      </c>
      <c r="Q282" s="132" t="str">
        <f>IFERROR(VLOOKUP(C282,TD!$B$32:$F$36,3,0)," ")</f>
        <v>4503</v>
      </c>
      <c r="R282" s="132">
        <f>IFERROR(VLOOKUP(C282,TD!$B$32:$F$36,4,0)," ")</f>
        <v>20240255</v>
      </c>
      <c r="S282" s="54" t="s">
        <v>192</v>
      </c>
      <c r="T282" s="132" t="str">
        <f>IFERROR(VLOOKUP(S282,TD!$J$33:$K$43,2,0)," ")</f>
        <v>Servicio de apoyo   logístico  en eventos operativos y/o emergencias.</v>
      </c>
      <c r="U282" s="54" t="str">
        <f t="shared" si="16"/>
        <v>12-Servicio de apoyo   logístico  en eventos operativos y/o emergencias.</v>
      </c>
      <c r="V282" s="54" t="s">
        <v>233</v>
      </c>
      <c r="W282" s="132" t="str">
        <f>IFERROR(VLOOKUP(V282,TD!$N$33:$O$45,2,0)," ")</f>
        <v>Servicio de atención a emergencias y desastres</v>
      </c>
      <c r="X282" s="54" t="str">
        <f t="shared" si="17"/>
        <v>004_Servicio de atención a emergencias y desastres</v>
      </c>
      <c r="Y282" s="54" t="str">
        <f t="shared" si="18"/>
        <v>12-Servicio de apoyo   logístico  en eventos operativos y/o emergencias. 004_Servicio de atención a emergencias y desastres</v>
      </c>
      <c r="Z282" s="132" t="str">
        <f t="shared" si="19"/>
        <v>O23011745032024025512004</v>
      </c>
      <c r="AA282" s="132" t="str">
        <f>IFERROR(VLOOKUP(Y282,TD!$K$46:$L$64,2,0)," ")</f>
        <v>PM/0131/0112/45030040255</v>
      </c>
      <c r="AB282" s="57" t="s">
        <v>139</v>
      </c>
      <c r="AC282" s="133" t="s">
        <v>205</v>
      </c>
    </row>
    <row r="283" spans="2:29" s="28" customFormat="1" ht="57">
      <c r="B283" s="85">
        <v>20240900</v>
      </c>
      <c r="C283" s="53" t="s">
        <v>210</v>
      </c>
      <c r="D283" s="130" t="s">
        <v>169</v>
      </c>
      <c r="E283" s="54" t="s">
        <v>804</v>
      </c>
      <c r="F283" s="130" t="s">
        <v>436</v>
      </c>
      <c r="G283" s="130" t="s">
        <v>156</v>
      </c>
      <c r="H283" s="117">
        <v>80111600</v>
      </c>
      <c r="I283" s="131">
        <v>7</v>
      </c>
      <c r="J283" s="131">
        <v>5</v>
      </c>
      <c r="K283" s="56">
        <v>0</v>
      </c>
      <c r="L283" s="57">
        <v>44000000</v>
      </c>
      <c r="M283" s="130" t="s">
        <v>173</v>
      </c>
      <c r="N283" s="57" t="s">
        <v>114</v>
      </c>
      <c r="O283" s="54" t="s">
        <v>225</v>
      </c>
      <c r="P283" s="132" t="str">
        <f>IFERROR(VLOOKUP(C283,TD!$B$32:$F$36,2,0)," ")</f>
        <v>O230117</v>
      </c>
      <c r="Q283" s="132" t="str">
        <f>IFERROR(VLOOKUP(C283,TD!$B$32:$F$36,3,0)," ")</f>
        <v>4503</v>
      </c>
      <c r="R283" s="132">
        <f>IFERROR(VLOOKUP(C283,TD!$B$32:$F$36,4,0)," ")</f>
        <v>20240255</v>
      </c>
      <c r="S283" s="54" t="s">
        <v>192</v>
      </c>
      <c r="T283" s="132" t="str">
        <f>IFERROR(VLOOKUP(S283,TD!$J$33:$K$43,2,0)," ")</f>
        <v>Servicio de apoyo   logístico  en eventos operativos y/o emergencias.</v>
      </c>
      <c r="U283" s="54" t="str">
        <f t="shared" si="16"/>
        <v>12-Servicio de apoyo   logístico  en eventos operativos y/o emergencias.</v>
      </c>
      <c r="V283" s="54" t="s">
        <v>233</v>
      </c>
      <c r="W283" s="132" t="str">
        <f>IFERROR(VLOOKUP(V283,TD!$N$33:$O$45,2,0)," ")</f>
        <v>Servicio de atención a emergencias y desastres</v>
      </c>
      <c r="X283" s="54" t="str">
        <f t="shared" si="17"/>
        <v>004_Servicio de atención a emergencias y desastres</v>
      </c>
      <c r="Y283" s="54" t="str">
        <f t="shared" si="18"/>
        <v>12-Servicio de apoyo   logístico  en eventos operativos y/o emergencias. 004_Servicio de atención a emergencias y desastres</v>
      </c>
      <c r="Z283" s="132" t="str">
        <f t="shared" si="19"/>
        <v>O23011745032024025512004</v>
      </c>
      <c r="AA283" s="132" t="str">
        <f>IFERROR(VLOOKUP(Y283,TD!$K$46:$L$64,2,0)," ")</f>
        <v>PM/0131/0112/45030040255</v>
      </c>
      <c r="AB283" s="57" t="s">
        <v>139</v>
      </c>
      <c r="AC283" s="133" t="s">
        <v>205</v>
      </c>
    </row>
    <row r="284" spans="2:29" s="28" customFormat="1" ht="57">
      <c r="B284" s="85">
        <v>20240901</v>
      </c>
      <c r="C284" s="53" t="s">
        <v>210</v>
      </c>
      <c r="D284" s="130" t="s">
        <v>169</v>
      </c>
      <c r="E284" s="54" t="s">
        <v>804</v>
      </c>
      <c r="F284" s="130" t="s">
        <v>451</v>
      </c>
      <c r="G284" s="130" t="s">
        <v>156</v>
      </c>
      <c r="H284" s="117">
        <v>80111600</v>
      </c>
      <c r="I284" s="131">
        <v>8</v>
      </c>
      <c r="J284" s="131">
        <v>4</v>
      </c>
      <c r="K284" s="56">
        <v>0</v>
      </c>
      <c r="L284" s="57">
        <f>27810000+9270000</f>
        <v>37080000</v>
      </c>
      <c r="M284" s="130" t="s">
        <v>173</v>
      </c>
      <c r="N284" s="57" t="s">
        <v>114</v>
      </c>
      <c r="O284" s="54" t="s">
        <v>225</v>
      </c>
      <c r="P284" s="132" t="str">
        <f>IFERROR(VLOOKUP(C284,TD!$B$32:$F$36,2,0)," ")</f>
        <v>O230117</v>
      </c>
      <c r="Q284" s="132" t="str">
        <f>IFERROR(VLOOKUP(C284,TD!$B$32:$F$36,3,0)," ")</f>
        <v>4503</v>
      </c>
      <c r="R284" s="132">
        <f>IFERROR(VLOOKUP(C284,TD!$B$32:$F$36,4,0)," ")</f>
        <v>20240255</v>
      </c>
      <c r="S284" s="54" t="s">
        <v>192</v>
      </c>
      <c r="T284" s="132" t="str">
        <f>IFERROR(VLOOKUP(S284,TD!$J$33:$K$43,2,0)," ")</f>
        <v>Servicio de apoyo   logístico  en eventos operativos y/o emergencias.</v>
      </c>
      <c r="U284" s="54" t="str">
        <f t="shared" si="16"/>
        <v>12-Servicio de apoyo   logístico  en eventos operativos y/o emergencias.</v>
      </c>
      <c r="V284" s="54" t="s">
        <v>233</v>
      </c>
      <c r="W284" s="132" t="str">
        <f>IFERROR(VLOOKUP(V284,TD!$N$33:$O$45,2,0)," ")</f>
        <v>Servicio de atención a emergencias y desastres</v>
      </c>
      <c r="X284" s="54" t="str">
        <f t="shared" si="17"/>
        <v>004_Servicio de atención a emergencias y desastres</v>
      </c>
      <c r="Y284" s="54" t="str">
        <f t="shared" si="18"/>
        <v>12-Servicio de apoyo   logístico  en eventos operativos y/o emergencias. 004_Servicio de atención a emergencias y desastres</v>
      </c>
      <c r="Z284" s="132" t="str">
        <f t="shared" si="19"/>
        <v>O23011745032024025512004</v>
      </c>
      <c r="AA284" s="132" t="str">
        <f>IFERROR(VLOOKUP(Y284,TD!$K$46:$L$64,2,0)," ")</f>
        <v>PM/0131/0112/45030040255</v>
      </c>
      <c r="AB284" s="57" t="s">
        <v>139</v>
      </c>
      <c r="AC284" s="133" t="s">
        <v>205</v>
      </c>
    </row>
    <row r="285" spans="2:29" s="28" customFormat="1" ht="57">
      <c r="B285" s="85">
        <v>20240902</v>
      </c>
      <c r="C285" s="53" t="s">
        <v>210</v>
      </c>
      <c r="D285" s="130" t="s">
        <v>169</v>
      </c>
      <c r="E285" s="54" t="s">
        <v>804</v>
      </c>
      <c r="F285" s="130" t="s">
        <v>437</v>
      </c>
      <c r="G285" s="130" t="s">
        <v>156</v>
      </c>
      <c r="H285" s="117">
        <v>80111600</v>
      </c>
      <c r="I285" s="131">
        <v>8</v>
      </c>
      <c r="J285" s="131">
        <v>4</v>
      </c>
      <c r="K285" s="56">
        <v>0</v>
      </c>
      <c r="L285" s="57">
        <f>37150000-3715000-3715000</f>
        <v>29720000</v>
      </c>
      <c r="M285" s="130" t="s">
        <v>173</v>
      </c>
      <c r="N285" s="57" t="s">
        <v>114</v>
      </c>
      <c r="O285" s="54" t="s">
        <v>225</v>
      </c>
      <c r="P285" s="132" t="str">
        <f>IFERROR(VLOOKUP(C285,TD!$B$32:$F$36,2,0)," ")</f>
        <v>O230117</v>
      </c>
      <c r="Q285" s="132" t="str">
        <f>IFERROR(VLOOKUP(C285,TD!$B$32:$F$36,3,0)," ")</f>
        <v>4503</v>
      </c>
      <c r="R285" s="132">
        <f>IFERROR(VLOOKUP(C285,TD!$B$32:$F$36,4,0)," ")</f>
        <v>20240255</v>
      </c>
      <c r="S285" s="54" t="s">
        <v>192</v>
      </c>
      <c r="T285" s="132" t="str">
        <f>IFERROR(VLOOKUP(S285,TD!$J$33:$K$43,2,0)," ")</f>
        <v>Servicio de apoyo   logístico  en eventos operativos y/o emergencias.</v>
      </c>
      <c r="U285" s="54" t="str">
        <f t="shared" si="16"/>
        <v>12-Servicio de apoyo   logístico  en eventos operativos y/o emergencias.</v>
      </c>
      <c r="V285" s="54" t="s">
        <v>233</v>
      </c>
      <c r="W285" s="132" t="str">
        <f>IFERROR(VLOOKUP(V285,TD!$N$33:$O$45,2,0)," ")</f>
        <v>Servicio de atención a emergencias y desastres</v>
      </c>
      <c r="X285" s="54" t="str">
        <f t="shared" si="17"/>
        <v>004_Servicio de atención a emergencias y desastres</v>
      </c>
      <c r="Y285" s="54" t="str">
        <f t="shared" si="18"/>
        <v>12-Servicio de apoyo   logístico  en eventos operativos y/o emergencias. 004_Servicio de atención a emergencias y desastres</v>
      </c>
      <c r="Z285" s="132" t="str">
        <f t="shared" si="19"/>
        <v>O23011745032024025512004</v>
      </c>
      <c r="AA285" s="132" t="str">
        <f>IFERROR(VLOOKUP(Y285,TD!$K$46:$L$64,2,0)," ")</f>
        <v>PM/0131/0112/45030040255</v>
      </c>
      <c r="AB285" s="57" t="s">
        <v>139</v>
      </c>
      <c r="AC285" s="133" t="s">
        <v>205</v>
      </c>
    </row>
    <row r="286" spans="2:29" s="28" customFormat="1" ht="57">
      <c r="B286" s="85">
        <v>20240903</v>
      </c>
      <c r="C286" s="53" t="s">
        <v>210</v>
      </c>
      <c r="D286" s="130" t="s">
        <v>169</v>
      </c>
      <c r="E286" s="54" t="s">
        <v>804</v>
      </c>
      <c r="F286" s="130" t="s">
        <v>438</v>
      </c>
      <c r="G286" s="130" t="s">
        <v>156</v>
      </c>
      <c r="H286" s="117">
        <v>80111600</v>
      </c>
      <c r="I286" s="131">
        <v>8</v>
      </c>
      <c r="J286" s="131">
        <v>4</v>
      </c>
      <c r="K286" s="56">
        <v>0</v>
      </c>
      <c r="L286" s="57">
        <f>4000000+32000000-4000000</f>
        <v>32000000</v>
      </c>
      <c r="M286" s="130" t="s">
        <v>173</v>
      </c>
      <c r="N286" s="57" t="s">
        <v>114</v>
      </c>
      <c r="O286" s="54" t="s">
        <v>225</v>
      </c>
      <c r="P286" s="132" t="str">
        <f>IFERROR(VLOOKUP(C286,TD!$B$32:$F$36,2,0)," ")</f>
        <v>O230117</v>
      </c>
      <c r="Q286" s="132" t="str">
        <f>IFERROR(VLOOKUP(C286,TD!$B$32:$F$36,3,0)," ")</f>
        <v>4503</v>
      </c>
      <c r="R286" s="132">
        <f>IFERROR(VLOOKUP(C286,TD!$B$32:$F$36,4,0)," ")</f>
        <v>20240255</v>
      </c>
      <c r="S286" s="54" t="s">
        <v>192</v>
      </c>
      <c r="T286" s="132" t="str">
        <f>IFERROR(VLOOKUP(S286,TD!$J$33:$K$43,2,0)," ")</f>
        <v>Servicio de apoyo   logístico  en eventos operativos y/o emergencias.</v>
      </c>
      <c r="U286" s="54" t="str">
        <f t="shared" si="16"/>
        <v>12-Servicio de apoyo   logístico  en eventos operativos y/o emergencias.</v>
      </c>
      <c r="V286" s="54" t="s">
        <v>233</v>
      </c>
      <c r="W286" s="132" t="str">
        <f>IFERROR(VLOOKUP(V286,TD!$N$33:$O$45,2,0)," ")</f>
        <v>Servicio de atención a emergencias y desastres</v>
      </c>
      <c r="X286" s="54" t="str">
        <f t="shared" si="17"/>
        <v>004_Servicio de atención a emergencias y desastres</v>
      </c>
      <c r="Y286" s="54" t="str">
        <f t="shared" si="18"/>
        <v>12-Servicio de apoyo   logístico  en eventos operativos y/o emergencias. 004_Servicio de atención a emergencias y desastres</v>
      </c>
      <c r="Z286" s="132" t="str">
        <f t="shared" si="19"/>
        <v>O23011745032024025512004</v>
      </c>
      <c r="AA286" s="132" t="str">
        <f>IFERROR(VLOOKUP(Y286,TD!$K$46:$L$64,2,0)," ")</f>
        <v>PM/0131/0112/45030040255</v>
      </c>
      <c r="AB286" s="57" t="s">
        <v>139</v>
      </c>
      <c r="AC286" s="133" t="s">
        <v>205</v>
      </c>
    </row>
    <row r="287" spans="2:29" s="28" customFormat="1" ht="57">
      <c r="B287" s="85">
        <v>20240904</v>
      </c>
      <c r="C287" s="53" t="s">
        <v>210</v>
      </c>
      <c r="D287" s="130" t="s">
        <v>169</v>
      </c>
      <c r="E287" s="54" t="s">
        <v>804</v>
      </c>
      <c r="F287" s="130" t="s">
        <v>439</v>
      </c>
      <c r="G287" s="130" t="s">
        <v>156</v>
      </c>
      <c r="H287" s="117">
        <v>80111600</v>
      </c>
      <c r="I287" s="131">
        <v>7</v>
      </c>
      <c r="J287" s="131">
        <v>4</v>
      </c>
      <c r="K287" s="56">
        <v>0</v>
      </c>
      <c r="L287" s="57">
        <v>24720000</v>
      </c>
      <c r="M287" s="130" t="s">
        <v>173</v>
      </c>
      <c r="N287" s="57" t="s">
        <v>114</v>
      </c>
      <c r="O287" s="54" t="s">
        <v>225</v>
      </c>
      <c r="P287" s="132" t="str">
        <f>IFERROR(VLOOKUP(C287,TD!$B$32:$F$36,2,0)," ")</f>
        <v>O230117</v>
      </c>
      <c r="Q287" s="132" t="str">
        <f>IFERROR(VLOOKUP(C287,TD!$B$32:$F$36,3,0)," ")</f>
        <v>4503</v>
      </c>
      <c r="R287" s="132">
        <f>IFERROR(VLOOKUP(C287,TD!$B$32:$F$36,4,0)," ")</f>
        <v>20240255</v>
      </c>
      <c r="S287" s="54" t="s">
        <v>192</v>
      </c>
      <c r="T287" s="132" t="str">
        <f>IFERROR(VLOOKUP(S287,TD!$J$33:$K$43,2,0)," ")</f>
        <v>Servicio de apoyo   logístico  en eventos operativos y/o emergencias.</v>
      </c>
      <c r="U287" s="54" t="str">
        <f t="shared" si="16"/>
        <v>12-Servicio de apoyo   logístico  en eventos operativos y/o emergencias.</v>
      </c>
      <c r="V287" s="54" t="s">
        <v>233</v>
      </c>
      <c r="W287" s="132" t="str">
        <f>IFERROR(VLOOKUP(V287,TD!$N$33:$O$45,2,0)," ")</f>
        <v>Servicio de atención a emergencias y desastres</v>
      </c>
      <c r="X287" s="54" t="str">
        <f t="shared" si="17"/>
        <v>004_Servicio de atención a emergencias y desastres</v>
      </c>
      <c r="Y287" s="54" t="str">
        <f t="shared" si="18"/>
        <v>12-Servicio de apoyo   logístico  en eventos operativos y/o emergencias. 004_Servicio de atención a emergencias y desastres</v>
      </c>
      <c r="Z287" s="132" t="str">
        <f t="shared" si="19"/>
        <v>O23011745032024025512004</v>
      </c>
      <c r="AA287" s="132" t="str">
        <f>IFERROR(VLOOKUP(Y287,TD!$K$46:$L$64,2,0)," ")</f>
        <v>PM/0131/0112/45030040255</v>
      </c>
      <c r="AB287" s="57" t="s">
        <v>139</v>
      </c>
      <c r="AC287" s="133" t="s">
        <v>205</v>
      </c>
    </row>
    <row r="288" spans="2:29" s="28" customFormat="1" ht="57">
      <c r="B288" s="85">
        <v>20240905</v>
      </c>
      <c r="C288" s="53" t="s">
        <v>210</v>
      </c>
      <c r="D288" s="130" t="s">
        <v>169</v>
      </c>
      <c r="E288" s="54" t="s">
        <v>804</v>
      </c>
      <c r="F288" s="130" t="s">
        <v>706</v>
      </c>
      <c r="G288" s="130" t="s">
        <v>157</v>
      </c>
      <c r="H288" s="117">
        <v>80111600</v>
      </c>
      <c r="I288" s="131">
        <v>8</v>
      </c>
      <c r="J288" s="131">
        <v>4</v>
      </c>
      <c r="K288" s="56">
        <v>0</v>
      </c>
      <c r="L288" s="57">
        <v>12000000</v>
      </c>
      <c r="M288" s="130" t="s">
        <v>173</v>
      </c>
      <c r="N288" s="57" t="s">
        <v>114</v>
      </c>
      <c r="O288" s="54" t="s">
        <v>225</v>
      </c>
      <c r="P288" s="132" t="str">
        <f>IFERROR(VLOOKUP(C288,TD!$B$32:$F$36,2,0)," ")</f>
        <v>O230117</v>
      </c>
      <c r="Q288" s="132" t="str">
        <f>IFERROR(VLOOKUP(C288,TD!$B$32:$F$36,3,0)," ")</f>
        <v>4503</v>
      </c>
      <c r="R288" s="132">
        <f>IFERROR(VLOOKUP(C288,TD!$B$32:$F$36,4,0)," ")</f>
        <v>20240255</v>
      </c>
      <c r="S288" s="54" t="s">
        <v>192</v>
      </c>
      <c r="T288" s="132" t="str">
        <f>IFERROR(VLOOKUP(S288,TD!$J$33:$K$43,2,0)," ")</f>
        <v>Servicio de apoyo   logístico  en eventos operativos y/o emergencias.</v>
      </c>
      <c r="U288" s="54" t="str">
        <f t="shared" si="16"/>
        <v>12-Servicio de apoyo   logístico  en eventos operativos y/o emergencias.</v>
      </c>
      <c r="V288" s="54" t="s">
        <v>233</v>
      </c>
      <c r="W288" s="132" t="str">
        <f>IFERROR(VLOOKUP(V288,TD!$N$33:$O$45,2,0)," ")</f>
        <v>Servicio de atención a emergencias y desastres</v>
      </c>
      <c r="X288" s="54" t="str">
        <f t="shared" si="17"/>
        <v>004_Servicio de atención a emergencias y desastres</v>
      </c>
      <c r="Y288" s="54" t="str">
        <f t="shared" si="18"/>
        <v>12-Servicio de apoyo   logístico  en eventos operativos y/o emergencias. 004_Servicio de atención a emergencias y desastres</v>
      </c>
      <c r="Z288" s="132" t="str">
        <f t="shared" si="19"/>
        <v>O23011745032024025512004</v>
      </c>
      <c r="AA288" s="132" t="str">
        <f>IFERROR(VLOOKUP(Y288,TD!$K$46:$L$64,2,0)," ")</f>
        <v>PM/0131/0112/45030040255</v>
      </c>
      <c r="AB288" s="57" t="s">
        <v>139</v>
      </c>
      <c r="AC288" s="133" t="s">
        <v>205</v>
      </c>
    </row>
    <row r="289" spans="2:29" s="28" customFormat="1" ht="57">
      <c r="B289" s="85">
        <v>20240906</v>
      </c>
      <c r="C289" s="53" t="s">
        <v>210</v>
      </c>
      <c r="D289" s="130" t="s">
        <v>169</v>
      </c>
      <c r="E289" s="54" t="s">
        <v>804</v>
      </c>
      <c r="F289" s="130" t="s">
        <v>703</v>
      </c>
      <c r="G289" s="130" t="s">
        <v>157</v>
      </c>
      <c r="H289" s="117">
        <v>80111600</v>
      </c>
      <c r="I289" s="131">
        <v>8</v>
      </c>
      <c r="J289" s="131">
        <v>4</v>
      </c>
      <c r="K289" s="56">
        <v>0</v>
      </c>
      <c r="L289" s="57">
        <f>20000000-4000000</f>
        <v>16000000</v>
      </c>
      <c r="M289" s="130" t="s">
        <v>173</v>
      </c>
      <c r="N289" s="57" t="s">
        <v>114</v>
      </c>
      <c r="O289" s="54" t="s">
        <v>225</v>
      </c>
      <c r="P289" s="132" t="str">
        <f>IFERROR(VLOOKUP(C289,TD!$B$32:$F$36,2,0)," ")</f>
        <v>O230117</v>
      </c>
      <c r="Q289" s="132" t="str">
        <f>IFERROR(VLOOKUP(C289,TD!$B$32:$F$36,3,0)," ")</f>
        <v>4503</v>
      </c>
      <c r="R289" s="132">
        <f>IFERROR(VLOOKUP(C289,TD!$B$32:$F$36,4,0)," ")</f>
        <v>20240255</v>
      </c>
      <c r="S289" s="54" t="s">
        <v>192</v>
      </c>
      <c r="T289" s="132" t="str">
        <f>IFERROR(VLOOKUP(S289,TD!$J$33:$K$43,2,0)," ")</f>
        <v>Servicio de apoyo   logístico  en eventos operativos y/o emergencias.</v>
      </c>
      <c r="U289" s="54" t="str">
        <f t="shared" si="16"/>
        <v>12-Servicio de apoyo   logístico  en eventos operativos y/o emergencias.</v>
      </c>
      <c r="V289" s="54" t="s">
        <v>233</v>
      </c>
      <c r="W289" s="132" t="str">
        <f>IFERROR(VLOOKUP(V289,TD!$N$33:$O$45,2,0)," ")</f>
        <v>Servicio de atención a emergencias y desastres</v>
      </c>
      <c r="X289" s="54" t="str">
        <f t="shared" si="17"/>
        <v>004_Servicio de atención a emergencias y desastres</v>
      </c>
      <c r="Y289" s="54" t="str">
        <f t="shared" si="18"/>
        <v>12-Servicio de apoyo   logístico  en eventos operativos y/o emergencias. 004_Servicio de atención a emergencias y desastres</v>
      </c>
      <c r="Z289" s="132" t="str">
        <f t="shared" si="19"/>
        <v>O23011745032024025512004</v>
      </c>
      <c r="AA289" s="132" t="str">
        <f>IFERROR(VLOOKUP(Y289,TD!$K$46:$L$64,2,0)," ")</f>
        <v>PM/0131/0112/45030040255</v>
      </c>
      <c r="AB289" s="57" t="s">
        <v>139</v>
      </c>
      <c r="AC289" s="133" t="s">
        <v>205</v>
      </c>
    </row>
    <row r="290" spans="2:29" s="28" customFormat="1" ht="57">
      <c r="B290" s="85">
        <v>20240907</v>
      </c>
      <c r="C290" s="53" t="s">
        <v>210</v>
      </c>
      <c r="D290" s="130" t="s">
        <v>169</v>
      </c>
      <c r="E290" s="54" t="s">
        <v>804</v>
      </c>
      <c r="F290" s="130" t="s">
        <v>440</v>
      </c>
      <c r="G290" s="130" t="s">
        <v>157</v>
      </c>
      <c r="H290" s="117">
        <v>80111600</v>
      </c>
      <c r="I290" s="131">
        <v>7</v>
      </c>
      <c r="J290" s="131">
        <v>5</v>
      </c>
      <c r="K290" s="56">
        <v>0</v>
      </c>
      <c r="L290" s="57">
        <v>16100000</v>
      </c>
      <c r="M290" s="130" t="s">
        <v>173</v>
      </c>
      <c r="N290" s="57" t="s">
        <v>114</v>
      </c>
      <c r="O290" s="54" t="s">
        <v>225</v>
      </c>
      <c r="P290" s="132" t="str">
        <f>IFERROR(VLOOKUP(C290,TD!$B$32:$F$36,2,0)," ")</f>
        <v>O230117</v>
      </c>
      <c r="Q290" s="132" t="str">
        <f>IFERROR(VLOOKUP(C290,TD!$B$32:$F$36,3,0)," ")</f>
        <v>4503</v>
      </c>
      <c r="R290" s="132">
        <f>IFERROR(VLOOKUP(C290,TD!$B$32:$F$36,4,0)," ")</f>
        <v>20240255</v>
      </c>
      <c r="S290" s="54" t="s">
        <v>192</v>
      </c>
      <c r="T290" s="132" t="str">
        <f>IFERROR(VLOOKUP(S290,TD!$J$33:$K$43,2,0)," ")</f>
        <v>Servicio de apoyo   logístico  en eventos operativos y/o emergencias.</v>
      </c>
      <c r="U290" s="54" t="str">
        <f t="shared" si="16"/>
        <v>12-Servicio de apoyo   logístico  en eventos operativos y/o emergencias.</v>
      </c>
      <c r="V290" s="54" t="s">
        <v>233</v>
      </c>
      <c r="W290" s="132" t="str">
        <f>IFERROR(VLOOKUP(V290,TD!$N$33:$O$45,2,0)," ")</f>
        <v>Servicio de atención a emergencias y desastres</v>
      </c>
      <c r="X290" s="54" t="str">
        <f t="shared" si="17"/>
        <v>004_Servicio de atención a emergencias y desastres</v>
      </c>
      <c r="Y290" s="54" t="str">
        <f t="shared" si="18"/>
        <v>12-Servicio de apoyo   logístico  en eventos operativos y/o emergencias. 004_Servicio de atención a emergencias y desastres</v>
      </c>
      <c r="Z290" s="132" t="str">
        <f t="shared" si="19"/>
        <v>O23011745032024025512004</v>
      </c>
      <c r="AA290" s="132" t="str">
        <f>IFERROR(VLOOKUP(Y290,TD!$K$46:$L$64,2,0)," ")</f>
        <v>PM/0131/0112/45030040255</v>
      </c>
      <c r="AB290" s="57" t="s">
        <v>139</v>
      </c>
      <c r="AC290" s="133" t="s">
        <v>205</v>
      </c>
    </row>
    <row r="291" spans="2:29" s="28" customFormat="1" ht="57">
      <c r="B291" s="85">
        <v>20240908</v>
      </c>
      <c r="C291" s="53" t="s">
        <v>210</v>
      </c>
      <c r="D291" s="130" t="s">
        <v>169</v>
      </c>
      <c r="E291" s="54" t="s">
        <v>804</v>
      </c>
      <c r="F291" s="130" t="s">
        <v>441</v>
      </c>
      <c r="G291" s="130" t="s">
        <v>156</v>
      </c>
      <c r="H291" s="117">
        <v>80111600</v>
      </c>
      <c r="I291" s="131">
        <v>7</v>
      </c>
      <c r="J291" s="131">
        <v>4</v>
      </c>
      <c r="K291" s="56">
        <v>0</v>
      </c>
      <c r="L291" s="57">
        <v>20000000</v>
      </c>
      <c r="M291" s="130" t="s">
        <v>173</v>
      </c>
      <c r="N291" s="57" t="s">
        <v>114</v>
      </c>
      <c r="O291" s="54" t="s">
        <v>225</v>
      </c>
      <c r="P291" s="132" t="str">
        <f>IFERROR(VLOOKUP(C291,TD!$B$32:$F$36,2,0)," ")</f>
        <v>O230117</v>
      </c>
      <c r="Q291" s="132" t="str">
        <f>IFERROR(VLOOKUP(C291,TD!$B$32:$F$36,3,0)," ")</f>
        <v>4503</v>
      </c>
      <c r="R291" s="132">
        <f>IFERROR(VLOOKUP(C291,TD!$B$32:$F$36,4,0)," ")</f>
        <v>20240255</v>
      </c>
      <c r="S291" s="54" t="s">
        <v>192</v>
      </c>
      <c r="T291" s="132" t="str">
        <f>IFERROR(VLOOKUP(S291,TD!$J$33:$K$43,2,0)," ")</f>
        <v>Servicio de apoyo   logístico  en eventos operativos y/o emergencias.</v>
      </c>
      <c r="U291" s="54" t="str">
        <f t="shared" si="16"/>
        <v>12-Servicio de apoyo   logístico  en eventos operativos y/o emergencias.</v>
      </c>
      <c r="V291" s="54" t="s">
        <v>233</v>
      </c>
      <c r="W291" s="132" t="str">
        <f>IFERROR(VLOOKUP(V291,TD!$N$33:$O$45,2,0)," ")</f>
        <v>Servicio de atención a emergencias y desastres</v>
      </c>
      <c r="X291" s="54" t="str">
        <f t="shared" si="17"/>
        <v>004_Servicio de atención a emergencias y desastres</v>
      </c>
      <c r="Y291" s="54" t="str">
        <f t="shared" si="18"/>
        <v>12-Servicio de apoyo   logístico  en eventos operativos y/o emergencias. 004_Servicio de atención a emergencias y desastres</v>
      </c>
      <c r="Z291" s="132" t="str">
        <f t="shared" si="19"/>
        <v>O23011745032024025512004</v>
      </c>
      <c r="AA291" s="132" t="str">
        <f>IFERROR(VLOOKUP(Y291,TD!$K$46:$L$64,2,0)," ")</f>
        <v>PM/0131/0112/45030040255</v>
      </c>
      <c r="AB291" s="57" t="s">
        <v>139</v>
      </c>
      <c r="AC291" s="133" t="s">
        <v>205</v>
      </c>
    </row>
    <row r="292" spans="2:29" s="28" customFormat="1" ht="57">
      <c r="B292" s="85">
        <v>20240909</v>
      </c>
      <c r="C292" s="53" t="s">
        <v>210</v>
      </c>
      <c r="D292" s="130" t="s">
        <v>169</v>
      </c>
      <c r="E292" s="54" t="s">
        <v>804</v>
      </c>
      <c r="F292" s="130" t="s">
        <v>442</v>
      </c>
      <c r="G292" s="130" t="s">
        <v>156</v>
      </c>
      <c r="H292" s="117">
        <v>80111600</v>
      </c>
      <c r="I292" s="131">
        <v>7</v>
      </c>
      <c r="J292" s="131">
        <v>4</v>
      </c>
      <c r="K292" s="56">
        <v>0</v>
      </c>
      <c r="L292" s="57">
        <v>16480000</v>
      </c>
      <c r="M292" s="130" t="s">
        <v>173</v>
      </c>
      <c r="N292" s="57" t="s">
        <v>114</v>
      </c>
      <c r="O292" s="54" t="s">
        <v>225</v>
      </c>
      <c r="P292" s="132" t="str">
        <f>IFERROR(VLOOKUP(C292,TD!$B$32:$F$36,2,0)," ")</f>
        <v>O230117</v>
      </c>
      <c r="Q292" s="132" t="str">
        <f>IFERROR(VLOOKUP(C292,TD!$B$32:$F$36,3,0)," ")</f>
        <v>4503</v>
      </c>
      <c r="R292" s="132">
        <f>IFERROR(VLOOKUP(C292,TD!$B$32:$F$36,4,0)," ")</f>
        <v>20240255</v>
      </c>
      <c r="S292" s="54" t="s">
        <v>192</v>
      </c>
      <c r="T292" s="132" t="str">
        <f>IFERROR(VLOOKUP(S292,TD!$J$33:$K$43,2,0)," ")</f>
        <v>Servicio de apoyo   logístico  en eventos operativos y/o emergencias.</v>
      </c>
      <c r="U292" s="54" t="str">
        <f t="shared" si="16"/>
        <v>12-Servicio de apoyo   logístico  en eventos operativos y/o emergencias.</v>
      </c>
      <c r="V292" s="54" t="s">
        <v>233</v>
      </c>
      <c r="W292" s="132" t="str">
        <f>IFERROR(VLOOKUP(V292,TD!$N$33:$O$45,2,0)," ")</f>
        <v>Servicio de atención a emergencias y desastres</v>
      </c>
      <c r="X292" s="54" t="str">
        <f t="shared" si="17"/>
        <v>004_Servicio de atención a emergencias y desastres</v>
      </c>
      <c r="Y292" s="54" t="str">
        <f t="shared" si="18"/>
        <v>12-Servicio de apoyo   logístico  en eventos operativos y/o emergencias. 004_Servicio de atención a emergencias y desastres</v>
      </c>
      <c r="Z292" s="132" t="str">
        <f t="shared" si="19"/>
        <v>O23011745032024025512004</v>
      </c>
      <c r="AA292" s="132" t="str">
        <f>IFERROR(VLOOKUP(Y292,TD!$K$46:$L$64,2,0)," ")</f>
        <v>PM/0131/0112/45030040255</v>
      </c>
      <c r="AB292" s="57" t="s">
        <v>139</v>
      </c>
      <c r="AC292" s="133" t="s">
        <v>205</v>
      </c>
    </row>
    <row r="293" spans="2:29" s="28" customFormat="1" ht="57">
      <c r="B293" s="85">
        <v>20240910</v>
      </c>
      <c r="C293" s="53" t="s">
        <v>210</v>
      </c>
      <c r="D293" s="130" t="s">
        <v>169</v>
      </c>
      <c r="E293" s="54" t="s">
        <v>804</v>
      </c>
      <c r="F293" s="130" t="s">
        <v>443</v>
      </c>
      <c r="G293" s="130" t="s">
        <v>156</v>
      </c>
      <c r="H293" s="117">
        <v>80111600</v>
      </c>
      <c r="I293" s="131">
        <v>7</v>
      </c>
      <c r="J293" s="131">
        <v>4</v>
      </c>
      <c r="K293" s="56">
        <v>0</v>
      </c>
      <c r="L293" s="57">
        <v>15200000</v>
      </c>
      <c r="M293" s="130" t="s">
        <v>173</v>
      </c>
      <c r="N293" s="57" t="s">
        <v>114</v>
      </c>
      <c r="O293" s="54" t="s">
        <v>225</v>
      </c>
      <c r="P293" s="132" t="str">
        <f>IFERROR(VLOOKUP(C293,TD!$B$32:$F$36,2,0)," ")</f>
        <v>O230117</v>
      </c>
      <c r="Q293" s="132" t="str">
        <f>IFERROR(VLOOKUP(C293,TD!$B$32:$F$36,3,0)," ")</f>
        <v>4503</v>
      </c>
      <c r="R293" s="132">
        <f>IFERROR(VLOOKUP(C293,TD!$B$32:$F$36,4,0)," ")</f>
        <v>20240255</v>
      </c>
      <c r="S293" s="54" t="s">
        <v>192</v>
      </c>
      <c r="T293" s="132" t="str">
        <f>IFERROR(VLOOKUP(S293,TD!$J$33:$K$43,2,0)," ")</f>
        <v>Servicio de apoyo   logístico  en eventos operativos y/o emergencias.</v>
      </c>
      <c r="U293" s="54" t="str">
        <f t="shared" si="16"/>
        <v>12-Servicio de apoyo   logístico  en eventos operativos y/o emergencias.</v>
      </c>
      <c r="V293" s="54" t="s">
        <v>233</v>
      </c>
      <c r="W293" s="132" t="str">
        <f>IFERROR(VLOOKUP(V293,TD!$N$33:$O$45,2,0)," ")</f>
        <v>Servicio de atención a emergencias y desastres</v>
      </c>
      <c r="X293" s="54" t="str">
        <f t="shared" si="17"/>
        <v>004_Servicio de atención a emergencias y desastres</v>
      </c>
      <c r="Y293" s="54" t="str">
        <f t="shared" si="18"/>
        <v>12-Servicio de apoyo   logístico  en eventos operativos y/o emergencias. 004_Servicio de atención a emergencias y desastres</v>
      </c>
      <c r="Z293" s="132" t="str">
        <f t="shared" si="19"/>
        <v>O23011745032024025512004</v>
      </c>
      <c r="AA293" s="132" t="str">
        <f>IFERROR(VLOOKUP(Y293,TD!$K$46:$L$64,2,0)," ")</f>
        <v>PM/0131/0112/45030040255</v>
      </c>
      <c r="AB293" s="57" t="s">
        <v>139</v>
      </c>
      <c r="AC293" s="133" t="s">
        <v>205</v>
      </c>
    </row>
    <row r="294" spans="2:29" s="28" customFormat="1" ht="57">
      <c r="B294" s="85">
        <v>20240911</v>
      </c>
      <c r="C294" s="53" t="s">
        <v>210</v>
      </c>
      <c r="D294" s="130" t="s">
        <v>169</v>
      </c>
      <c r="E294" s="54" t="s">
        <v>804</v>
      </c>
      <c r="F294" s="130" t="s">
        <v>704</v>
      </c>
      <c r="G294" s="130" t="s">
        <v>156</v>
      </c>
      <c r="H294" s="117">
        <v>80111600</v>
      </c>
      <c r="I294" s="131">
        <v>8</v>
      </c>
      <c r="J294" s="131">
        <v>2</v>
      </c>
      <c r="K294" s="56">
        <v>0</v>
      </c>
      <c r="L294" s="57">
        <f>12660000-4220000</f>
        <v>8440000</v>
      </c>
      <c r="M294" s="130" t="s">
        <v>173</v>
      </c>
      <c r="N294" s="57" t="s">
        <v>114</v>
      </c>
      <c r="O294" s="54" t="s">
        <v>225</v>
      </c>
      <c r="P294" s="132" t="str">
        <f>IFERROR(VLOOKUP(C294,TD!$B$32:$F$36,2,0)," ")</f>
        <v>O230117</v>
      </c>
      <c r="Q294" s="132" t="str">
        <f>IFERROR(VLOOKUP(C294,TD!$B$32:$F$36,3,0)," ")</f>
        <v>4503</v>
      </c>
      <c r="R294" s="132">
        <f>IFERROR(VLOOKUP(C294,TD!$B$32:$F$36,4,0)," ")</f>
        <v>20240255</v>
      </c>
      <c r="S294" s="54" t="s">
        <v>192</v>
      </c>
      <c r="T294" s="132" t="str">
        <f>IFERROR(VLOOKUP(S294,TD!$J$33:$K$43,2,0)," ")</f>
        <v>Servicio de apoyo   logístico  en eventos operativos y/o emergencias.</v>
      </c>
      <c r="U294" s="54" t="str">
        <f t="shared" si="16"/>
        <v>12-Servicio de apoyo   logístico  en eventos operativos y/o emergencias.</v>
      </c>
      <c r="V294" s="54" t="s">
        <v>233</v>
      </c>
      <c r="W294" s="132" t="str">
        <f>IFERROR(VLOOKUP(V294,TD!$N$33:$O$45,2,0)," ")</f>
        <v>Servicio de atención a emergencias y desastres</v>
      </c>
      <c r="X294" s="54" t="str">
        <f t="shared" si="17"/>
        <v>004_Servicio de atención a emergencias y desastres</v>
      </c>
      <c r="Y294" s="54" t="str">
        <f t="shared" si="18"/>
        <v>12-Servicio de apoyo   logístico  en eventos operativos y/o emergencias. 004_Servicio de atención a emergencias y desastres</v>
      </c>
      <c r="Z294" s="132" t="str">
        <f t="shared" si="19"/>
        <v>O23011745032024025512004</v>
      </c>
      <c r="AA294" s="132" t="str">
        <f>IFERROR(VLOOKUP(Y294,TD!$K$46:$L$64,2,0)," ")</f>
        <v>PM/0131/0112/45030040255</v>
      </c>
      <c r="AB294" s="57" t="s">
        <v>139</v>
      </c>
      <c r="AC294" s="133" t="s">
        <v>205</v>
      </c>
    </row>
    <row r="295" spans="2:29" s="28" customFormat="1" ht="57">
      <c r="B295" s="85">
        <v>20240912</v>
      </c>
      <c r="C295" s="53" t="s">
        <v>210</v>
      </c>
      <c r="D295" s="130" t="s">
        <v>169</v>
      </c>
      <c r="E295" s="54" t="s">
        <v>804</v>
      </c>
      <c r="F295" s="130" t="s">
        <v>705</v>
      </c>
      <c r="G295" s="130" t="s">
        <v>156</v>
      </c>
      <c r="H295" s="117">
        <v>80111600</v>
      </c>
      <c r="I295" s="131">
        <v>9</v>
      </c>
      <c r="J295" s="131">
        <v>3</v>
      </c>
      <c r="K295" s="56">
        <v>0</v>
      </c>
      <c r="L295" s="57">
        <f>18520000+3715000</f>
        <v>22235000</v>
      </c>
      <c r="M295" s="130" t="s">
        <v>173</v>
      </c>
      <c r="N295" s="57" t="s">
        <v>114</v>
      </c>
      <c r="O295" s="54" t="s">
        <v>225</v>
      </c>
      <c r="P295" s="132" t="str">
        <f>IFERROR(VLOOKUP(C295,TD!$B$32:$F$36,2,0)," ")</f>
        <v>O230117</v>
      </c>
      <c r="Q295" s="132" t="str">
        <f>IFERROR(VLOOKUP(C295,TD!$B$32:$F$36,3,0)," ")</f>
        <v>4503</v>
      </c>
      <c r="R295" s="132">
        <f>IFERROR(VLOOKUP(C295,TD!$B$32:$F$36,4,0)," ")</f>
        <v>20240255</v>
      </c>
      <c r="S295" s="54" t="s">
        <v>192</v>
      </c>
      <c r="T295" s="132" t="str">
        <f>IFERROR(VLOOKUP(S295,TD!$J$33:$K$43,2,0)," ")</f>
        <v>Servicio de apoyo   logístico  en eventos operativos y/o emergencias.</v>
      </c>
      <c r="U295" s="54" t="str">
        <f t="shared" si="16"/>
        <v>12-Servicio de apoyo   logístico  en eventos operativos y/o emergencias.</v>
      </c>
      <c r="V295" s="54" t="s">
        <v>233</v>
      </c>
      <c r="W295" s="132" t="str">
        <f>IFERROR(VLOOKUP(V295,TD!$N$33:$O$45,2,0)," ")</f>
        <v>Servicio de atención a emergencias y desastres</v>
      </c>
      <c r="X295" s="54" t="str">
        <f t="shared" si="17"/>
        <v>004_Servicio de atención a emergencias y desastres</v>
      </c>
      <c r="Y295" s="54" t="str">
        <f t="shared" si="18"/>
        <v>12-Servicio de apoyo   logístico  en eventos operativos y/o emergencias. 004_Servicio de atención a emergencias y desastres</v>
      </c>
      <c r="Z295" s="132" t="str">
        <f t="shared" si="19"/>
        <v>O23011745032024025512004</v>
      </c>
      <c r="AA295" s="132" t="str">
        <f>IFERROR(VLOOKUP(Y295,TD!$K$46:$L$64,2,0)," ")</f>
        <v>PM/0131/0112/45030040255</v>
      </c>
      <c r="AB295" s="57" t="s">
        <v>139</v>
      </c>
      <c r="AC295" s="133" t="s">
        <v>205</v>
      </c>
    </row>
    <row r="296" spans="2:29" s="28" customFormat="1" ht="57">
      <c r="B296" s="85">
        <v>20240913</v>
      </c>
      <c r="C296" s="53" t="s">
        <v>210</v>
      </c>
      <c r="D296" s="130" t="s">
        <v>169</v>
      </c>
      <c r="E296" s="54" t="s">
        <v>804</v>
      </c>
      <c r="F296" s="130" t="s">
        <v>444</v>
      </c>
      <c r="G296" s="130" t="s">
        <v>157</v>
      </c>
      <c r="H296" s="117">
        <v>80111600</v>
      </c>
      <c r="I296" s="131">
        <v>7</v>
      </c>
      <c r="J296" s="131">
        <v>5</v>
      </c>
      <c r="K296" s="56">
        <v>0</v>
      </c>
      <c r="L296" s="57">
        <v>16500000</v>
      </c>
      <c r="M296" s="130" t="s">
        <v>173</v>
      </c>
      <c r="N296" s="57" t="s">
        <v>114</v>
      </c>
      <c r="O296" s="54" t="s">
        <v>225</v>
      </c>
      <c r="P296" s="132" t="str">
        <f>IFERROR(VLOOKUP(C296,TD!$B$32:$F$36,2,0)," ")</f>
        <v>O230117</v>
      </c>
      <c r="Q296" s="132" t="str">
        <f>IFERROR(VLOOKUP(C296,TD!$B$32:$F$36,3,0)," ")</f>
        <v>4503</v>
      </c>
      <c r="R296" s="132">
        <f>IFERROR(VLOOKUP(C296,TD!$B$32:$F$36,4,0)," ")</f>
        <v>20240255</v>
      </c>
      <c r="S296" s="54" t="s">
        <v>192</v>
      </c>
      <c r="T296" s="132" t="str">
        <f>IFERROR(VLOOKUP(S296,TD!$J$33:$K$43,2,0)," ")</f>
        <v>Servicio de apoyo   logístico  en eventos operativos y/o emergencias.</v>
      </c>
      <c r="U296" s="54" t="str">
        <f t="shared" si="16"/>
        <v>12-Servicio de apoyo   logístico  en eventos operativos y/o emergencias.</v>
      </c>
      <c r="V296" s="54" t="s">
        <v>233</v>
      </c>
      <c r="W296" s="132" t="str">
        <f>IFERROR(VLOOKUP(V296,TD!$N$33:$O$45,2,0)," ")</f>
        <v>Servicio de atención a emergencias y desastres</v>
      </c>
      <c r="X296" s="54" t="str">
        <f t="shared" si="17"/>
        <v>004_Servicio de atención a emergencias y desastres</v>
      </c>
      <c r="Y296" s="54" t="str">
        <f t="shared" si="18"/>
        <v>12-Servicio de apoyo   logístico  en eventos operativos y/o emergencias. 004_Servicio de atención a emergencias y desastres</v>
      </c>
      <c r="Z296" s="132" t="str">
        <f t="shared" si="19"/>
        <v>O23011745032024025512004</v>
      </c>
      <c r="AA296" s="132" t="str">
        <f>IFERROR(VLOOKUP(Y296,TD!$K$46:$L$64,2,0)," ")</f>
        <v>PM/0131/0112/45030040255</v>
      </c>
      <c r="AB296" s="57" t="s">
        <v>139</v>
      </c>
      <c r="AC296" s="133" t="s">
        <v>205</v>
      </c>
    </row>
    <row r="297" spans="2:29" s="28" customFormat="1" ht="57">
      <c r="B297" s="85">
        <v>20240914</v>
      </c>
      <c r="C297" s="53" t="s">
        <v>210</v>
      </c>
      <c r="D297" s="130" t="s">
        <v>169</v>
      </c>
      <c r="E297" s="54" t="s">
        <v>804</v>
      </c>
      <c r="F297" s="130" t="s">
        <v>445</v>
      </c>
      <c r="G297" s="130" t="s">
        <v>157</v>
      </c>
      <c r="H297" s="117">
        <v>80111600</v>
      </c>
      <c r="I297" s="131">
        <v>7</v>
      </c>
      <c r="J297" s="131">
        <v>4</v>
      </c>
      <c r="K297" s="56">
        <v>0</v>
      </c>
      <c r="L297" s="57">
        <v>12400000</v>
      </c>
      <c r="M297" s="130" t="s">
        <v>173</v>
      </c>
      <c r="N297" s="57" t="s">
        <v>114</v>
      </c>
      <c r="O297" s="54" t="s">
        <v>225</v>
      </c>
      <c r="P297" s="132" t="str">
        <f>IFERROR(VLOOKUP(C297,TD!$B$32:$F$36,2,0)," ")</f>
        <v>O230117</v>
      </c>
      <c r="Q297" s="132" t="str">
        <f>IFERROR(VLOOKUP(C297,TD!$B$32:$F$36,3,0)," ")</f>
        <v>4503</v>
      </c>
      <c r="R297" s="132">
        <f>IFERROR(VLOOKUP(C297,TD!$B$32:$F$36,4,0)," ")</f>
        <v>20240255</v>
      </c>
      <c r="S297" s="54" t="s">
        <v>192</v>
      </c>
      <c r="T297" s="132" t="str">
        <f>IFERROR(VLOOKUP(S297,TD!$J$33:$K$43,2,0)," ")</f>
        <v>Servicio de apoyo   logístico  en eventos operativos y/o emergencias.</v>
      </c>
      <c r="U297" s="54" t="str">
        <f t="shared" si="16"/>
        <v>12-Servicio de apoyo   logístico  en eventos operativos y/o emergencias.</v>
      </c>
      <c r="V297" s="54" t="s">
        <v>233</v>
      </c>
      <c r="W297" s="132" t="str">
        <f>IFERROR(VLOOKUP(V297,TD!$N$33:$O$45,2,0)," ")</f>
        <v>Servicio de atención a emergencias y desastres</v>
      </c>
      <c r="X297" s="54" t="str">
        <f t="shared" si="17"/>
        <v>004_Servicio de atención a emergencias y desastres</v>
      </c>
      <c r="Y297" s="54" t="str">
        <f t="shared" si="18"/>
        <v>12-Servicio de apoyo   logístico  en eventos operativos y/o emergencias. 004_Servicio de atención a emergencias y desastres</v>
      </c>
      <c r="Z297" s="132" t="str">
        <f t="shared" si="19"/>
        <v>O23011745032024025512004</v>
      </c>
      <c r="AA297" s="132" t="str">
        <f>IFERROR(VLOOKUP(Y297,TD!$K$46:$L$64,2,0)," ")</f>
        <v>PM/0131/0112/45030040255</v>
      </c>
      <c r="AB297" s="57" t="s">
        <v>139</v>
      </c>
      <c r="AC297" s="133" t="s">
        <v>205</v>
      </c>
    </row>
    <row r="298" spans="2:29" s="28" customFormat="1" ht="57">
      <c r="B298" s="85">
        <v>20240915</v>
      </c>
      <c r="C298" s="53" t="s">
        <v>210</v>
      </c>
      <c r="D298" s="130" t="s">
        <v>169</v>
      </c>
      <c r="E298" s="54" t="s">
        <v>804</v>
      </c>
      <c r="F298" s="130" t="s">
        <v>446</v>
      </c>
      <c r="G298" s="130" t="s">
        <v>156</v>
      </c>
      <c r="H298" s="117">
        <v>80111600</v>
      </c>
      <c r="I298" s="131">
        <v>7</v>
      </c>
      <c r="J298" s="131">
        <v>3</v>
      </c>
      <c r="K298" s="56">
        <v>0</v>
      </c>
      <c r="L298" s="57">
        <v>11400000</v>
      </c>
      <c r="M298" s="130" t="s">
        <v>173</v>
      </c>
      <c r="N298" s="57" t="s">
        <v>114</v>
      </c>
      <c r="O298" s="54" t="s">
        <v>225</v>
      </c>
      <c r="P298" s="132" t="str">
        <f>IFERROR(VLOOKUP(C298,TD!$B$32:$F$36,2,0)," ")</f>
        <v>O230117</v>
      </c>
      <c r="Q298" s="132" t="str">
        <f>IFERROR(VLOOKUP(C298,TD!$B$32:$F$36,3,0)," ")</f>
        <v>4503</v>
      </c>
      <c r="R298" s="132">
        <f>IFERROR(VLOOKUP(C298,TD!$B$32:$F$36,4,0)," ")</f>
        <v>20240255</v>
      </c>
      <c r="S298" s="54" t="s">
        <v>192</v>
      </c>
      <c r="T298" s="132" t="str">
        <f>IFERROR(VLOOKUP(S298,TD!$J$33:$K$43,2,0)," ")</f>
        <v>Servicio de apoyo   logístico  en eventos operativos y/o emergencias.</v>
      </c>
      <c r="U298" s="54" t="str">
        <f t="shared" si="16"/>
        <v>12-Servicio de apoyo   logístico  en eventos operativos y/o emergencias.</v>
      </c>
      <c r="V298" s="54" t="s">
        <v>233</v>
      </c>
      <c r="W298" s="132" t="str">
        <f>IFERROR(VLOOKUP(V298,TD!$N$33:$O$45,2,0)," ")</f>
        <v>Servicio de atención a emergencias y desastres</v>
      </c>
      <c r="X298" s="54" t="str">
        <f t="shared" si="17"/>
        <v>004_Servicio de atención a emergencias y desastres</v>
      </c>
      <c r="Y298" s="54" t="str">
        <f t="shared" si="18"/>
        <v>12-Servicio de apoyo   logístico  en eventos operativos y/o emergencias. 004_Servicio de atención a emergencias y desastres</v>
      </c>
      <c r="Z298" s="132" t="str">
        <f t="shared" si="19"/>
        <v>O23011745032024025512004</v>
      </c>
      <c r="AA298" s="132" t="str">
        <f>IFERROR(VLOOKUP(Y298,TD!$K$46:$L$64,2,0)," ")</f>
        <v>PM/0131/0112/45030040255</v>
      </c>
      <c r="AB298" s="57" t="s">
        <v>139</v>
      </c>
      <c r="AC298" s="133" t="s">
        <v>205</v>
      </c>
    </row>
    <row r="299" spans="2:29" s="28" customFormat="1" ht="57">
      <c r="B299" s="85">
        <v>20240916</v>
      </c>
      <c r="C299" s="53" t="s">
        <v>210</v>
      </c>
      <c r="D299" s="130" t="s">
        <v>169</v>
      </c>
      <c r="E299" s="54" t="s">
        <v>804</v>
      </c>
      <c r="F299" s="130" t="s">
        <v>455</v>
      </c>
      <c r="G299" s="130" t="s">
        <v>157</v>
      </c>
      <c r="H299" s="117">
        <v>80111600</v>
      </c>
      <c r="I299" s="131">
        <v>7</v>
      </c>
      <c r="J299" s="131">
        <v>3</v>
      </c>
      <c r="K299" s="56">
        <v>0</v>
      </c>
      <c r="L299" s="57">
        <v>9600000</v>
      </c>
      <c r="M299" s="130" t="s">
        <v>173</v>
      </c>
      <c r="N299" s="57" t="s">
        <v>114</v>
      </c>
      <c r="O299" s="54" t="s">
        <v>225</v>
      </c>
      <c r="P299" s="132" t="str">
        <f>IFERROR(VLOOKUP(C299,TD!$B$32:$F$36,2,0)," ")</f>
        <v>O230117</v>
      </c>
      <c r="Q299" s="132" t="str">
        <f>IFERROR(VLOOKUP(C299,TD!$B$32:$F$36,3,0)," ")</f>
        <v>4503</v>
      </c>
      <c r="R299" s="132">
        <f>IFERROR(VLOOKUP(C299,TD!$B$32:$F$36,4,0)," ")</f>
        <v>20240255</v>
      </c>
      <c r="S299" s="54" t="s">
        <v>192</v>
      </c>
      <c r="T299" s="132" t="str">
        <f>IFERROR(VLOOKUP(S299,TD!$J$33:$K$43,2,0)," ")</f>
        <v>Servicio de apoyo   logístico  en eventos operativos y/o emergencias.</v>
      </c>
      <c r="U299" s="54" t="str">
        <f t="shared" si="16"/>
        <v>12-Servicio de apoyo   logístico  en eventos operativos y/o emergencias.</v>
      </c>
      <c r="V299" s="54" t="s">
        <v>233</v>
      </c>
      <c r="W299" s="132" t="str">
        <f>IFERROR(VLOOKUP(V299,TD!$N$33:$O$45,2,0)," ")</f>
        <v>Servicio de atención a emergencias y desastres</v>
      </c>
      <c r="X299" s="54" t="str">
        <f t="shared" si="17"/>
        <v>004_Servicio de atención a emergencias y desastres</v>
      </c>
      <c r="Y299" s="54" t="str">
        <f t="shared" si="18"/>
        <v>12-Servicio de apoyo   logístico  en eventos operativos y/o emergencias. 004_Servicio de atención a emergencias y desastres</v>
      </c>
      <c r="Z299" s="132" t="str">
        <f t="shared" si="19"/>
        <v>O23011745032024025512004</v>
      </c>
      <c r="AA299" s="132" t="str">
        <f>IFERROR(VLOOKUP(Y299,TD!$K$46:$L$64,2,0)," ")</f>
        <v>PM/0131/0112/45030040255</v>
      </c>
      <c r="AB299" s="57" t="s">
        <v>139</v>
      </c>
      <c r="AC299" s="133" t="s">
        <v>205</v>
      </c>
    </row>
    <row r="300" spans="2:29" s="28" customFormat="1" ht="57">
      <c r="B300" s="85">
        <v>20240917</v>
      </c>
      <c r="C300" s="53" t="s">
        <v>210</v>
      </c>
      <c r="D300" s="130" t="s">
        <v>169</v>
      </c>
      <c r="E300" s="54" t="s">
        <v>804</v>
      </c>
      <c r="F300" s="130" t="s">
        <v>851</v>
      </c>
      <c r="G300" s="130" t="s">
        <v>157</v>
      </c>
      <c r="H300" s="117">
        <v>80111600</v>
      </c>
      <c r="I300" s="131">
        <v>10</v>
      </c>
      <c r="J300" s="131">
        <v>3</v>
      </c>
      <c r="K300" s="56">
        <v>0</v>
      </c>
      <c r="L300" s="57">
        <v>9502080</v>
      </c>
      <c r="M300" s="130" t="s">
        <v>173</v>
      </c>
      <c r="N300" s="57" t="s">
        <v>114</v>
      </c>
      <c r="O300" s="54" t="s">
        <v>225</v>
      </c>
      <c r="P300" s="132" t="str">
        <f>IFERROR(VLOOKUP(C300,TD!$B$32:$F$36,2,0)," ")</f>
        <v>O230117</v>
      </c>
      <c r="Q300" s="132" t="str">
        <f>IFERROR(VLOOKUP(C300,TD!$B$32:$F$36,3,0)," ")</f>
        <v>4503</v>
      </c>
      <c r="R300" s="132">
        <f>IFERROR(VLOOKUP(C300,TD!$B$32:$F$36,4,0)," ")</f>
        <v>20240255</v>
      </c>
      <c r="S300" s="54" t="s">
        <v>192</v>
      </c>
      <c r="T300" s="132" t="str">
        <f>IFERROR(VLOOKUP(S300,TD!$J$33:$K$43,2,0)," ")</f>
        <v>Servicio de apoyo   logístico  en eventos operativos y/o emergencias.</v>
      </c>
      <c r="U300" s="54" t="str">
        <f t="shared" si="16"/>
        <v>12-Servicio de apoyo   logístico  en eventos operativos y/o emergencias.</v>
      </c>
      <c r="V300" s="54" t="s">
        <v>233</v>
      </c>
      <c r="W300" s="132" t="str">
        <f>IFERROR(VLOOKUP(V300,TD!$N$33:$O$45,2,0)," ")</f>
        <v>Servicio de atención a emergencias y desastres</v>
      </c>
      <c r="X300" s="54" t="str">
        <f t="shared" si="17"/>
        <v>004_Servicio de atención a emergencias y desastres</v>
      </c>
      <c r="Y300" s="54" t="str">
        <f t="shared" si="18"/>
        <v>12-Servicio de apoyo   logístico  en eventos operativos y/o emergencias. 004_Servicio de atención a emergencias y desastres</v>
      </c>
      <c r="Z300" s="132" t="str">
        <f t="shared" si="19"/>
        <v>O23011745032024025512004</v>
      </c>
      <c r="AA300" s="132" t="str">
        <f>IFERROR(VLOOKUP(Y300,TD!$K$46:$L$64,2,0)," ")</f>
        <v>PM/0131/0112/45030040255</v>
      </c>
      <c r="AB300" s="57" t="s">
        <v>139</v>
      </c>
      <c r="AC300" s="133" t="s">
        <v>205</v>
      </c>
    </row>
    <row r="301" spans="2:29" s="28" customFormat="1" ht="57">
      <c r="B301" s="85">
        <v>20240918</v>
      </c>
      <c r="C301" s="53" t="s">
        <v>210</v>
      </c>
      <c r="D301" s="130" t="s">
        <v>169</v>
      </c>
      <c r="E301" s="54" t="s">
        <v>804</v>
      </c>
      <c r="F301" s="130" t="s">
        <v>448</v>
      </c>
      <c r="G301" s="130" t="s">
        <v>157</v>
      </c>
      <c r="H301" s="117">
        <v>80111600</v>
      </c>
      <c r="I301" s="131">
        <v>10</v>
      </c>
      <c r="J301" s="131">
        <v>3</v>
      </c>
      <c r="K301" s="56">
        <v>0</v>
      </c>
      <c r="L301" s="57">
        <f>9000000+1500000</f>
        <v>10500000</v>
      </c>
      <c r="M301" s="130" t="s">
        <v>173</v>
      </c>
      <c r="N301" s="57" t="s">
        <v>114</v>
      </c>
      <c r="O301" s="54" t="s">
        <v>225</v>
      </c>
      <c r="P301" s="132" t="str">
        <f>IFERROR(VLOOKUP(C301,TD!$B$32:$F$36,2,0)," ")</f>
        <v>O230117</v>
      </c>
      <c r="Q301" s="132" t="str">
        <f>IFERROR(VLOOKUP(C301,TD!$B$32:$F$36,3,0)," ")</f>
        <v>4503</v>
      </c>
      <c r="R301" s="132">
        <f>IFERROR(VLOOKUP(C301,TD!$B$32:$F$36,4,0)," ")</f>
        <v>20240255</v>
      </c>
      <c r="S301" s="54" t="s">
        <v>192</v>
      </c>
      <c r="T301" s="132" t="str">
        <f>IFERROR(VLOOKUP(S301,TD!$J$33:$K$43,2,0)," ")</f>
        <v>Servicio de apoyo   logístico  en eventos operativos y/o emergencias.</v>
      </c>
      <c r="U301" s="54" t="str">
        <f t="shared" si="16"/>
        <v>12-Servicio de apoyo   logístico  en eventos operativos y/o emergencias.</v>
      </c>
      <c r="V301" s="54" t="s">
        <v>233</v>
      </c>
      <c r="W301" s="132" t="str">
        <f>IFERROR(VLOOKUP(V301,TD!$N$33:$O$45,2,0)," ")</f>
        <v>Servicio de atención a emergencias y desastres</v>
      </c>
      <c r="X301" s="54" t="str">
        <f t="shared" si="17"/>
        <v>004_Servicio de atención a emergencias y desastres</v>
      </c>
      <c r="Y301" s="54" t="str">
        <f t="shared" si="18"/>
        <v>12-Servicio de apoyo   logístico  en eventos operativos y/o emergencias. 004_Servicio de atención a emergencias y desastres</v>
      </c>
      <c r="Z301" s="132" t="str">
        <f t="shared" si="19"/>
        <v>O23011745032024025512004</v>
      </c>
      <c r="AA301" s="132" t="str">
        <f>IFERROR(VLOOKUP(Y301,TD!$K$46:$L$64,2,0)," ")</f>
        <v>PM/0131/0112/45030040255</v>
      </c>
      <c r="AB301" s="57" t="s">
        <v>139</v>
      </c>
      <c r="AC301" s="133" t="s">
        <v>205</v>
      </c>
    </row>
    <row r="302" spans="2:29" s="28" customFormat="1" ht="57">
      <c r="B302" s="85">
        <v>20240919</v>
      </c>
      <c r="C302" s="53" t="s">
        <v>210</v>
      </c>
      <c r="D302" s="130" t="s">
        <v>169</v>
      </c>
      <c r="E302" s="54" t="s">
        <v>804</v>
      </c>
      <c r="F302" s="130" t="s">
        <v>449</v>
      </c>
      <c r="G302" s="130" t="s">
        <v>156</v>
      </c>
      <c r="H302" s="117">
        <v>80111600</v>
      </c>
      <c r="I302" s="131">
        <v>7</v>
      </c>
      <c r="J302" s="131">
        <v>4</v>
      </c>
      <c r="K302" s="56">
        <v>0</v>
      </c>
      <c r="L302" s="57">
        <f>18000000-800000</f>
        <v>17200000</v>
      </c>
      <c r="M302" s="130" t="s">
        <v>173</v>
      </c>
      <c r="N302" s="57" t="s">
        <v>114</v>
      </c>
      <c r="O302" s="54" t="s">
        <v>225</v>
      </c>
      <c r="P302" s="132" t="str">
        <f>IFERROR(VLOOKUP(C302,TD!$B$32:$F$36,2,0)," ")</f>
        <v>O230117</v>
      </c>
      <c r="Q302" s="132" t="str">
        <f>IFERROR(VLOOKUP(C302,TD!$B$32:$F$36,3,0)," ")</f>
        <v>4503</v>
      </c>
      <c r="R302" s="132">
        <f>IFERROR(VLOOKUP(C302,TD!$B$32:$F$36,4,0)," ")</f>
        <v>20240255</v>
      </c>
      <c r="S302" s="54" t="s">
        <v>192</v>
      </c>
      <c r="T302" s="132" t="str">
        <f>IFERROR(VLOOKUP(S302,TD!$J$33:$K$43,2,0)," ")</f>
        <v>Servicio de apoyo   logístico  en eventos operativos y/o emergencias.</v>
      </c>
      <c r="U302" s="54" t="str">
        <f t="shared" si="16"/>
        <v>12-Servicio de apoyo   logístico  en eventos operativos y/o emergencias.</v>
      </c>
      <c r="V302" s="54" t="s">
        <v>233</v>
      </c>
      <c r="W302" s="132" t="str">
        <f>IFERROR(VLOOKUP(V302,TD!$N$33:$O$45,2,0)," ")</f>
        <v>Servicio de atención a emergencias y desastres</v>
      </c>
      <c r="X302" s="54" t="str">
        <f t="shared" si="17"/>
        <v>004_Servicio de atención a emergencias y desastres</v>
      </c>
      <c r="Y302" s="54" t="str">
        <f t="shared" si="18"/>
        <v>12-Servicio de apoyo   logístico  en eventos operativos y/o emergencias. 004_Servicio de atención a emergencias y desastres</v>
      </c>
      <c r="Z302" s="132" t="str">
        <f t="shared" si="19"/>
        <v>O23011745032024025512004</v>
      </c>
      <c r="AA302" s="132" t="str">
        <f>IFERROR(VLOOKUP(Y302,TD!$K$46:$L$64,2,0)," ")</f>
        <v>PM/0131/0112/45030040255</v>
      </c>
      <c r="AB302" s="57" t="s">
        <v>139</v>
      </c>
      <c r="AC302" s="133" t="s">
        <v>205</v>
      </c>
    </row>
    <row r="303" spans="2:29" s="28" customFormat="1" ht="57">
      <c r="B303" s="85">
        <v>20240920</v>
      </c>
      <c r="C303" s="53" t="s">
        <v>210</v>
      </c>
      <c r="D303" s="130" t="s">
        <v>169</v>
      </c>
      <c r="E303" s="54" t="s">
        <v>804</v>
      </c>
      <c r="F303" s="130" t="s">
        <v>450</v>
      </c>
      <c r="G303" s="130" t="s">
        <v>157</v>
      </c>
      <c r="H303" s="117">
        <v>80111600</v>
      </c>
      <c r="I303" s="131">
        <v>7</v>
      </c>
      <c r="J303" s="131">
        <v>4</v>
      </c>
      <c r="K303" s="56">
        <v>0</v>
      </c>
      <c r="L303" s="57">
        <v>12800000</v>
      </c>
      <c r="M303" s="130" t="s">
        <v>173</v>
      </c>
      <c r="N303" s="57" t="s">
        <v>114</v>
      </c>
      <c r="O303" s="54" t="s">
        <v>225</v>
      </c>
      <c r="P303" s="132" t="str">
        <f>IFERROR(VLOOKUP(C303,TD!$B$32:$F$36,2,0)," ")</f>
        <v>O230117</v>
      </c>
      <c r="Q303" s="132" t="str">
        <f>IFERROR(VLOOKUP(C303,TD!$B$32:$F$36,3,0)," ")</f>
        <v>4503</v>
      </c>
      <c r="R303" s="132">
        <f>IFERROR(VLOOKUP(C303,TD!$B$32:$F$36,4,0)," ")</f>
        <v>20240255</v>
      </c>
      <c r="S303" s="54" t="s">
        <v>192</v>
      </c>
      <c r="T303" s="132" t="str">
        <f>IFERROR(VLOOKUP(S303,TD!$J$33:$K$43,2,0)," ")</f>
        <v>Servicio de apoyo   logístico  en eventos operativos y/o emergencias.</v>
      </c>
      <c r="U303" s="54" t="str">
        <f t="shared" si="16"/>
        <v>12-Servicio de apoyo   logístico  en eventos operativos y/o emergencias.</v>
      </c>
      <c r="V303" s="54" t="s">
        <v>233</v>
      </c>
      <c r="W303" s="132" t="str">
        <f>IFERROR(VLOOKUP(V303,TD!$N$33:$O$45,2,0)," ")</f>
        <v>Servicio de atención a emergencias y desastres</v>
      </c>
      <c r="X303" s="54" t="str">
        <f t="shared" si="17"/>
        <v>004_Servicio de atención a emergencias y desastres</v>
      </c>
      <c r="Y303" s="54" t="str">
        <f t="shared" si="18"/>
        <v>12-Servicio de apoyo   logístico  en eventos operativos y/o emergencias. 004_Servicio de atención a emergencias y desastres</v>
      </c>
      <c r="Z303" s="132" t="str">
        <f t="shared" si="19"/>
        <v>O23011745032024025512004</v>
      </c>
      <c r="AA303" s="132" t="str">
        <f>IFERROR(VLOOKUP(Y303,TD!$K$46:$L$64,2,0)," ")</f>
        <v>PM/0131/0112/45030040255</v>
      </c>
      <c r="AB303" s="57" t="s">
        <v>139</v>
      </c>
      <c r="AC303" s="133" t="s">
        <v>205</v>
      </c>
    </row>
    <row r="304" spans="2:29" s="28" customFormat="1" ht="71.25">
      <c r="B304" s="85">
        <v>20240924</v>
      </c>
      <c r="C304" s="53" t="s">
        <v>209</v>
      </c>
      <c r="D304" s="130" t="s">
        <v>165</v>
      </c>
      <c r="E304" s="54" t="s">
        <v>517</v>
      </c>
      <c r="F304" s="130" t="s">
        <v>501</v>
      </c>
      <c r="G304" s="130" t="s">
        <v>156</v>
      </c>
      <c r="H304" s="117">
        <v>80111600</v>
      </c>
      <c r="I304" s="131">
        <v>8</v>
      </c>
      <c r="J304" s="131">
        <v>3</v>
      </c>
      <c r="K304" s="56">
        <v>16</v>
      </c>
      <c r="L304" s="57">
        <v>24733336</v>
      </c>
      <c r="M304" s="130" t="s">
        <v>173</v>
      </c>
      <c r="N304" s="57" t="s">
        <v>114</v>
      </c>
      <c r="O304" s="54" t="s">
        <v>220</v>
      </c>
      <c r="P304" s="132" t="str">
        <f>IFERROR(VLOOKUP(C304,TD!$B$32:$F$36,2,0)," ")</f>
        <v>O230117</v>
      </c>
      <c r="Q304" s="132" t="str">
        <f>IFERROR(VLOOKUP(C304,TD!$B$32:$F$36,3,0)," ")</f>
        <v>4599</v>
      </c>
      <c r="R304" s="132">
        <f>IFERROR(VLOOKUP(C304,TD!$B$32:$F$36,4,0)," ")</f>
        <v>20240207</v>
      </c>
      <c r="S304" s="54" t="s">
        <v>186</v>
      </c>
      <c r="T304" s="132" t="str">
        <f>IFERROR(VLOOKUP(S304,TD!$J$33:$K$43,2,0)," ")</f>
        <v>Infraestructura física, mantenimiento y dotación (Sedes construidas, mantenidas reforzadas)</v>
      </c>
      <c r="U304" s="54" t="str">
        <f t="shared" si="16"/>
        <v>08-Infraestructura física, mantenimiento y dotación (Sedes construidas, mantenidas reforzadas)</v>
      </c>
      <c r="V304" s="54" t="s">
        <v>239</v>
      </c>
      <c r="W304" s="132" t="str">
        <f>IFERROR(VLOOKUP(V304,TD!$N$33:$O$45,2,0)," ")</f>
        <v>Sedes mantenidas</v>
      </c>
      <c r="X304" s="54" t="str">
        <f t="shared" si="17"/>
        <v>016_Sedes mantenidas</v>
      </c>
      <c r="Y304" s="54" t="str">
        <f t="shared" si="18"/>
        <v>08-Infraestructura física, mantenimiento y dotación (Sedes construidas, mantenidas reforzadas) 016_Sedes mantenidas</v>
      </c>
      <c r="Z304" s="132" t="str">
        <f t="shared" si="19"/>
        <v>O23011745992024020708016</v>
      </c>
      <c r="AA304" s="132" t="str">
        <f>IFERROR(VLOOKUP(Y304,TD!$K$46:$L$64,2,0)," ")</f>
        <v>PM/0131/0108/45990160207</v>
      </c>
      <c r="AB304" s="57" t="s">
        <v>139</v>
      </c>
      <c r="AC304" s="133" t="s">
        <v>205</v>
      </c>
    </row>
    <row r="305" spans="2:29" s="28" customFormat="1" ht="57">
      <c r="B305" s="85">
        <v>20240927</v>
      </c>
      <c r="C305" s="53" t="s">
        <v>209</v>
      </c>
      <c r="D305" s="130" t="s">
        <v>165</v>
      </c>
      <c r="E305" s="54" t="s">
        <v>517</v>
      </c>
      <c r="F305" s="130" t="s">
        <v>504</v>
      </c>
      <c r="G305" s="130" t="s">
        <v>157</v>
      </c>
      <c r="H305" s="117">
        <v>80111600</v>
      </c>
      <c r="I305" s="131">
        <v>11</v>
      </c>
      <c r="J305" s="131">
        <v>1</v>
      </c>
      <c r="K305" s="56">
        <v>20</v>
      </c>
      <c r="L305" s="57">
        <f>5166667+3100000</f>
        <v>8266667</v>
      </c>
      <c r="M305" s="130" t="s">
        <v>173</v>
      </c>
      <c r="N305" s="57" t="s">
        <v>114</v>
      </c>
      <c r="O305" s="54" t="s">
        <v>220</v>
      </c>
      <c r="P305" s="132" t="str">
        <f>IFERROR(VLOOKUP(C305,TD!$B$32:$F$36,2,0)," ")</f>
        <v>O230117</v>
      </c>
      <c r="Q305" s="132" t="str">
        <f>IFERROR(VLOOKUP(C305,TD!$B$32:$F$36,3,0)," ")</f>
        <v>4599</v>
      </c>
      <c r="R305" s="132">
        <f>IFERROR(VLOOKUP(C305,TD!$B$32:$F$36,4,0)," ")</f>
        <v>20240207</v>
      </c>
      <c r="S305" s="54" t="s">
        <v>186</v>
      </c>
      <c r="T305" s="132" t="str">
        <f>IFERROR(VLOOKUP(S305,TD!$J$33:$K$43,2,0)," ")</f>
        <v>Infraestructura física, mantenimiento y dotación (Sedes construidas, mantenidas reforzadas)</v>
      </c>
      <c r="U305" s="54" t="str">
        <f t="shared" si="16"/>
        <v>08-Infraestructura física, mantenimiento y dotación (Sedes construidas, mantenidas reforzadas)</v>
      </c>
      <c r="V305" s="54" t="s">
        <v>239</v>
      </c>
      <c r="W305" s="132" t="str">
        <f>IFERROR(VLOOKUP(V305,TD!$N$33:$O$45,2,0)," ")</f>
        <v>Sedes mantenidas</v>
      </c>
      <c r="X305" s="54" t="str">
        <f t="shared" si="17"/>
        <v>016_Sedes mantenidas</v>
      </c>
      <c r="Y305" s="54" t="str">
        <f t="shared" si="18"/>
        <v>08-Infraestructura física, mantenimiento y dotación (Sedes construidas, mantenidas reforzadas) 016_Sedes mantenidas</v>
      </c>
      <c r="Z305" s="132" t="str">
        <f t="shared" si="19"/>
        <v>O23011745992024020708016</v>
      </c>
      <c r="AA305" s="132" t="str">
        <f>IFERROR(VLOOKUP(Y305,TD!$K$46:$L$64,2,0)," ")</f>
        <v>PM/0131/0108/45990160207</v>
      </c>
      <c r="AB305" s="57" t="s">
        <v>139</v>
      </c>
      <c r="AC305" s="133" t="s">
        <v>206</v>
      </c>
    </row>
    <row r="306" spans="2:29" s="28" customFormat="1" ht="57">
      <c r="B306" s="85">
        <v>20240928</v>
      </c>
      <c r="C306" s="53" t="s">
        <v>209</v>
      </c>
      <c r="D306" s="130" t="s">
        <v>165</v>
      </c>
      <c r="E306" s="54" t="s">
        <v>517</v>
      </c>
      <c r="F306" s="130" t="s">
        <v>505</v>
      </c>
      <c r="G306" s="130" t="s">
        <v>157</v>
      </c>
      <c r="H306" s="117">
        <v>80111600</v>
      </c>
      <c r="I306" s="131">
        <v>10</v>
      </c>
      <c r="J306" s="131">
        <v>2</v>
      </c>
      <c r="K306" s="56">
        <v>7</v>
      </c>
      <c r="L306" s="57">
        <f>6923333+3100000</f>
        <v>10023333</v>
      </c>
      <c r="M306" s="130" t="s">
        <v>173</v>
      </c>
      <c r="N306" s="57" t="s">
        <v>114</v>
      </c>
      <c r="O306" s="54" t="s">
        <v>220</v>
      </c>
      <c r="P306" s="132" t="str">
        <f>IFERROR(VLOOKUP(C306,TD!$B$32:$F$36,2,0)," ")</f>
        <v>O230117</v>
      </c>
      <c r="Q306" s="132" t="str">
        <f>IFERROR(VLOOKUP(C306,TD!$B$32:$F$36,3,0)," ")</f>
        <v>4599</v>
      </c>
      <c r="R306" s="132">
        <f>IFERROR(VLOOKUP(C306,TD!$B$32:$F$36,4,0)," ")</f>
        <v>20240207</v>
      </c>
      <c r="S306" s="54" t="s">
        <v>186</v>
      </c>
      <c r="T306" s="132" t="str">
        <f>IFERROR(VLOOKUP(S306,TD!$J$33:$K$43,2,0)," ")</f>
        <v>Infraestructura física, mantenimiento y dotación (Sedes construidas, mantenidas reforzadas)</v>
      </c>
      <c r="U306" s="54" t="str">
        <f t="shared" si="16"/>
        <v>08-Infraestructura física, mantenimiento y dotación (Sedes construidas, mantenidas reforzadas)</v>
      </c>
      <c r="V306" s="54" t="s">
        <v>239</v>
      </c>
      <c r="W306" s="132" t="str">
        <f>IFERROR(VLOOKUP(V306,TD!$N$33:$O$45,2,0)," ")</f>
        <v>Sedes mantenidas</v>
      </c>
      <c r="X306" s="54" t="str">
        <f t="shared" si="17"/>
        <v>016_Sedes mantenidas</v>
      </c>
      <c r="Y306" s="54" t="str">
        <f t="shared" si="18"/>
        <v>08-Infraestructura física, mantenimiento y dotación (Sedes construidas, mantenidas reforzadas) 016_Sedes mantenidas</v>
      </c>
      <c r="Z306" s="132" t="str">
        <f t="shared" si="19"/>
        <v>O23011745992024020708016</v>
      </c>
      <c r="AA306" s="132" t="str">
        <f>IFERROR(VLOOKUP(Y306,TD!$K$46:$L$64,2,0)," ")</f>
        <v>PM/0131/0108/45990160207</v>
      </c>
      <c r="AB306" s="57" t="s">
        <v>139</v>
      </c>
      <c r="AC306" s="133" t="s">
        <v>205</v>
      </c>
    </row>
    <row r="307" spans="2:29" s="28" customFormat="1" ht="57">
      <c r="B307" s="85">
        <v>20240931</v>
      </c>
      <c r="C307" s="53" t="s">
        <v>209</v>
      </c>
      <c r="D307" s="130" t="s">
        <v>165</v>
      </c>
      <c r="E307" s="54" t="s">
        <v>517</v>
      </c>
      <c r="F307" s="130" t="s">
        <v>508</v>
      </c>
      <c r="G307" s="130" t="s">
        <v>157</v>
      </c>
      <c r="H307" s="117">
        <v>80111600</v>
      </c>
      <c r="I307" s="131">
        <v>11</v>
      </c>
      <c r="J307" s="131">
        <v>1</v>
      </c>
      <c r="K307" s="56">
        <v>6</v>
      </c>
      <c r="L307" s="57">
        <f>3720000+3100000</f>
        <v>6820000</v>
      </c>
      <c r="M307" s="130" t="s">
        <v>173</v>
      </c>
      <c r="N307" s="57" t="s">
        <v>114</v>
      </c>
      <c r="O307" s="54" t="s">
        <v>220</v>
      </c>
      <c r="P307" s="132" t="str">
        <f>IFERROR(VLOOKUP(C307,TD!$B$32:$F$36,2,0)," ")</f>
        <v>O230117</v>
      </c>
      <c r="Q307" s="132" t="str">
        <f>IFERROR(VLOOKUP(C307,TD!$B$32:$F$36,3,0)," ")</f>
        <v>4599</v>
      </c>
      <c r="R307" s="132">
        <f>IFERROR(VLOOKUP(C307,TD!$B$32:$F$36,4,0)," ")</f>
        <v>20240207</v>
      </c>
      <c r="S307" s="54" t="s">
        <v>186</v>
      </c>
      <c r="T307" s="132" t="str">
        <f>IFERROR(VLOOKUP(S307,TD!$J$33:$K$43,2,0)," ")</f>
        <v>Infraestructura física, mantenimiento y dotación (Sedes construidas, mantenidas reforzadas)</v>
      </c>
      <c r="U307" s="54" t="str">
        <f t="shared" si="16"/>
        <v>08-Infraestructura física, mantenimiento y dotación (Sedes construidas, mantenidas reforzadas)</v>
      </c>
      <c r="V307" s="54" t="s">
        <v>239</v>
      </c>
      <c r="W307" s="132" t="str">
        <f>IFERROR(VLOOKUP(V307,TD!$N$33:$O$45,2,0)," ")</f>
        <v>Sedes mantenidas</v>
      </c>
      <c r="X307" s="54" t="str">
        <f t="shared" si="17"/>
        <v>016_Sedes mantenidas</v>
      </c>
      <c r="Y307" s="54" t="str">
        <f t="shared" si="18"/>
        <v>08-Infraestructura física, mantenimiento y dotación (Sedes construidas, mantenidas reforzadas) 016_Sedes mantenidas</v>
      </c>
      <c r="Z307" s="132" t="str">
        <f t="shared" si="19"/>
        <v>O23011745992024020708016</v>
      </c>
      <c r="AA307" s="132" t="str">
        <f>IFERROR(VLOOKUP(Y307,TD!$K$46:$L$64,2,0)," ")</f>
        <v>PM/0131/0108/45990160207</v>
      </c>
      <c r="AB307" s="57" t="s">
        <v>139</v>
      </c>
      <c r="AC307" s="133" t="s">
        <v>206</v>
      </c>
    </row>
    <row r="308" spans="2:29" s="28" customFormat="1" ht="57">
      <c r="B308" s="85">
        <v>20240932</v>
      </c>
      <c r="C308" s="53" t="s">
        <v>209</v>
      </c>
      <c r="D308" s="130" t="s">
        <v>165</v>
      </c>
      <c r="E308" s="54" t="s">
        <v>517</v>
      </c>
      <c r="F308" s="130" t="s">
        <v>509</v>
      </c>
      <c r="G308" s="130" t="s">
        <v>157</v>
      </c>
      <c r="H308" s="117">
        <v>80111600</v>
      </c>
      <c r="I308" s="131">
        <v>12</v>
      </c>
      <c r="J308" s="131">
        <v>0</v>
      </c>
      <c r="K308" s="56">
        <v>27</v>
      </c>
      <c r="L308" s="57">
        <f>5192208+5800000</f>
        <v>10992208</v>
      </c>
      <c r="M308" s="130" t="s">
        <v>173</v>
      </c>
      <c r="N308" s="57" t="s">
        <v>114</v>
      </c>
      <c r="O308" s="54" t="s">
        <v>220</v>
      </c>
      <c r="P308" s="132" t="str">
        <f>IFERROR(VLOOKUP(C308,TD!$B$32:$F$36,2,0)," ")</f>
        <v>O230117</v>
      </c>
      <c r="Q308" s="132" t="str">
        <f>IFERROR(VLOOKUP(C308,TD!$B$32:$F$36,3,0)," ")</f>
        <v>4599</v>
      </c>
      <c r="R308" s="132">
        <f>IFERROR(VLOOKUP(C308,TD!$B$32:$F$36,4,0)," ")</f>
        <v>20240207</v>
      </c>
      <c r="S308" s="54" t="s">
        <v>186</v>
      </c>
      <c r="T308" s="132" t="str">
        <f>IFERROR(VLOOKUP(S308,TD!$J$33:$K$43,2,0)," ")</f>
        <v>Infraestructura física, mantenimiento y dotación (Sedes construidas, mantenidas reforzadas)</v>
      </c>
      <c r="U308" s="54" t="str">
        <f t="shared" si="16"/>
        <v>08-Infraestructura física, mantenimiento y dotación (Sedes construidas, mantenidas reforzadas)</v>
      </c>
      <c r="V308" s="54" t="s">
        <v>239</v>
      </c>
      <c r="W308" s="132" t="str">
        <f>IFERROR(VLOOKUP(V308,TD!$N$33:$O$45,2,0)," ")</f>
        <v>Sedes mantenidas</v>
      </c>
      <c r="X308" s="54" t="str">
        <f t="shared" si="17"/>
        <v>016_Sedes mantenidas</v>
      </c>
      <c r="Y308" s="54" t="str">
        <f t="shared" si="18"/>
        <v>08-Infraestructura física, mantenimiento y dotación (Sedes construidas, mantenidas reforzadas) 016_Sedes mantenidas</v>
      </c>
      <c r="Z308" s="132" t="str">
        <f t="shared" si="19"/>
        <v>O23011745992024020708016</v>
      </c>
      <c r="AA308" s="132" t="str">
        <f>IFERROR(VLOOKUP(Y308,TD!$K$46:$L$64,2,0)," ")</f>
        <v>PM/0131/0108/45990160207</v>
      </c>
      <c r="AB308" s="57" t="s">
        <v>139</v>
      </c>
      <c r="AC308" s="133" t="s">
        <v>206</v>
      </c>
    </row>
    <row r="309" spans="2:29" s="28" customFormat="1" ht="57">
      <c r="B309" s="85">
        <v>20240939</v>
      </c>
      <c r="C309" s="53" t="s">
        <v>209</v>
      </c>
      <c r="D309" s="130" t="s">
        <v>165</v>
      </c>
      <c r="E309" s="54" t="s">
        <v>517</v>
      </c>
      <c r="F309" s="130" t="s">
        <v>507</v>
      </c>
      <c r="G309" s="130" t="s">
        <v>157</v>
      </c>
      <c r="H309" s="117">
        <v>80111600</v>
      </c>
      <c r="I309" s="131">
        <v>8</v>
      </c>
      <c r="J309" s="131">
        <v>3</v>
      </c>
      <c r="K309" s="56">
        <v>15</v>
      </c>
      <c r="L309" s="57">
        <v>10850000</v>
      </c>
      <c r="M309" s="130" t="s">
        <v>173</v>
      </c>
      <c r="N309" s="57" t="s">
        <v>114</v>
      </c>
      <c r="O309" s="54" t="s">
        <v>220</v>
      </c>
      <c r="P309" s="132" t="str">
        <f>IFERROR(VLOOKUP(C309,TD!$B$32:$F$36,2,0)," ")</f>
        <v>O230117</v>
      </c>
      <c r="Q309" s="132" t="str">
        <f>IFERROR(VLOOKUP(C309,TD!$B$32:$F$36,3,0)," ")</f>
        <v>4599</v>
      </c>
      <c r="R309" s="132">
        <f>IFERROR(VLOOKUP(C309,TD!$B$32:$F$36,4,0)," ")</f>
        <v>20240207</v>
      </c>
      <c r="S309" s="54" t="s">
        <v>186</v>
      </c>
      <c r="T309" s="132" t="str">
        <f>IFERROR(VLOOKUP(S309,TD!$J$33:$K$43,2,0)," ")</f>
        <v>Infraestructura física, mantenimiento y dotación (Sedes construidas, mantenidas reforzadas)</v>
      </c>
      <c r="U309" s="54" t="str">
        <f t="shared" si="16"/>
        <v>08-Infraestructura física, mantenimiento y dotación (Sedes construidas, mantenidas reforzadas)</v>
      </c>
      <c r="V309" s="54" t="s">
        <v>239</v>
      </c>
      <c r="W309" s="132" t="str">
        <f>IFERROR(VLOOKUP(V309,TD!$N$33:$O$45,2,0)," ")</f>
        <v>Sedes mantenidas</v>
      </c>
      <c r="X309" s="54" t="str">
        <f t="shared" si="17"/>
        <v>016_Sedes mantenidas</v>
      </c>
      <c r="Y309" s="54" t="str">
        <f t="shared" si="18"/>
        <v>08-Infraestructura física, mantenimiento y dotación (Sedes construidas, mantenidas reforzadas) 016_Sedes mantenidas</v>
      </c>
      <c r="Z309" s="132" t="str">
        <f t="shared" si="19"/>
        <v>O23011745992024020708016</v>
      </c>
      <c r="AA309" s="132" t="str">
        <f>IFERROR(VLOOKUP(Y309,TD!$K$46:$L$64,2,0)," ")</f>
        <v>PM/0131/0108/45990160207</v>
      </c>
      <c r="AB309" s="57" t="s">
        <v>139</v>
      </c>
      <c r="AC309" s="133" t="s">
        <v>205</v>
      </c>
    </row>
    <row r="310" spans="2:29" s="28" customFormat="1" ht="57">
      <c r="B310" s="85">
        <v>20240940</v>
      </c>
      <c r="C310" s="53" t="s">
        <v>210</v>
      </c>
      <c r="D310" s="130" t="s">
        <v>170</v>
      </c>
      <c r="E310" s="54" t="s">
        <v>456</v>
      </c>
      <c r="F310" s="130" t="s">
        <v>457</v>
      </c>
      <c r="G310" s="130" t="s">
        <v>157</v>
      </c>
      <c r="H310" s="117">
        <v>80111600</v>
      </c>
      <c r="I310" s="131">
        <v>8</v>
      </c>
      <c r="J310" s="131">
        <v>5</v>
      </c>
      <c r="K310" s="56">
        <v>8</v>
      </c>
      <c r="L310" s="57">
        <v>12113333</v>
      </c>
      <c r="M310" s="130" t="s">
        <v>173</v>
      </c>
      <c r="N310" s="57" t="s">
        <v>114</v>
      </c>
      <c r="O310" s="54" t="s">
        <v>223</v>
      </c>
      <c r="P310" s="132" t="str">
        <f>IFERROR(VLOOKUP(C310,TD!$B$32:$F$36,2,0)," ")</f>
        <v>O230117</v>
      </c>
      <c r="Q310" s="132" t="str">
        <f>IFERROR(VLOOKUP(C310,TD!$B$32:$F$36,3,0)," ")</f>
        <v>4503</v>
      </c>
      <c r="R310" s="132">
        <f>IFERROR(VLOOKUP(C310,TD!$B$32:$F$36,4,0)," ")</f>
        <v>20240255</v>
      </c>
      <c r="S310" s="54" t="s">
        <v>176</v>
      </c>
      <c r="T310" s="132" t="str">
        <f>IFERROR(VLOOKUP(S310,TD!$J$33:$K$43,2,0)," ")</f>
        <v>Servicio de atención a incidentes y emergencias.</v>
      </c>
      <c r="U310" s="54" t="str">
        <f t="shared" si="16"/>
        <v>04-Servicio de atención a incidentes y emergencias.</v>
      </c>
      <c r="V310" s="54" t="s">
        <v>233</v>
      </c>
      <c r="W310" s="132" t="str">
        <f>IFERROR(VLOOKUP(V310,TD!$N$33:$O$45,2,0)," ")</f>
        <v>Servicio de atención a emergencias y desastres</v>
      </c>
      <c r="X310" s="54" t="str">
        <f t="shared" si="17"/>
        <v>004_Servicio de atención a emergencias y desastres</v>
      </c>
      <c r="Y310" s="54" t="str">
        <f t="shared" si="18"/>
        <v>04-Servicio de atención a incidentes y emergencias. 004_Servicio de atención a emergencias y desastres</v>
      </c>
      <c r="Z310" s="132" t="str">
        <f t="shared" si="19"/>
        <v>O23011745032024025504004</v>
      </c>
      <c r="AA310" s="132" t="str">
        <f>IFERROR(VLOOKUP(Y310,TD!$K$46:$L$64,2,0)," ")</f>
        <v>PM/0131/0104/45030040255</v>
      </c>
      <c r="AB310" s="57" t="s">
        <v>139</v>
      </c>
      <c r="AC310" s="133" t="s">
        <v>205</v>
      </c>
    </row>
    <row r="311" spans="2:29" s="28" customFormat="1" ht="57">
      <c r="B311" s="85">
        <v>20240941</v>
      </c>
      <c r="C311" s="53" t="s">
        <v>210</v>
      </c>
      <c r="D311" s="130" t="s">
        <v>170</v>
      </c>
      <c r="E311" s="54" t="s">
        <v>456</v>
      </c>
      <c r="F311" s="130" t="s">
        <v>457</v>
      </c>
      <c r="G311" s="130" t="s">
        <v>157</v>
      </c>
      <c r="H311" s="117">
        <v>80111600</v>
      </c>
      <c r="I311" s="131">
        <v>8</v>
      </c>
      <c r="J311" s="131">
        <v>5</v>
      </c>
      <c r="K311" s="56">
        <v>15</v>
      </c>
      <c r="L311" s="57">
        <v>12650000</v>
      </c>
      <c r="M311" s="130" t="s">
        <v>173</v>
      </c>
      <c r="N311" s="57" t="s">
        <v>114</v>
      </c>
      <c r="O311" s="54" t="s">
        <v>223</v>
      </c>
      <c r="P311" s="132" t="str">
        <f>IFERROR(VLOOKUP(C311,TD!$B$32:$F$36,2,0)," ")</f>
        <v>O230117</v>
      </c>
      <c r="Q311" s="132" t="str">
        <f>IFERROR(VLOOKUP(C311,TD!$B$32:$F$36,3,0)," ")</f>
        <v>4503</v>
      </c>
      <c r="R311" s="132">
        <f>IFERROR(VLOOKUP(C311,TD!$B$32:$F$36,4,0)," ")</f>
        <v>20240255</v>
      </c>
      <c r="S311" s="54" t="s">
        <v>176</v>
      </c>
      <c r="T311" s="132" t="str">
        <f>IFERROR(VLOOKUP(S311,TD!$J$33:$K$43,2,0)," ")</f>
        <v>Servicio de atención a incidentes y emergencias.</v>
      </c>
      <c r="U311" s="54" t="str">
        <f t="shared" si="16"/>
        <v>04-Servicio de atención a incidentes y emergencias.</v>
      </c>
      <c r="V311" s="54" t="s">
        <v>233</v>
      </c>
      <c r="W311" s="132" t="str">
        <f>IFERROR(VLOOKUP(V311,TD!$N$33:$O$45,2,0)," ")</f>
        <v>Servicio de atención a emergencias y desastres</v>
      </c>
      <c r="X311" s="54" t="str">
        <f t="shared" si="17"/>
        <v>004_Servicio de atención a emergencias y desastres</v>
      </c>
      <c r="Y311" s="54" t="str">
        <f t="shared" si="18"/>
        <v>04-Servicio de atención a incidentes y emergencias. 004_Servicio de atención a emergencias y desastres</v>
      </c>
      <c r="Z311" s="132" t="str">
        <f t="shared" si="19"/>
        <v>O23011745032024025504004</v>
      </c>
      <c r="AA311" s="132" t="str">
        <f>IFERROR(VLOOKUP(Y311,TD!$K$46:$L$64,2,0)," ")</f>
        <v>PM/0131/0104/45030040255</v>
      </c>
      <c r="AB311" s="57" t="s">
        <v>139</v>
      </c>
      <c r="AC311" s="133" t="s">
        <v>205</v>
      </c>
    </row>
    <row r="312" spans="2:29" s="28" customFormat="1" ht="57">
      <c r="B312" s="85">
        <v>20240942</v>
      </c>
      <c r="C312" s="53" t="s">
        <v>210</v>
      </c>
      <c r="D312" s="130" t="s">
        <v>170</v>
      </c>
      <c r="E312" s="54" t="s">
        <v>456</v>
      </c>
      <c r="F312" s="130" t="s">
        <v>457</v>
      </c>
      <c r="G312" s="130" t="s">
        <v>157</v>
      </c>
      <c r="H312" s="117">
        <v>80111600</v>
      </c>
      <c r="I312" s="131">
        <v>8</v>
      </c>
      <c r="J312" s="131">
        <v>5</v>
      </c>
      <c r="K312" s="56">
        <v>15</v>
      </c>
      <c r="L312" s="57">
        <v>12650000</v>
      </c>
      <c r="M312" s="130" t="s">
        <v>173</v>
      </c>
      <c r="N312" s="57" t="s">
        <v>114</v>
      </c>
      <c r="O312" s="54" t="s">
        <v>223</v>
      </c>
      <c r="P312" s="132" t="str">
        <f>IFERROR(VLOOKUP(C312,TD!$B$32:$F$36,2,0)," ")</f>
        <v>O230117</v>
      </c>
      <c r="Q312" s="132" t="str">
        <f>IFERROR(VLOOKUP(C312,TD!$B$32:$F$36,3,0)," ")</f>
        <v>4503</v>
      </c>
      <c r="R312" s="132">
        <f>IFERROR(VLOOKUP(C312,TD!$B$32:$F$36,4,0)," ")</f>
        <v>20240255</v>
      </c>
      <c r="S312" s="54" t="s">
        <v>176</v>
      </c>
      <c r="T312" s="132" t="str">
        <f>IFERROR(VLOOKUP(S312,TD!$J$33:$K$43,2,0)," ")</f>
        <v>Servicio de atención a incidentes y emergencias.</v>
      </c>
      <c r="U312" s="54" t="str">
        <f t="shared" si="16"/>
        <v>04-Servicio de atención a incidentes y emergencias.</v>
      </c>
      <c r="V312" s="54" t="s">
        <v>233</v>
      </c>
      <c r="W312" s="132" t="str">
        <f>IFERROR(VLOOKUP(V312,TD!$N$33:$O$45,2,0)," ")</f>
        <v>Servicio de atención a emergencias y desastres</v>
      </c>
      <c r="X312" s="54" t="str">
        <f t="shared" si="17"/>
        <v>004_Servicio de atención a emergencias y desastres</v>
      </c>
      <c r="Y312" s="54" t="str">
        <f t="shared" si="18"/>
        <v>04-Servicio de atención a incidentes y emergencias. 004_Servicio de atención a emergencias y desastres</v>
      </c>
      <c r="Z312" s="132" t="str">
        <f t="shared" si="19"/>
        <v>O23011745032024025504004</v>
      </c>
      <c r="AA312" s="132" t="str">
        <f>IFERROR(VLOOKUP(Y312,TD!$K$46:$L$64,2,0)," ")</f>
        <v>PM/0131/0104/45030040255</v>
      </c>
      <c r="AB312" s="57" t="s">
        <v>139</v>
      </c>
      <c r="AC312" s="133" t="s">
        <v>205</v>
      </c>
    </row>
    <row r="313" spans="2:29" s="28" customFormat="1" ht="57">
      <c r="B313" s="85">
        <v>20240943</v>
      </c>
      <c r="C313" s="53" t="s">
        <v>210</v>
      </c>
      <c r="D313" s="130" t="s">
        <v>170</v>
      </c>
      <c r="E313" s="54" t="s">
        <v>456</v>
      </c>
      <c r="F313" s="130" t="s">
        <v>457</v>
      </c>
      <c r="G313" s="130" t="s">
        <v>157</v>
      </c>
      <c r="H313" s="117">
        <v>80111600</v>
      </c>
      <c r="I313" s="131">
        <v>8</v>
      </c>
      <c r="J313" s="131">
        <v>5</v>
      </c>
      <c r="K313" s="56">
        <v>15</v>
      </c>
      <c r="L313" s="57">
        <v>12650000</v>
      </c>
      <c r="M313" s="130" t="s">
        <v>173</v>
      </c>
      <c r="N313" s="57" t="s">
        <v>114</v>
      </c>
      <c r="O313" s="54" t="s">
        <v>223</v>
      </c>
      <c r="P313" s="132" t="str">
        <f>IFERROR(VLOOKUP(C313,TD!$B$32:$F$36,2,0)," ")</f>
        <v>O230117</v>
      </c>
      <c r="Q313" s="132" t="str">
        <f>IFERROR(VLOOKUP(C313,TD!$B$32:$F$36,3,0)," ")</f>
        <v>4503</v>
      </c>
      <c r="R313" s="132">
        <f>IFERROR(VLOOKUP(C313,TD!$B$32:$F$36,4,0)," ")</f>
        <v>20240255</v>
      </c>
      <c r="S313" s="54" t="s">
        <v>176</v>
      </c>
      <c r="T313" s="132" t="str">
        <f>IFERROR(VLOOKUP(S313,TD!$J$33:$K$43,2,0)," ")</f>
        <v>Servicio de atención a incidentes y emergencias.</v>
      </c>
      <c r="U313" s="54" t="str">
        <f t="shared" si="16"/>
        <v>04-Servicio de atención a incidentes y emergencias.</v>
      </c>
      <c r="V313" s="54" t="s">
        <v>233</v>
      </c>
      <c r="W313" s="132" t="str">
        <f>IFERROR(VLOOKUP(V313,TD!$N$33:$O$45,2,0)," ")</f>
        <v>Servicio de atención a emergencias y desastres</v>
      </c>
      <c r="X313" s="54" t="str">
        <f t="shared" si="17"/>
        <v>004_Servicio de atención a emergencias y desastres</v>
      </c>
      <c r="Y313" s="54" t="str">
        <f t="shared" si="18"/>
        <v>04-Servicio de atención a incidentes y emergencias. 004_Servicio de atención a emergencias y desastres</v>
      </c>
      <c r="Z313" s="132" t="str">
        <f t="shared" si="19"/>
        <v>O23011745032024025504004</v>
      </c>
      <c r="AA313" s="132" t="str">
        <f>IFERROR(VLOOKUP(Y313,TD!$K$46:$L$64,2,0)," ")</f>
        <v>PM/0131/0104/45030040255</v>
      </c>
      <c r="AB313" s="57" t="s">
        <v>139</v>
      </c>
      <c r="AC313" s="133" t="s">
        <v>205</v>
      </c>
    </row>
    <row r="314" spans="2:29" s="28" customFormat="1" ht="57">
      <c r="B314" s="85">
        <v>20240944</v>
      </c>
      <c r="C314" s="53" t="s">
        <v>210</v>
      </c>
      <c r="D314" s="130" t="s">
        <v>170</v>
      </c>
      <c r="E314" s="54" t="s">
        <v>456</v>
      </c>
      <c r="F314" s="130" t="s">
        <v>457</v>
      </c>
      <c r="G314" s="130" t="s">
        <v>157</v>
      </c>
      <c r="H314" s="117">
        <v>80111600</v>
      </c>
      <c r="I314" s="131">
        <v>8</v>
      </c>
      <c r="J314" s="131">
        <v>5</v>
      </c>
      <c r="K314" s="56">
        <v>15</v>
      </c>
      <c r="L314" s="57">
        <v>12650000</v>
      </c>
      <c r="M314" s="130" t="s">
        <v>173</v>
      </c>
      <c r="N314" s="57" t="s">
        <v>114</v>
      </c>
      <c r="O314" s="54" t="s">
        <v>223</v>
      </c>
      <c r="P314" s="132" t="str">
        <f>IFERROR(VLOOKUP(C314,TD!$B$32:$F$36,2,0)," ")</f>
        <v>O230117</v>
      </c>
      <c r="Q314" s="132" t="str">
        <f>IFERROR(VLOOKUP(C314,TD!$B$32:$F$36,3,0)," ")</f>
        <v>4503</v>
      </c>
      <c r="R314" s="132">
        <f>IFERROR(VLOOKUP(C314,TD!$B$32:$F$36,4,0)," ")</f>
        <v>20240255</v>
      </c>
      <c r="S314" s="54" t="s">
        <v>176</v>
      </c>
      <c r="T314" s="132" t="str">
        <f>IFERROR(VLOOKUP(S314,TD!$J$33:$K$43,2,0)," ")</f>
        <v>Servicio de atención a incidentes y emergencias.</v>
      </c>
      <c r="U314" s="54" t="str">
        <f t="shared" si="16"/>
        <v>04-Servicio de atención a incidentes y emergencias.</v>
      </c>
      <c r="V314" s="54" t="s">
        <v>233</v>
      </c>
      <c r="W314" s="132" t="str">
        <f>IFERROR(VLOOKUP(V314,TD!$N$33:$O$45,2,0)," ")</f>
        <v>Servicio de atención a emergencias y desastres</v>
      </c>
      <c r="X314" s="54" t="str">
        <f t="shared" si="17"/>
        <v>004_Servicio de atención a emergencias y desastres</v>
      </c>
      <c r="Y314" s="54" t="str">
        <f t="shared" si="18"/>
        <v>04-Servicio de atención a incidentes y emergencias. 004_Servicio de atención a emergencias y desastres</v>
      </c>
      <c r="Z314" s="132" t="str">
        <f t="shared" si="19"/>
        <v>O23011745032024025504004</v>
      </c>
      <c r="AA314" s="132" t="str">
        <f>IFERROR(VLOOKUP(Y314,TD!$K$46:$L$64,2,0)," ")</f>
        <v>PM/0131/0104/45030040255</v>
      </c>
      <c r="AB314" s="57" t="s">
        <v>139</v>
      </c>
      <c r="AC314" s="133" t="s">
        <v>205</v>
      </c>
    </row>
    <row r="315" spans="2:29" s="28" customFormat="1" ht="57">
      <c r="B315" s="85">
        <v>20240945</v>
      </c>
      <c r="C315" s="53" t="s">
        <v>210</v>
      </c>
      <c r="D315" s="130" t="s">
        <v>170</v>
      </c>
      <c r="E315" s="54" t="s">
        <v>456</v>
      </c>
      <c r="F315" s="130" t="s">
        <v>457</v>
      </c>
      <c r="G315" s="130" t="s">
        <v>157</v>
      </c>
      <c r="H315" s="117">
        <v>80111600</v>
      </c>
      <c r="I315" s="131">
        <v>8</v>
      </c>
      <c r="J315" s="131">
        <v>5</v>
      </c>
      <c r="K315" s="56">
        <v>15</v>
      </c>
      <c r="L315" s="57">
        <v>12650000</v>
      </c>
      <c r="M315" s="130" t="s">
        <v>173</v>
      </c>
      <c r="N315" s="57" t="s">
        <v>114</v>
      </c>
      <c r="O315" s="54" t="s">
        <v>223</v>
      </c>
      <c r="P315" s="132" t="str">
        <f>IFERROR(VLOOKUP(C315,TD!$B$32:$F$36,2,0)," ")</f>
        <v>O230117</v>
      </c>
      <c r="Q315" s="132" t="str">
        <f>IFERROR(VLOOKUP(C315,TD!$B$32:$F$36,3,0)," ")</f>
        <v>4503</v>
      </c>
      <c r="R315" s="132">
        <f>IFERROR(VLOOKUP(C315,TD!$B$32:$F$36,4,0)," ")</f>
        <v>20240255</v>
      </c>
      <c r="S315" s="54" t="s">
        <v>176</v>
      </c>
      <c r="T315" s="132" t="str">
        <f>IFERROR(VLOOKUP(S315,TD!$J$33:$K$43,2,0)," ")</f>
        <v>Servicio de atención a incidentes y emergencias.</v>
      </c>
      <c r="U315" s="54" t="str">
        <f t="shared" si="16"/>
        <v>04-Servicio de atención a incidentes y emergencias.</v>
      </c>
      <c r="V315" s="54" t="s">
        <v>233</v>
      </c>
      <c r="W315" s="132" t="str">
        <f>IFERROR(VLOOKUP(V315,TD!$N$33:$O$45,2,0)," ")</f>
        <v>Servicio de atención a emergencias y desastres</v>
      </c>
      <c r="X315" s="54" t="str">
        <f t="shared" si="17"/>
        <v>004_Servicio de atención a emergencias y desastres</v>
      </c>
      <c r="Y315" s="54" t="str">
        <f t="shared" si="18"/>
        <v>04-Servicio de atención a incidentes y emergencias. 004_Servicio de atención a emergencias y desastres</v>
      </c>
      <c r="Z315" s="132" t="str">
        <f t="shared" si="19"/>
        <v>O23011745032024025504004</v>
      </c>
      <c r="AA315" s="132" t="str">
        <f>IFERROR(VLOOKUP(Y315,TD!$K$46:$L$64,2,0)," ")</f>
        <v>PM/0131/0104/45030040255</v>
      </c>
      <c r="AB315" s="57" t="s">
        <v>139</v>
      </c>
      <c r="AC315" s="133" t="s">
        <v>205</v>
      </c>
    </row>
    <row r="316" spans="2:29" s="28" customFormat="1" ht="57">
      <c r="B316" s="85">
        <v>20240946</v>
      </c>
      <c r="C316" s="53" t="s">
        <v>210</v>
      </c>
      <c r="D316" s="130" t="s">
        <v>170</v>
      </c>
      <c r="E316" s="54" t="s">
        <v>456</v>
      </c>
      <c r="F316" s="130" t="s">
        <v>457</v>
      </c>
      <c r="G316" s="130" t="s">
        <v>157</v>
      </c>
      <c r="H316" s="117">
        <v>80111600</v>
      </c>
      <c r="I316" s="131">
        <v>8</v>
      </c>
      <c r="J316" s="131">
        <v>5</v>
      </c>
      <c r="K316" s="56">
        <v>15</v>
      </c>
      <c r="L316" s="57">
        <v>12650000</v>
      </c>
      <c r="M316" s="130" t="s">
        <v>173</v>
      </c>
      <c r="N316" s="57" t="s">
        <v>114</v>
      </c>
      <c r="O316" s="54" t="s">
        <v>223</v>
      </c>
      <c r="P316" s="132" t="str">
        <f>IFERROR(VLOOKUP(C316,TD!$B$32:$F$36,2,0)," ")</f>
        <v>O230117</v>
      </c>
      <c r="Q316" s="132" t="str">
        <f>IFERROR(VLOOKUP(C316,TD!$B$32:$F$36,3,0)," ")</f>
        <v>4503</v>
      </c>
      <c r="R316" s="132">
        <f>IFERROR(VLOOKUP(C316,TD!$B$32:$F$36,4,0)," ")</f>
        <v>20240255</v>
      </c>
      <c r="S316" s="54" t="s">
        <v>176</v>
      </c>
      <c r="T316" s="132" t="str">
        <f>IFERROR(VLOOKUP(S316,TD!$J$33:$K$43,2,0)," ")</f>
        <v>Servicio de atención a incidentes y emergencias.</v>
      </c>
      <c r="U316" s="54" t="str">
        <f t="shared" si="16"/>
        <v>04-Servicio de atención a incidentes y emergencias.</v>
      </c>
      <c r="V316" s="54" t="s">
        <v>233</v>
      </c>
      <c r="W316" s="132" t="str">
        <f>IFERROR(VLOOKUP(V316,TD!$N$33:$O$45,2,0)," ")</f>
        <v>Servicio de atención a emergencias y desastres</v>
      </c>
      <c r="X316" s="54" t="str">
        <f t="shared" si="17"/>
        <v>004_Servicio de atención a emergencias y desastres</v>
      </c>
      <c r="Y316" s="54" t="str">
        <f t="shared" si="18"/>
        <v>04-Servicio de atención a incidentes y emergencias. 004_Servicio de atención a emergencias y desastres</v>
      </c>
      <c r="Z316" s="132" t="str">
        <f t="shared" si="19"/>
        <v>O23011745032024025504004</v>
      </c>
      <c r="AA316" s="132" t="str">
        <f>IFERROR(VLOOKUP(Y316,TD!$K$46:$L$64,2,0)," ")</f>
        <v>PM/0131/0104/45030040255</v>
      </c>
      <c r="AB316" s="57" t="s">
        <v>139</v>
      </c>
      <c r="AC316" s="133" t="s">
        <v>205</v>
      </c>
    </row>
    <row r="317" spans="2:29" s="28" customFormat="1" ht="57">
      <c r="B317" s="85">
        <v>20240947</v>
      </c>
      <c r="C317" s="53" t="s">
        <v>210</v>
      </c>
      <c r="D317" s="130" t="s">
        <v>170</v>
      </c>
      <c r="E317" s="54" t="s">
        <v>456</v>
      </c>
      <c r="F317" s="130" t="s">
        <v>457</v>
      </c>
      <c r="G317" s="130" t="s">
        <v>157</v>
      </c>
      <c r="H317" s="117">
        <v>80111600</v>
      </c>
      <c r="I317" s="131">
        <v>8</v>
      </c>
      <c r="J317" s="131">
        <v>5</v>
      </c>
      <c r="K317" s="56">
        <v>15</v>
      </c>
      <c r="L317" s="57">
        <v>12650000</v>
      </c>
      <c r="M317" s="130" t="s">
        <v>173</v>
      </c>
      <c r="N317" s="57" t="s">
        <v>114</v>
      </c>
      <c r="O317" s="54" t="s">
        <v>223</v>
      </c>
      <c r="P317" s="132" t="str">
        <f>IFERROR(VLOOKUP(C317,TD!$B$32:$F$36,2,0)," ")</f>
        <v>O230117</v>
      </c>
      <c r="Q317" s="132" t="str">
        <f>IFERROR(VLOOKUP(C317,TD!$B$32:$F$36,3,0)," ")</f>
        <v>4503</v>
      </c>
      <c r="R317" s="132">
        <f>IFERROR(VLOOKUP(C317,TD!$B$32:$F$36,4,0)," ")</f>
        <v>20240255</v>
      </c>
      <c r="S317" s="54" t="s">
        <v>176</v>
      </c>
      <c r="T317" s="132" t="str">
        <f>IFERROR(VLOOKUP(S317,TD!$J$33:$K$43,2,0)," ")</f>
        <v>Servicio de atención a incidentes y emergencias.</v>
      </c>
      <c r="U317" s="54" t="str">
        <f t="shared" si="16"/>
        <v>04-Servicio de atención a incidentes y emergencias.</v>
      </c>
      <c r="V317" s="54" t="s">
        <v>233</v>
      </c>
      <c r="W317" s="132" t="str">
        <f>IFERROR(VLOOKUP(V317,TD!$N$33:$O$45,2,0)," ")</f>
        <v>Servicio de atención a emergencias y desastres</v>
      </c>
      <c r="X317" s="54" t="str">
        <f t="shared" si="17"/>
        <v>004_Servicio de atención a emergencias y desastres</v>
      </c>
      <c r="Y317" s="54" t="str">
        <f t="shared" si="18"/>
        <v>04-Servicio de atención a incidentes y emergencias. 004_Servicio de atención a emergencias y desastres</v>
      </c>
      <c r="Z317" s="132" t="str">
        <f t="shared" si="19"/>
        <v>O23011745032024025504004</v>
      </c>
      <c r="AA317" s="132" t="str">
        <f>IFERROR(VLOOKUP(Y317,TD!$K$46:$L$64,2,0)," ")</f>
        <v>PM/0131/0104/45030040255</v>
      </c>
      <c r="AB317" s="57" t="s">
        <v>139</v>
      </c>
      <c r="AC317" s="133" t="s">
        <v>205</v>
      </c>
    </row>
    <row r="318" spans="2:29" s="28" customFormat="1" ht="57">
      <c r="B318" s="85">
        <v>20240948</v>
      </c>
      <c r="C318" s="53" t="s">
        <v>210</v>
      </c>
      <c r="D318" s="130" t="s">
        <v>170</v>
      </c>
      <c r="E318" s="54" t="s">
        <v>456</v>
      </c>
      <c r="F318" s="130" t="s">
        <v>457</v>
      </c>
      <c r="G318" s="130" t="s">
        <v>157</v>
      </c>
      <c r="H318" s="117">
        <v>80111600</v>
      </c>
      <c r="I318" s="131">
        <v>8</v>
      </c>
      <c r="J318" s="131">
        <v>5</v>
      </c>
      <c r="K318" s="56">
        <v>15</v>
      </c>
      <c r="L318" s="57">
        <v>12650000</v>
      </c>
      <c r="M318" s="130" t="s">
        <v>173</v>
      </c>
      <c r="N318" s="57" t="s">
        <v>114</v>
      </c>
      <c r="O318" s="54" t="s">
        <v>223</v>
      </c>
      <c r="P318" s="132" t="str">
        <f>IFERROR(VLOOKUP(C318,TD!$B$32:$F$36,2,0)," ")</f>
        <v>O230117</v>
      </c>
      <c r="Q318" s="132" t="str">
        <f>IFERROR(VLOOKUP(C318,TD!$B$32:$F$36,3,0)," ")</f>
        <v>4503</v>
      </c>
      <c r="R318" s="132">
        <f>IFERROR(VLOOKUP(C318,TD!$B$32:$F$36,4,0)," ")</f>
        <v>20240255</v>
      </c>
      <c r="S318" s="54" t="s">
        <v>176</v>
      </c>
      <c r="T318" s="132" t="str">
        <f>IFERROR(VLOOKUP(S318,TD!$J$33:$K$43,2,0)," ")</f>
        <v>Servicio de atención a incidentes y emergencias.</v>
      </c>
      <c r="U318" s="54" t="str">
        <f t="shared" si="16"/>
        <v>04-Servicio de atención a incidentes y emergencias.</v>
      </c>
      <c r="V318" s="54" t="s">
        <v>233</v>
      </c>
      <c r="W318" s="132" t="str">
        <f>IFERROR(VLOOKUP(V318,TD!$N$33:$O$45,2,0)," ")</f>
        <v>Servicio de atención a emergencias y desastres</v>
      </c>
      <c r="X318" s="54" t="str">
        <f t="shared" si="17"/>
        <v>004_Servicio de atención a emergencias y desastres</v>
      </c>
      <c r="Y318" s="54" t="str">
        <f t="shared" si="18"/>
        <v>04-Servicio de atención a incidentes y emergencias. 004_Servicio de atención a emergencias y desastres</v>
      </c>
      <c r="Z318" s="132" t="str">
        <f t="shared" si="19"/>
        <v>O23011745032024025504004</v>
      </c>
      <c r="AA318" s="132" t="str">
        <f>IFERROR(VLOOKUP(Y318,TD!$K$46:$L$64,2,0)," ")</f>
        <v>PM/0131/0104/45030040255</v>
      </c>
      <c r="AB318" s="57" t="s">
        <v>139</v>
      </c>
      <c r="AC318" s="133" t="s">
        <v>205</v>
      </c>
    </row>
    <row r="319" spans="2:29" s="28" customFormat="1" ht="57">
      <c r="B319" s="85">
        <v>20240949</v>
      </c>
      <c r="C319" s="53" t="s">
        <v>210</v>
      </c>
      <c r="D319" s="130" t="s">
        <v>170</v>
      </c>
      <c r="E319" s="54" t="s">
        <v>456</v>
      </c>
      <c r="F319" s="130" t="s">
        <v>457</v>
      </c>
      <c r="G319" s="130" t="s">
        <v>157</v>
      </c>
      <c r="H319" s="117">
        <v>80111600</v>
      </c>
      <c r="I319" s="131">
        <v>8</v>
      </c>
      <c r="J319" s="131">
        <v>5</v>
      </c>
      <c r="K319" s="56">
        <v>15</v>
      </c>
      <c r="L319" s="57">
        <v>12650000</v>
      </c>
      <c r="M319" s="130" t="s">
        <v>173</v>
      </c>
      <c r="N319" s="57" t="s">
        <v>114</v>
      </c>
      <c r="O319" s="54" t="s">
        <v>223</v>
      </c>
      <c r="P319" s="132" t="str">
        <f>IFERROR(VLOOKUP(C319,TD!$B$32:$F$36,2,0)," ")</f>
        <v>O230117</v>
      </c>
      <c r="Q319" s="132" t="str">
        <f>IFERROR(VLOOKUP(C319,TD!$B$32:$F$36,3,0)," ")</f>
        <v>4503</v>
      </c>
      <c r="R319" s="132">
        <f>IFERROR(VLOOKUP(C319,TD!$B$32:$F$36,4,0)," ")</f>
        <v>20240255</v>
      </c>
      <c r="S319" s="54" t="s">
        <v>176</v>
      </c>
      <c r="T319" s="132" t="str">
        <f>IFERROR(VLOOKUP(S319,TD!$J$33:$K$43,2,0)," ")</f>
        <v>Servicio de atención a incidentes y emergencias.</v>
      </c>
      <c r="U319" s="54" t="str">
        <f t="shared" si="16"/>
        <v>04-Servicio de atención a incidentes y emergencias.</v>
      </c>
      <c r="V319" s="54" t="s">
        <v>233</v>
      </c>
      <c r="W319" s="132" t="str">
        <f>IFERROR(VLOOKUP(V319,TD!$N$33:$O$45,2,0)," ")</f>
        <v>Servicio de atención a emergencias y desastres</v>
      </c>
      <c r="X319" s="54" t="str">
        <f t="shared" si="17"/>
        <v>004_Servicio de atención a emergencias y desastres</v>
      </c>
      <c r="Y319" s="54" t="str">
        <f t="shared" si="18"/>
        <v>04-Servicio de atención a incidentes y emergencias. 004_Servicio de atención a emergencias y desastres</v>
      </c>
      <c r="Z319" s="132" t="str">
        <f t="shared" si="19"/>
        <v>O23011745032024025504004</v>
      </c>
      <c r="AA319" s="132" t="str">
        <f>IFERROR(VLOOKUP(Y319,TD!$K$46:$L$64,2,0)," ")</f>
        <v>PM/0131/0104/45030040255</v>
      </c>
      <c r="AB319" s="57" t="s">
        <v>139</v>
      </c>
      <c r="AC319" s="133" t="s">
        <v>205</v>
      </c>
    </row>
    <row r="320" spans="2:29" s="28" customFormat="1" ht="57">
      <c r="B320" s="85">
        <v>20240950</v>
      </c>
      <c r="C320" s="53" t="s">
        <v>210</v>
      </c>
      <c r="D320" s="130" t="s">
        <v>170</v>
      </c>
      <c r="E320" s="54" t="s">
        <v>456</v>
      </c>
      <c r="F320" s="130" t="s">
        <v>457</v>
      </c>
      <c r="G320" s="130" t="s">
        <v>157</v>
      </c>
      <c r="H320" s="117">
        <v>80111600</v>
      </c>
      <c r="I320" s="131">
        <v>8</v>
      </c>
      <c r="J320" s="131">
        <v>5</v>
      </c>
      <c r="K320" s="56">
        <v>15</v>
      </c>
      <c r="L320" s="57">
        <v>12650000</v>
      </c>
      <c r="M320" s="130" t="s">
        <v>173</v>
      </c>
      <c r="N320" s="57" t="s">
        <v>114</v>
      </c>
      <c r="O320" s="54" t="s">
        <v>223</v>
      </c>
      <c r="P320" s="132" t="str">
        <f>IFERROR(VLOOKUP(C320,TD!$B$32:$F$36,2,0)," ")</f>
        <v>O230117</v>
      </c>
      <c r="Q320" s="132" t="str">
        <f>IFERROR(VLOOKUP(C320,TD!$B$32:$F$36,3,0)," ")</f>
        <v>4503</v>
      </c>
      <c r="R320" s="132">
        <f>IFERROR(VLOOKUP(C320,TD!$B$32:$F$36,4,0)," ")</f>
        <v>20240255</v>
      </c>
      <c r="S320" s="54" t="s">
        <v>176</v>
      </c>
      <c r="T320" s="132" t="str">
        <f>IFERROR(VLOOKUP(S320,TD!$J$33:$K$43,2,0)," ")</f>
        <v>Servicio de atención a incidentes y emergencias.</v>
      </c>
      <c r="U320" s="54" t="str">
        <f t="shared" si="16"/>
        <v>04-Servicio de atención a incidentes y emergencias.</v>
      </c>
      <c r="V320" s="54" t="s">
        <v>233</v>
      </c>
      <c r="W320" s="132" t="str">
        <f>IFERROR(VLOOKUP(V320,TD!$N$33:$O$45,2,0)," ")</f>
        <v>Servicio de atención a emergencias y desastres</v>
      </c>
      <c r="X320" s="54" t="str">
        <f t="shared" si="17"/>
        <v>004_Servicio de atención a emergencias y desastres</v>
      </c>
      <c r="Y320" s="54" t="str">
        <f t="shared" si="18"/>
        <v>04-Servicio de atención a incidentes y emergencias. 004_Servicio de atención a emergencias y desastres</v>
      </c>
      <c r="Z320" s="132" t="str">
        <f t="shared" si="19"/>
        <v>O23011745032024025504004</v>
      </c>
      <c r="AA320" s="132" t="str">
        <f>IFERROR(VLOOKUP(Y320,TD!$K$46:$L$64,2,0)," ")</f>
        <v>PM/0131/0104/45030040255</v>
      </c>
      <c r="AB320" s="57" t="s">
        <v>139</v>
      </c>
      <c r="AC320" s="133" t="s">
        <v>205</v>
      </c>
    </row>
    <row r="321" spans="2:29" s="28" customFormat="1" ht="57">
      <c r="B321" s="85">
        <v>20240951</v>
      </c>
      <c r="C321" s="53" t="s">
        <v>210</v>
      </c>
      <c r="D321" s="130" t="s">
        <v>170</v>
      </c>
      <c r="E321" s="54" t="s">
        <v>456</v>
      </c>
      <c r="F321" s="130" t="s">
        <v>457</v>
      </c>
      <c r="G321" s="130" t="s">
        <v>157</v>
      </c>
      <c r="H321" s="117">
        <v>80111600</v>
      </c>
      <c r="I321" s="131">
        <v>8</v>
      </c>
      <c r="J321" s="131">
        <v>5</v>
      </c>
      <c r="K321" s="56">
        <v>15</v>
      </c>
      <c r="L321" s="57">
        <v>12650000</v>
      </c>
      <c r="M321" s="130" t="s">
        <v>173</v>
      </c>
      <c r="N321" s="57" t="s">
        <v>114</v>
      </c>
      <c r="O321" s="54" t="s">
        <v>223</v>
      </c>
      <c r="P321" s="132" t="str">
        <f>IFERROR(VLOOKUP(C321,TD!$B$32:$F$36,2,0)," ")</f>
        <v>O230117</v>
      </c>
      <c r="Q321" s="132" t="str">
        <f>IFERROR(VLOOKUP(C321,TD!$B$32:$F$36,3,0)," ")</f>
        <v>4503</v>
      </c>
      <c r="R321" s="132">
        <f>IFERROR(VLOOKUP(C321,TD!$B$32:$F$36,4,0)," ")</f>
        <v>20240255</v>
      </c>
      <c r="S321" s="54" t="s">
        <v>176</v>
      </c>
      <c r="T321" s="132" t="str">
        <f>IFERROR(VLOOKUP(S321,TD!$J$33:$K$43,2,0)," ")</f>
        <v>Servicio de atención a incidentes y emergencias.</v>
      </c>
      <c r="U321" s="54" t="str">
        <f t="shared" si="16"/>
        <v>04-Servicio de atención a incidentes y emergencias.</v>
      </c>
      <c r="V321" s="54" t="s">
        <v>233</v>
      </c>
      <c r="W321" s="132" t="str">
        <f>IFERROR(VLOOKUP(V321,TD!$N$33:$O$45,2,0)," ")</f>
        <v>Servicio de atención a emergencias y desastres</v>
      </c>
      <c r="X321" s="54" t="str">
        <f t="shared" si="17"/>
        <v>004_Servicio de atención a emergencias y desastres</v>
      </c>
      <c r="Y321" s="54" t="str">
        <f t="shared" si="18"/>
        <v>04-Servicio de atención a incidentes y emergencias. 004_Servicio de atención a emergencias y desastres</v>
      </c>
      <c r="Z321" s="132" t="str">
        <f t="shared" si="19"/>
        <v>O23011745032024025504004</v>
      </c>
      <c r="AA321" s="132" t="str">
        <f>IFERROR(VLOOKUP(Y321,TD!$K$46:$L$64,2,0)," ")</f>
        <v>PM/0131/0104/45030040255</v>
      </c>
      <c r="AB321" s="57" t="s">
        <v>139</v>
      </c>
      <c r="AC321" s="133" t="s">
        <v>205</v>
      </c>
    </row>
    <row r="322" spans="2:29" s="28" customFormat="1" ht="57">
      <c r="B322" s="85">
        <v>20240952</v>
      </c>
      <c r="C322" s="53" t="s">
        <v>210</v>
      </c>
      <c r="D322" s="130" t="s">
        <v>170</v>
      </c>
      <c r="E322" s="54" t="s">
        <v>456</v>
      </c>
      <c r="F322" s="130" t="s">
        <v>457</v>
      </c>
      <c r="G322" s="130" t="s">
        <v>157</v>
      </c>
      <c r="H322" s="117">
        <v>80111600</v>
      </c>
      <c r="I322" s="131">
        <v>8</v>
      </c>
      <c r="J322" s="131">
        <v>6</v>
      </c>
      <c r="K322" s="56">
        <v>2</v>
      </c>
      <c r="L322" s="57">
        <v>13953333</v>
      </c>
      <c r="M322" s="130" t="s">
        <v>173</v>
      </c>
      <c r="N322" s="57" t="s">
        <v>114</v>
      </c>
      <c r="O322" s="54" t="s">
        <v>223</v>
      </c>
      <c r="P322" s="132" t="str">
        <f>IFERROR(VLOOKUP(C322,TD!$B$32:$F$36,2,0)," ")</f>
        <v>O230117</v>
      </c>
      <c r="Q322" s="132" t="str">
        <f>IFERROR(VLOOKUP(C322,TD!$B$32:$F$36,3,0)," ")</f>
        <v>4503</v>
      </c>
      <c r="R322" s="132">
        <f>IFERROR(VLOOKUP(C322,TD!$B$32:$F$36,4,0)," ")</f>
        <v>20240255</v>
      </c>
      <c r="S322" s="54" t="s">
        <v>176</v>
      </c>
      <c r="T322" s="132" t="str">
        <f>IFERROR(VLOOKUP(S322,TD!$J$33:$K$43,2,0)," ")</f>
        <v>Servicio de atención a incidentes y emergencias.</v>
      </c>
      <c r="U322" s="54" t="str">
        <f t="shared" si="16"/>
        <v>04-Servicio de atención a incidentes y emergencias.</v>
      </c>
      <c r="V322" s="54" t="s">
        <v>233</v>
      </c>
      <c r="W322" s="132" t="str">
        <f>IFERROR(VLOOKUP(V322,TD!$N$33:$O$45,2,0)," ")</f>
        <v>Servicio de atención a emergencias y desastres</v>
      </c>
      <c r="X322" s="54" t="str">
        <f t="shared" si="17"/>
        <v>004_Servicio de atención a emergencias y desastres</v>
      </c>
      <c r="Y322" s="54" t="str">
        <f t="shared" si="18"/>
        <v>04-Servicio de atención a incidentes y emergencias. 004_Servicio de atención a emergencias y desastres</v>
      </c>
      <c r="Z322" s="132" t="str">
        <f t="shared" si="19"/>
        <v>O23011745032024025504004</v>
      </c>
      <c r="AA322" s="132" t="str">
        <f>IFERROR(VLOOKUP(Y322,TD!$K$46:$L$64,2,0)," ")</f>
        <v>PM/0131/0104/45030040255</v>
      </c>
      <c r="AB322" s="57" t="s">
        <v>139</v>
      </c>
      <c r="AC322" s="133" t="s">
        <v>205</v>
      </c>
    </row>
    <row r="323" spans="2:29" s="28" customFormat="1" ht="57">
      <c r="B323" s="85">
        <v>20240953</v>
      </c>
      <c r="C323" s="53" t="s">
        <v>210</v>
      </c>
      <c r="D323" s="130" t="s">
        <v>170</v>
      </c>
      <c r="E323" s="54" t="s">
        <v>456</v>
      </c>
      <c r="F323" s="130" t="s">
        <v>457</v>
      </c>
      <c r="G323" s="130" t="s">
        <v>157</v>
      </c>
      <c r="H323" s="117">
        <v>80111600</v>
      </c>
      <c r="I323" s="131">
        <v>8</v>
      </c>
      <c r="J323" s="131">
        <v>6</v>
      </c>
      <c r="K323" s="56">
        <v>8</v>
      </c>
      <c r="L323" s="57">
        <v>14413333</v>
      </c>
      <c r="M323" s="130" t="s">
        <v>173</v>
      </c>
      <c r="N323" s="57" t="s">
        <v>114</v>
      </c>
      <c r="O323" s="54" t="s">
        <v>223</v>
      </c>
      <c r="P323" s="132" t="str">
        <f>IFERROR(VLOOKUP(C323,TD!$B$32:$F$36,2,0)," ")</f>
        <v>O230117</v>
      </c>
      <c r="Q323" s="132" t="str">
        <f>IFERROR(VLOOKUP(C323,TD!$B$32:$F$36,3,0)," ")</f>
        <v>4503</v>
      </c>
      <c r="R323" s="132">
        <f>IFERROR(VLOOKUP(C323,TD!$B$32:$F$36,4,0)," ")</f>
        <v>20240255</v>
      </c>
      <c r="S323" s="54" t="s">
        <v>176</v>
      </c>
      <c r="T323" s="132" t="str">
        <f>IFERROR(VLOOKUP(S323,TD!$J$33:$K$43,2,0)," ")</f>
        <v>Servicio de atención a incidentes y emergencias.</v>
      </c>
      <c r="U323" s="54" t="str">
        <f t="shared" si="16"/>
        <v>04-Servicio de atención a incidentes y emergencias.</v>
      </c>
      <c r="V323" s="54" t="s">
        <v>233</v>
      </c>
      <c r="W323" s="132" t="str">
        <f>IFERROR(VLOOKUP(V323,TD!$N$33:$O$45,2,0)," ")</f>
        <v>Servicio de atención a emergencias y desastres</v>
      </c>
      <c r="X323" s="54" t="str">
        <f t="shared" si="17"/>
        <v>004_Servicio de atención a emergencias y desastres</v>
      </c>
      <c r="Y323" s="54" t="str">
        <f t="shared" si="18"/>
        <v>04-Servicio de atención a incidentes y emergencias. 004_Servicio de atención a emergencias y desastres</v>
      </c>
      <c r="Z323" s="132" t="str">
        <f t="shared" si="19"/>
        <v>O23011745032024025504004</v>
      </c>
      <c r="AA323" s="132" t="str">
        <f>IFERROR(VLOOKUP(Y323,TD!$K$46:$L$64,2,0)," ")</f>
        <v>PM/0131/0104/45030040255</v>
      </c>
      <c r="AB323" s="57" t="s">
        <v>139</v>
      </c>
      <c r="AC323" s="133" t="s">
        <v>205</v>
      </c>
    </row>
    <row r="324" spans="2:29" s="28" customFormat="1" ht="57">
      <c r="B324" s="85">
        <v>20240954</v>
      </c>
      <c r="C324" s="53" t="s">
        <v>210</v>
      </c>
      <c r="D324" s="130" t="s">
        <v>170</v>
      </c>
      <c r="E324" s="54" t="s">
        <v>456</v>
      </c>
      <c r="F324" s="130" t="s">
        <v>457</v>
      </c>
      <c r="G324" s="130" t="s">
        <v>157</v>
      </c>
      <c r="H324" s="117">
        <v>80111600</v>
      </c>
      <c r="I324" s="131">
        <v>8</v>
      </c>
      <c r="J324" s="131">
        <v>6</v>
      </c>
      <c r="K324" s="56">
        <v>11</v>
      </c>
      <c r="L324" s="57">
        <v>14643333</v>
      </c>
      <c r="M324" s="130" t="s">
        <v>173</v>
      </c>
      <c r="N324" s="57" t="s">
        <v>114</v>
      </c>
      <c r="O324" s="54" t="s">
        <v>223</v>
      </c>
      <c r="P324" s="132" t="str">
        <f>IFERROR(VLOOKUP(C324,TD!$B$32:$F$36,2,0)," ")</f>
        <v>O230117</v>
      </c>
      <c r="Q324" s="132" t="str">
        <f>IFERROR(VLOOKUP(C324,TD!$B$32:$F$36,3,0)," ")</f>
        <v>4503</v>
      </c>
      <c r="R324" s="132">
        <f>IFERROR(VLOOKUP(C324,TD!$B$32:$F$36,4,0)," ")</f>
        <v>20240255</v>
      </c>
      <c r="S324" s="54" t="s">
        <v>176</v>
      </c>
      <c r="T324" s="132" t="str">
        <f>IFERROR(VLOOKUP(S324,TD!$J$33:$K$43,2,0)," ")</f>
        <v>Servicio de atención a incidentes y emergencias.</v>
      </c>
      <c r="U324" s="54" t="str">
        <f t="shared" si="16"/>
        <v>04-Servicio de atención a incidentes y emergencias.</v>
      </c>
      <c r="V324" s="54" t="s">
        <v>233</v>
      </c>
      <c r="W324" s="132" t="str">
        <f>IFERROR(VLOOKUP(V324,TD!$N$33:$O$45,2,0)," ")</f>
        <v>Servicio de atención a emergencias y desastres</v>
      </c>
      <c r="X324" s="54" t="str">
        <f t="shared" si="17"/>
        <v>004_Servicio de atención a emergencias y desastres</v>
      </c>
      <c r="Y324" s="54" t="str">
        <f t="shared" si="18"/>
        <v>04-Servicio de atención a incidentes y emergencias. 004_Servicio de atención a emergencias y desastres</v>
      </c>
      <c r="Z324" s="132" t="str">
        <f t="shared" si="19"/>
        <v>O23011745032024025504004</v>
      </c>
      <c r="AA324" s="132" t="str">
        <f>IFERROR(VLOOKUP(Y324,TD!$K$46:$L$64,2,0)," ")</f>
        <v>PM/0131/0104/45030040255</v>
      </c>
      <c r="AB324" s="57" t="s">
        <v>139</v>
      </c>
      <c r="AC324" s="133" t="s">
        <v>205</v>
      </c>
    </row>
    <row r="325" spans="2:29" s="28" customFormat="1" ht="57">
      <c r="B325" s="85">
        <v>20240955</v>
      </c>
      <c r="C325" s="53" t="s">
        <v>210</v>
      </c>
      <c r="D325" s="130" t="s">
        <v>170</v>
      </c>
      <c r="E325" s="54" t="s">
        <v>456</v>
      </c>
      <c r="F325" s="130" t="s">
        <v>457</v>
      </c>
      <c r="G325" s="130" t="s">
        <v>157</v>
      </c>
      <c r="H325" s="117">
        <v>80111600</v>
      </c>
      <c r="I325" s="131">
        <v>8</v>
      </c>
      <c r="J325" s="131">
        <v>6</v>
      </c>
      <c r="K325" s="56">
        <v>11</v>
      </c>
      <c r="L325" s="57">
        <v>14643333</v>
      </c>
      <c r="M325" s="130" t="s">
        <v>173</v>
      </c>
      <c r="N325" s="57" t="s">
        <v>114</v>
      </c>
      <c r="O325" s="54" t="s">
        <v>223</v>
      </c>
      <c r="P325" s="132" t="str">
        <f>IFERROR(VLOOKUP(C325,TD!$B$32:$F$36,2,0)," ")</f>
        <v>O230117</v>
      </c>
      <c r="Q325" s="132" t="str">
        <f>IFERROR(VLOOKUP(C325,TD!$B$32:$F$36,3,0)," ")</f>
        <v>4503</v>
      </c>
      <c r="R325" s="132">
        <f>IFERROR(VLOOKUP(C325,TD!$B$32:$F$36,4,0)," ")</f>
        <v>20240255</v>
      </c>
      <c r="S325" s="54" t="s">
        <v>176</v>
      </c>
      <c r="T325" s="132" t="str">
        <f>IFERROR(VLOOKUP(S325,TD!$J$33:$K$43,2,0)," ")</f>
        <v>Servicio de atención a incidentes y emergencias.</v>
      </c>
      <c r="U325" s="54" t="str">
        <f t="shared" si="16"/>
        <v>04-Servicio de atención a incidentes y emergencias.</v>
      </c>
      <c r="V325" s="54" t="s">
        <v>233</v>
      </c>
      <c r="W325" s="132" t="str">
        <f>IFERROR(VLOOKUP(V325,TD!$N$33:$O$45,2,0)," ")</f>
        <v>Servicio de atención a emergencias y desastres</v>
      </c>
      <c r="X325" s="54" t="str">
        <f t="shared" si="17"/>
        <v>004_Servicio de atención a emergencias y desastres</v>
      </c>
      <c r="Y325" s="54" t="str">
        <f t="shared" si="18"/>
        <v>04-Servicio de atención a incidentes y emergencias. 004_Servicio de atención a emergencias y desastres</v>
      </c>
      <c r="Z325" s="132" t="str">
        <f t="shared" si="19"/>
        <v>O23011745032024025504004</v>
      </c>
      <c r="AA325" s="132" t="str">
        <f>IFERROR(VLOOKUP(Y325,TD!$K$46:$L$64,2,0)," ")</f>
        <v>PM/0131/0104/45030040255</v>
      </c>
      <c r="AB325" s="57" t="s">
        <v>139</v>
      </c>
      <c r="AC325" s="133" t="s">
        <v>205</v>
      </c>
    </row>
    <row r="326" spans="2:29" s="28" customFormat="1" ht="57">
      <c r="B326" s="85">
        <v>20240956</v>
      </c>
      <c r="C326" s="53" t="s">
        <v>210</v>
      </c>
      <c r="D326" s="130" t="s">
        <v>170</v>
      </c>
      <c r="E326" s="54" t="s">
        <v>456</v>
      </c>
      <c r="F326" s="130" t="s">
        <v>458</v>
      </c>
      <c r="G326" s="130" t="s">
        <v>157</v>
      </c>
      <c r="H326" s="117">
        <v>80111600</v>
      </c>
      <c r="I326" s="131">
        <v>8</v>
      </c>
      <c r="J326" s="131">
        <v>6</v>
      </c>
      <c r="K326" s="56">
        <v>28</v>
      </c>
      <c r="L326" s="57">
        <v>18720000</v>
      </c>
      <c r="M326" s="130" t="s">
        <v>173</v>
      </c>
      <c r="N326" s="57" t="s">
        <v>114</v>
      </c>
      <c r="O326" s="54" t="s">
        <v>223</v>
      </c>
      <c r="P326" s="132" t="str">
        <f>IFERROR(VLOOKUP(C326,TD!$B$32:$F$36,2,0)," ")</f>
        <v>O230117</v>
      </c>
      <c r="Q326" s="132" t="str">
        <f>IFERROR(VLOOKUP(C326,TD!$B$32:$F$36,3,0)," ")</f>
        <v>4503</v>
      </c>
      <c r="R326" s="132">
        <f>IFERROR(VLOOKUP(C326,TD!$B$32:$F$36,4,0)," ")</f>
        <v>20240255</v>
      </c>
      <c r="S326" s="54" t="s">
        <v>176</v>
      </c>
      <c r="T326" s="132" t="str">
        <f>IFERROR(VLOOKUP(S326,TD!$J$33:$K$43,2,0)," ")</f>
        <v>Servicio de atención a incidentes y emergencias.</v>
      </c>
      <c r="U326" s="54" t="str">
        <f t="shared" si="16"/>
        <v>04-Servicio de atención a incidentes y emergencias.</v>
      </c>
      <c r="V326" s="54" t="s">
        <v>233</v>
      </c>
      <c r="W326" s="132" t="str">
        <f>IFERROR(VLOOKUP(V326,TD!$N$33:$O$45,2,0)," ")</f>
        <v>Servicio de atención a emergencias y desastres</v>
      </c>
      <c r="X326" s="54" t="str">
        <f t="shared" si="17"/>
        <v>004_Servicio de atención a emergencias y desastres</v>
      </c>
      <c r="Y326" s="54" t="str">
        <f t="shared" si="18"/>
        <v>04-Servicio de atención a incidentes y emergencias. 004_Servicio de atención a emergencias y desastres</v>
      </c>
      <c r="Z326" s="132" t="str">
        <f t="shared" si="19"/>
        <v>O23011745032024025504004</v>
      </c>
      <c r="AA326" s="132" t="str">
        <f>IFERROR(VLOOKUP(Y326,TD!$K$46:$L$64,2,0)," ")</f>
        <v>PM/0131/0104/45030040255</v>
      </c>
      <c r="AB326" s="57" t="s">
        <v>139</v>
      </c>
      <c r="AC326" s="133" t="s">
        <v>205</v>
      </c>
    </row>
    <row r="327" spans="2:29" s="28" customFormat="1" ht="57">
      <c r="B327" s="85">
        <v>20240957</v>
      </c>
      <c r="C327" s="53" t="s">
        <v>210</v>
      </c>
      <c r="D327" s="130" t="s">
        <v>170</v>
      </c>
      <c r="E327" s="54" t="s">
        <v>456</v>
      </c>
      <c r="F327" s="130" t="s">
        <v>459</v>
      </c>
      <c r="G327" s="130" t="s">
        <v>157</v>
      </c>
      <c r="H327" s="117">
        <v>80111600</v>
      </c>
      <c r="I327" s="131">
        <v>9</v>
      </c>
      <c r="J327" s="131">
        <v>4</v>
      </c>
      <c r="K327" s="56">
        <v>16</v>
      </c>
      <c r="L327" s="57">
        <v>12240000</v>
      </c>
      <c r="M327" s="130" t="s">
        <v>173</v>
      </c>
      <c r="N327" s="57" t="s">
        <v>114</v>
      </c>
      <c r="O327" s="54" t="s">
        <v>223</v>
      </c>
      <c r="P327" s="132" t="str">
        <f>IFERROR(VLOOKUP(C327,TD!$B$32:$F$36,2,0)," ")</f>
        <v>O230117</v>
      </c>
      <c r="Q327" s="132" t="str">
        <f>IFERROR(VLOOKUP(C327,TD!$B$32:$F$36,3,0)," ")</f>
        <v>4503</v>
      </c>
      <c r="R327" s="132">
        <f>IFERROR(VLOOKUP(C327,TD!$B$32:$F$36,4,0)," ")</f>
        <v>20240255</v>
      </c>
      <c r="S327" s="54" t="s">
        <v>176</v>
      </c>
      <c r="T327" s="132" t="str">
        <f>IFERROR(VLOOKUP(S327,TD!$J$33:$K$43,2,0)," ")</f>
        <v>Servicio de atención a incidentes y emergencias.</v>
      </c>
      <c r="U327" s="54" t="str">
        <f t="shared" si="16"/>
        <v>04-Servicio de atención a incidentes y emergencias.</v>
      </c>
      <c r="V327" s="54" t="s">
        <v>233</v>
      </c>
      <c r="W327" s="132" t="str">
        <f>IFERROR(VLOOKUP(V327,TD!$N$33:$O$45,2,0)," ")</f>
        <v>Servicio de atención a emergencias y desastres</v>
      </c>
      <c r="X327" s="54" t="str">
        <f t="shared" si="17"/>
        <v>004_Servicio de atención a emergencias y desastres</v>
      </c>
      <c r="Y327" s="54" t="str">
        <f t="shared" si="18"/>
        <v>04-Servicio de atención a incidentes y emergencias. 004_Servicio de atención a emergencias y desastres</v>
      </c>
      <c r="Z327" s="132" t="str">
        <f t="shared" si="19"/>
        <v>O23011745032024025504004</v>
      </c>
      <c r="AA327" s="132" t="str">
        <f>IFERROR(VLOOKUP(Y327,TD!$K$46:$L$64,2,0)," ")</f>
        <v>PM/0131/0104/45030040255</v>
      </c>
      <c r="AB327" s="57" t="s">
        <v>139</v>
      </c>
      <c r="AC327" s="133" t="s">
        <v>205</v>
      </c>
    </row>
    <row r="328" spans="2:29" s="28" customFormat="1" ht="57">
      <c r="B328" s="85">
        <v>20240958</v>
      </c>
      <c r="C328" s="53" t="s">
        <v>210</v>
      </c>
      <c r="D328" s="130" t="s">
        <v>170</v>
      </c>
      <c r="E328" s="54" t="s">
        <v>456</v>
      </c>
      <c r="F328" s="130" t="s">
        <v>459</v>
      </c>
      <c r="G328" s="130" t="s">
        <v>157</v>
      </c>
      <c r="H328" s="117">
        <v>80111600</v>
      </c>
      <c r="I328" s="131">
        <v>7</v>
      </c>
      <c r="J328" s="131">
        <v>6</v>
      </c>
      <c r="K328" s="56">
        <v>10</v>
      </c>
      <c r="L328" s="57">
        <v>18450000</v>
      </c>
      <c r="M328" s="130" t="s">
        <v>173</v>
      </c>
      <c r="N328" s="57" t="s">
        <v>114</v>
      </c>
      <c r="O328" s="54" t="s">
        <v>223</v>
      </c>
      <c r="P328" s="132" t="str">
        <f>IFERROR(VLOOKUP(C328,TD!$B$32:$F$36,2,0)," ")</f>
        <v>O230117</v>
      </c>
      <c r="Q328" s="132" t="str">
        <f>IFERROR(VLOOKUP(C328,TD!$B$32:$F$36,3,0)," ")</f>
        <v>4503</v>
      </c>
      <c r="R328" s="132">
        <f>IFERROR(VLOOKUP(C328,TD!$B$32:$F$36,4,0)," ")</f>
        <v>20240255</v>
      </c>
      <c r="S328" s="54" t="s">
        <v>176</v>
      </c>
      <c r="T328" s="132" t="str">
        <f>IFERROR(VLOOKUP(S328,TD!$J$33:$K$43,2,0)," ")</f>
        <v>Servicio de atención a incidentes y emergencias.</v>
      </c>
      <c r="U328" s="54" t="str">
        <f t="shared" si="16"/>
        <v>04-Servicio de atención a incidentes y emergencias.</v>
      </c>
      <c r="V328" s="54" t="s">
        <v>233</v>
      </c>
      <c r="W328" s="132" t="str">
        <f>IFERROR(VLOOKUP(V328,TD!$N$33:$O$45,2,0)," ")</f>
        <v>Servicio de atención a emergencias y desastres</v>
      </c>
      <c r="X328" s="54" t="str">
        <f t="shared" si="17"/>
        <v>004_Servicio de atención a emergencias y desastres</v>
      </c>
      <c r="Y328" s="54" t="str">
        <f t="shared" si="18"/>
        <v>04-Servicio de atención a incidentes y emergencias. 004_Servicio de atención a emergencias y desastres</v>
      </c>
      <c r="Z328" s="132" t="str">
        <f t="shared" si="19"/>
        <v>O23011745032024025504004</v>
      </c>
      <c r="AA328" s="132" t="str">
        <f>IFERROR(VLOOKUP(Y328,TD!$K$46:$L$64,2,0)," ")</f>
        <v>PM/0131/0104/45030040255</v>
      </c>
      <c r="AB328" s="57" t="s">
        <v>139</v>
      </c>
      <c r="AC328" s="133" t="s">
        <v>205</v>
      </c>
    </row>
    <row r="329" spans="2:29" s="28" customFormat="1" ht="57">
      <c r="B329" s="85">
        <v>20240959</v>
      </c>
      <c r="C329" s="53" t="s">
        <v>210</v>
      </c>
      <c r="D329" s="130" t="s">
        <v>170</v>
      </c>
      <c r="E329" s="54" t="s">
        <v>456</v>
      </c>
      <c r="F329" s="130" t="s">
        <v>459</v>
      </c>
      <c r="G329" s="130" t="s">
        <v>157</v>
      </c>
      <c r="H329" s="117">
        <v>80111600</v>
      </c>
      <c r="I329" s="131">
        <v>7</v>
      </c>
      <c r="J329" s="131">
        <v>6</v>
      </c>
      <c r="K329" s="56">
        <v>27</v>
      </c>
      <c r="L329" s="57">
        <v>18630000</v>
      </c>
      <c r="M329" s="130" t="s">
        <v>173</v>
      </c>
      <c r="N329" s="57" t="s">
        <v>114</v>
      </c>
      <c r="O329" s="54" t="s">
        <v>223</v>
      </c>
      <c r="P329" s="132" t="str">
        <f>IFERROR(VLOOKUP(C329,TD!$B$32:$F$36,2,0)," ")</f>
        <v>O230117</v>
      </c>
      <c r="Q329" s="132" t="str">
        <f>IFERROR(VLOOKUP(C329,TD!$B$32:$F$36,3,0)," ")</f>
        <v>4503</v>
      </c>
      <c r="R329" s="132">
        <f>IFERROR(VLOOKUP(C329,TD!$B$32:$F$36,4,0)," ")</f>
        <v>20240255</v>
      </c>
      <c r="S329" s="54" t="s">
        <v>176</v>
      </c>
      <c r="T329" s="132" t="str">
        <f>IFERROR(VLOOKUP(S329,TD!$J$33:$K$43,2,0)," ")</f>
        <v>Servicio de atención a incidentes y emergencias.</v>
      </c>
      <c r="U329" s="54" t="str">
        <f t="shared" si="16"/>
        <v>04-Servicio de atención a incidentes y emergencias.</v>
      </c>
      <c r="V329" s="54" t="s">
        <v>233</v>
      </c>
      <c r="W329" s="132" t="str">
        <f>IFERROR(VLOOKUP(V329,TD!$N$33:$O$45,2,0)," ")</f>
        <v>Servicio de atención a emergencias y desastres</v>
      </c>
      <c r="X329" s="54" t="str">
        <f t="shared" si="17"/>
        <v>004_Servicio de atención a emergencias y desastres</v>
      </c>
      <c r="Y329" s="54" t="str">
        <f t="shared" si="18"/>
        <v>04-Servicio de atención a incidentes y emergencias. 004_Servicio de atención a emergencias y desastres</v>
      </c>
      <c r="Z329" s="132" t="str">
        <f t="shared" si="19"/>
        <v>O23011745032024025504004</v>
      </c>
      <c r="AA329" s="132" t="str">
        <f>IFERROR(VLOOKUP(Y329,TD!$K$46:$L$64,2,0)," ")</f>
        <v>PM/0131/0104/45030040255</v>
      </c>
      <c r="AB329" s="57" t="s">
        <v>139</v>
      </c>
      <c r="AC329" s="133" t="s">
        <v>205</v>
      </c>
    </row>
    <row r="330" spans="2:29" s="28" customFormat="1" ht="57">
      <c r="B330" s="85">
        <v>20240960</v>
      </c>
      <c r="C330" s="53" t="s">
        <v>210</v>
      </c>
      <c r="D330" s="130" t="s">
        <v>170</v>
      </c>
      <c r="E330" s="54" t="s">
        <v>456</v>
      </c>
      <c r="F330" s="130" t="s">
        <v>459</v>
      </c>
      <c r="G330" s="130" t="s">
        <v>157</v>
      </c>
      <c r="H330" s="117">
        <v>80111600</v>
      </c>
      <c r="I330" s="131">
        <v>7</v>
      </c>
      <c r="J330" s="131">
        <v>7</v>
      </c>
      <c r="K330" s="56">
        <v>0</v>
      </c>
      <c r="L330" s="57">
        <v>18900000</v>
      </c>
      <c r="M330" s="130" t="s">
        <v>173</v>
      </c>
      <c r="N330" s="57" t="s">
        <v>114</v>
      </c>
      <c r="O330" s="54" t="s">
        <v>223</v>
      </c>
      <c r="P330" s="132" t="str">
        <f>IFERROR(VLOOKUP(C330,TD!$B$32:$F$36,2,0)," ")</f>
        <v>O230117</v>
      </c>
      <c r="Q330" s="132" t="str">
        <f>IFERROR(VLOOKUP(C330,TD!$B$32:$F$36,3,0)," ")</f>
        <v>4503</v>
      </c>
      <c r="R330" s="132">
        <f>IFERROR(VLOOKUP(C330,TD!$B$32:$F$36,4,0)," ")</f>
        <v>20240255</v>
      </c>
      <c r="S330" s="54" t="s">
        <v>176</v>
      </c>
      <c r="T330" s="132" t="str">
        <f>IFERROR(VLOOKUP(S330,TD!$J$33:$K$43,2,0)," ")</f>
        <v>Servicio de atención a incidentes y emergencias.</v>
      </c>
      <c r="U330" s="54" t="str">
        <f t="shared" si="16"/>
        <v>04-Servicio de atención a incidentes y emergencias.</v>
      </c>
      <c r="V330" s="54" t="s">
        <v>233</v>
      </c>
      <c r="W330" s="132" t="str">
        <f>IFERROR(VLOOKUP(V330,TD!$N$33:$O$45,2,0)," ")</f>
        <v>Servicio de atención a emergencias y desastres</v>
      </c>
      <c r="X330" s="54" t="str">
        <f t="shared" si="17"/>
        <v>004_Servicio de atención a emergencias y desastres</v>
      </c>
      <c r="Y330" s="54" t="str">
        <f t="shared" si="18"/>
        <v>04-Servicio de atención a incidentes y emergencias. 004_Servicio de atención a emergencias y desastres</v>
      </c>
      <c r="Z330" s="132" t="str">
        <f t="shared" si="19"/>
        <v>O23011745032024025504004</v>
      </c>
      <c r="AA330" s="132" t="str">
        <f>IFERROR(VLOOKUP(Y330,TD!$K$46:$L$64,2,0)," ")</f>
        <v>PM/0131/0104/45030040255</v>
      </c>
      <c r="AB330" s="57" t="s">
        <v>139</v>
      </c>
      <c r="AC330" s="133" t="s">
        <v>205</v>
      </c>
    </row>
    <row r="331" spans="2:29" s="28" customFormat="1" ht="57">
      <c r="B331" s="85">
        <v>20240961</v>
      </c>
      <c r="C331" s="53" t="s">
        <v>210</v>
      </c>
      <c r="D331" s="130" t="s">
        <v>170</v>
      </c>
      <c r="E331" s="54" t="s">
        <v>456</v>
      </c>
      <c r="F331" s="130" t="s">
        <v>459</v>
      </c>
      <c r="G331" s="130" t="s">
        <v>157</v>
      </c>
      <c r="H331" s="117">
        <v>80111600</v>
      </c>
      <c r="I331" s="131">
        <v>7</v>
      </c>
      <c r="J331" s="131">
        <v>7</v>
      </c>
      <c r="K331" s="56">
        <v>2</v>
      </c>
      <c r="L331" s="57">
        <v>19080000</v>
      </c>
      <c r="M331" s="130" t="s">
        <v>173</v>
      </c>
      <c r="N331" s="57" t="s">
        <v>114</v>
      </c>
      <c r="O331" s="54" t="s">
        <v>223</v>
      </c>
      <c r="P331" s="132" t="str">
        <f>IFERROR(VLOOKUP(C331,TD!$B$32:$F$36,2,0)," ")</f>
        <v>O230117</v>
      </c>
      <c r="Q331" s="132" t="str">
        <f>IFERROR(VLOOKUP(C331,TD!$B$32:$F$36,3,0)," ")</f>
        <v>4503</v>
      </c>
      <c r="R331" s="132">
        <f>IFERROR(VLOOKUP(C331,TD!$B$32:$F$36,4,0)," ")</f>
        <v>20240255</v>
      </c>
      <c r="S331" s="54" t="s">
        <v>176</v>
      </c>
      <c r="T331" s="132" t="str">
        <f>IFERROR(VLOOKUP(S331,TD!$J$33:$K$43,2,0)," ")</f>
        <v>Servicio de atención a incidentes y emergencias.</v>
      </c>
      <c r="U331" s="54" t="str">
        <f t="shared" ref="U331:U394" si="20">CONCATENATE(S331,"-",T331)</f>
        <v>04-Servicio de atención a incidentes y emergencias.</v>
      </c>
      <c r="V331" s="54" t="s">
        <v>233</v>
      </c>
      <c r="W331" s="132" t="str">
        <f>IFERROR(VLOOKUP(V331,TD!$N$33:$O$45,2,0)," ")</f>
        <v>Servicio de atención a emergencias y desastres</v>
      </c>
      <c r="X331" s="54" t="str">
        <f t="shared" ref="X331:X394" si="21">CONCATENATE(V331,"_",W331)</f>
        <v>004_Servicio de atención a emergencias y desastres</v>
      </c>
      <c r="Y331" s="54" t="str">
        <f t="shared" ref="Y331:Y394" si="22">CONCATENATE(U331," ",X331)</f>
        <v>04-Servicio de atención a incidentes y emergencias. 004_Servicio de atención a emergencias y desastres</v>
      </c>
      <c r="Z331" s="132" t="str">
        <f t="shared" ref="Z331:Z394" si="23">CONCATENATE(P331,Q331,R331,S331,V331)</f>
        <v>O23011745032024025504004</v>
      </c>
      <c r="AA331" s="132" t="str">
        <f>IFERROR(VLOOKUP(Y331,TD!$K$46:$L$64,2,0)," ")</f>
        <v>PM/0131/0104/45030040255</v>
      </c>
      <c r="AB331" s="57" t="s">
        <v>139</v>
      </c>
      <c r="AC331" s="133" t="s">
        <v>205</v>
      </c>
    </row>
    <row r="332" spans="2:29" s="28" customFormat="1" ht="57">
      <c r="B332" s="85">
        <v>20240962</v>
      </c>
      <c r="C332" s="53" t="s">
        <v>210</v>
      </c>
      <c r="D332" s="130" t="s">
        <v>170</v>
      </c>
      <c r="E332" s="54" t="s">
        <v>456</v>
      </c>
      <c r="F332" s="130" t="s">
        <v>459</v>
      </c>
      <c r="G332" s="130" t="s">
        <v>157</v>
      </c>
      <c r="H332" s="117">
        <v>80111600</v>
      </c>
      <c r="I332" s="131">
        <v>7</v>
      </c>
      <c r="J332" s="131">
        <v>7</v>
      </c>
      <c r="K332" s="56">
        <v>5</v>
      </c>
      <c r="L332" s="57">
        <v>19350000</v>
      </c>
      <c r="M332" s="130" t="s">
        <v>173</v>
      </c>
      <c r="N332" s="57" t="s">
        <v>114</v>
      </c>
      <c r="O332" s="54" t="s">
        <v>223</v>
      </c>
      <c r="P332" s="132" t="str">
        <f>IFERROR(VLOOKUP(C332,TD!$B$32:$F$36,2,0)," ")</f>
        <v>O230117</v>
      </c>
      <c r="Q332" s="132" t="str">
        <f>IFERROR(VLOOKUP(C332,TD!$B$32:$F$36,3,0)," ")</f>
        <v>4503</v>
      </c>
      <c r="R332" s="132">
        <f>IFERROR(VLOOKUP(C332,TD!$B$32:$F$36,4,0)," ")</f>
        <v>20240255</v>
      </c>
      <c r="S332" s="54" t="s">
        <v>176</v>
      </c>
      <c r="T332" s="132" t="str">
        <f>IFERROR(VLOOKUP(S332,TD!$J$33:$K$43,2,0)," ")</f>
        <v>Servicio de atención a incidentes y emergencias.</v>
      </c>
      <c r="U332" s="54" t="str">
        <f t="shared" si="20"/>
        <v>04-Servicio de atención a incidentes y emergencias.</v>
      </c>
      <c r="V332" s="54" t="s">
        <v>233</v>
      </c>
      <c r="W332" s="132" t="str">
        <f>IFERROR(VLOOKUP(V332,TD!$N$33:$O$45,2,0)," ")</f>
        <v>Servicio de atención a emergencias y desastres</v>
      </c>
      <c r="X332" s="54" t="str">
        <f t="shared" si="21"/>
        <v>004_Servicio de atención a emergencias y desastres</v>
      </c>
      <c r="Y332" s="54" t="str">
        <f t="shared" si="22"/>
        <v>04-Servicio de atención a incidentes y emergencias. 004_Servicio de atención a emergencias y desastres</v>
      </c>
      <c r="Z332" s="132" t="str">
        <f t="shared" si="23"/>
        <v>O23011745032024025504004</v>
      </c>
      <c r="AA332" s="132" t="str">
        <f>IFERROR(VLOOKUP(Y332,TD!$K$46:$L$64,2,0)," ")</f>
        <v>PM/0131/0104/45030040255</v>
      </c>
      <c r="AB332" s="57" t="s">
        <v>139</v>
      </c>
      <c r="AC332" s="133" t="s">
        <v>205</v>
      </c>
    </row>
    <row r="333" spans="2:29" s="28" customFormat="1" ht="57">
      <c r="B333" s="85">
        <v>20240963</v>
      </c>
      <c r="C333" s="53" t="s">
        <v>210</v>
      </c>
      <c r="D333" s="130" t="s">
        <v>170</v>
      </c>
      <c r="E333" s="54" t="s">
        <v>456</v>
      </c>
      <c r="F333" s="130" t="s">
        <v>459</v>
      </c>
      <c r="G333" s="130" t="s">
        <v>157</v>
      </c>
      <c r="H333" s="117">
        <v>80111600</v>
      </c>
      <c r="I333" s="131">
        <v>8</v>
      </c>
      <c r="J333" s="131">
        <v>6</v>
      </c>
      <c r="K333" s="56">
        <v>0</v>
      </c>
      <c r="L333" s="57">
        <f>19980000-3780000</f>
        <v>16200000</v>
      </c>
      <c r="M333" s="130" t="s">
        <v>173</v>
      </c>
      <c r="N333" s="57" t="s">
        <v>114</v>
      </c>
      <c r="O333" s="54" t="s">
        <v>223</v>
      </c>
      <c r="P333" s="132" t="str">
        <f>IFERROR(VLOOKUP(C333,TD!$B$32:$F$36,2,0)," ")</f>
        <v>O230117</v>
      </c>
      <c r="Q333" s="132" t="str">
        <f>IFERROR(VLOOKUP(C333,TD!$B$32:$F$36,3,0)," ")</f>
        <v>4503</v>
      </c>
      <c r="R333" s="132">
        <f>IFERROR(VLOOKUP(C333,TD!$B$32:$F$36,4,0)," ")</f>
        <v>20240255</v>
      </c>
      <c r="S333" s="54" t="s">
        <v>176</v>
      </c>
      <c r="T333" s="132" t="str">
        <f>IFERROR(VLOOKUP(S333,TD!$J$33:$K$43,2,0)," ")</f>
        <v>Servicio de atención a incidentes y emergencias.</v>
      </c>
      <c r="U333" s="54" t="str">
        <f t="shared" si="20"/>
        <v>04-Servicio de atención a incidentes y emergencias.</v>
      </c>
      <c r="V333" s="54" t="s">
        <v>233</v>
      </c>
      <c r="W333" s="132" t="str">
        <f>IFERROR(VLOOKUP(V333,TD!$N$33:$O$45,2,0)," ")</f>
        <v>Servicio de atención a emergencias y desastres</v>
      </c>
      <c r="X333" s="54" t="str">
        <f t="shared" si="21"/>
        <v>004_Servicio de atención a emergencias y desastres</v>
      </c>
      <c r="Y333" s="54" t="str">
        <f t="shared" si="22"/>
        <v>04-Servicio de atención a incidentes y emergencias. 004_Servicio de atención a emergencias y desastres</v>
      </c>
      <c r="Z333" s="132" t="str">
        <f t="shared" si="23"/>
        <v>O23011745032024025504004</v>
      </c>
      <c r="AA333" s="132" t="str">
        <f>IFERROR(VLOOKUP(Y333,TD!$K$46:$L$64,2,0)," ")</f>
        <v>PM/0131/0104/45030040255</v>
      </c>
      <c r="AB333" s="57" t="s">
        <v>139</v>
      </c>
      <c r="AC333" s="133" t="s">
        <v>205</v>
      </c>
    </row>
    <row r="334" spans="2:29" s="28" customFormat="1" ht="57">
      <c r="B334" s="85">
        <v>20240964</v>
      </c>
      <c r="C334" s="53" t="s">
        <v>210</v>
      </c>
      <c r="D334" s="130" t="s">
        <v>170</v>
      </c>
      <c r="E334" s="54" t="s">
        <v>456</v>
      </c>
      <c r="F334" s="130" t="s">
        <v>460</v>
      </c>
      <c r="G334" s="130" t="s">
        <v>157</v>
      </c>
      <c r="H334" s="117">
        <v>80111600</v>
      </c>
      <c r="I334" s="131">
        <v>8</v>
      </c>
      <c r="J334" s="131">
        <v>5</v>
      </c>
      <c r="K334" s="56">
        <v>15</v>
      </c>
      <c r="L334" s="57">
        <v>15242920</v>
      </c>
      <c r="M334" s="130" t="s">
        <v>173</v>
      </c>
      <c r="N334" s="57" t="s">
        <v>114</v>
      </c>
      <c r="O334" s="54" t="s">
        <v>223</v>
      </c>
      <c r="P334" s="132" t="str">
        <f>IFERROR(VLOOKUP(C334,TD!$B$32:$F$36,2,0)," ")</f>
        <v>O230117</v>
      </c>
      <c r="Q334" s="132" t="str">
        <f>IFERROR(VLOOKUP(C334,TD!$B$32:$F$36,3,0)," ")</f>
        <v>4503</v>
      </c>
      <c r="R334" s="132">
        <f>IFERROR(VLOOKUP(C334,TD!$B$32:$F$36,4,0)," ")</f>
        <v>20240255</v>
      </c>
      <c r="S334" s="54" t="s">
        <v>176</v>
      </c>
      <c r="T334" s="132" t="str">
        <f>IFERROR(VLOOKUP(S334,TD!$J$33:$K$43,2,0)," ")</f>
        <v>Servicio de atención a incidentes y emergencias.</v>
      </c>
      <c r="U334" s="54" t="str">
        <f t="shared" si="20"/>
        <v>04-Servicio de atención a incidentes y emergencias.</v>
      </c>
      <c r="V334" s="54" t="s">
        <v>233</v>
      </c>
      <c r="W334" s="132" t="str">
        <f>IFERROR(VLOOKUP(V334,TD!$N$33:$O$45,2,0)," ")</f>
        <v>Servicio de atención a emergencias y desastres</v>
      </c>
      <c r="X334" s="54" t="str">
        <f t="shared" si="21"/>
        <v>004_Servicio de atención a emergencias y desastres</v>
      </c>
      <c r="Y334" s="54" t="str">
        <f t="shared" si="22"/>
        <v>04-Servicio de atención a incidentes y emergencias. 004_Servicio de atención a emergencias y desastres</v>
      </c>
      <c r="Z334" s="132" t="str">
        <f t="shared" si="23"/>
        <v>O23011745032024025504004</v>
      </c>
      <c r="AA334" s="132" t="str">
        <f>IFERROR(VLOOKUP(Y334,TD!$K$46:$L$64,2,0)," ")</f>
        <v>PM/0131/0104/45030040255</v>
      </c>
      <c r="AB334" s="57" t="s">
        <v>139</v>
      </c>
      <c r="AC334" s="133" t="s">
        <v>205</v>
      </c>
    </row>
    <row r="335" spans="2:29" s="28" customFormat="1" ht="57">
      <c r="B335" s="85">
        <v>20240965</v>
      </c>
      <c r="C335" s="53" t="s">
        <v>210</v>
      </c>
      <c r="D335" s="130" t="s">
        <v>170</v>
      </c>
      <c r="E335" s="54" t="s">
        <v>456</v>
      </c>
      <c r="F335" s="130" t="s">
        <v>461</v>
      </c>
      <c r="G335" s="130" t="s">
        <v>157</v>
      </c>
      <c r="H335" s="117">
        <v>80111600</v>
      </c>
      <c r="I335" s="131">
        <v>8</v>
      </c>
      <c r="J335" s="131">
        <v>5</v>
      </c>
      <c r="K335" s="56">
        <v>15</v>
      </c>
      <c r="L335" s="57">
        <v>16500000</v>
      </c>
      <c r="M335" s="130" t="s">
        <v>173</v>
      </c>
      <c r="N335" s="57" t="s">
        <v>114</v>
      </c>
      <c r="O335" s="54" t="s">
        <v>223</v>
      </c>
      <c r="P335" s="132" t="str">
        <f>IFERROR(VLOOKUP(C335,TD!$B$32:$F$36,2,0)," ")</f>
        <v>O230117</v>
      </c>
      <c r="Q335" s="132" t="str">
        <f>IFERROR(VLOOKUP(C335,TD!$B$32:$F$36,3,0)," ")</f>
        <v>4503</v>
      </c>
      <c r="R335" s="132">
        <f>IFERROR(VLOOKUP(C335,TD!$B$32:$F$36,4,0)," ")</f>
        <v>20240255</v>
      </c>
      <c r="S335" s="54" t="s">
        <v>176</v>
      </c>
      <c r="T335" s="132" t="str">
        <f>IFERROR(VLOOKUP(S335,TD!$J$33:$K$43,2,0)," ")</f>
        <v>Servicio de atención a incidentes y emergencias.</v>
      </c>
      <c r="U335" s="54" t="str">
        <f t="shared" si="20"/>
        <v>04-Servicio de atención a incidentes y emergencias.</v>
      </c>
      <c r="V335" s="54" t="s">
        <v>233</v>
      </c>
      <c r="W335" s="132" t="str">
        <f>IFERROR(VLOOKUP(V335,TD!$N$33:$O$45,2,0)," ")</f>
        <v>Servicio de atención a emergencias y desastres</v>
      </c>
      <c r="X335" s="54" t="str">
        <f t="shared" si="21"/>
        <v>004_Servicio de atención a emergencias y desastres</v>
      </c>
      <c r="Y335" s="54" t="str">
        <f t="shared" si="22"/>
        <v>04-Servicio de atención a incidentes y emergencias. 004_Servicio de atención a emergencias y desastres</v>
      </c>
      <c r="Z335" s="132" t="str">
        <f t="shared" si="23"/>
        <v>O23011745032024025504004</v>
      </c>
      <c r="AA335" s="132" t="str">
        <f>IFERROR(VLOOKUP(Y335,TD!$K$46:$L$64,2,0)," ")</f>
        <v>PM/0131/0104/45030040255</v>
      </c>
      <c r="AB335" s="57" t="s">
        <v>139</v>
      </c>
      <c r="AC335" s="133" t="s">
        <v>205</v>
      </c>
    </row>
    <row r="336" spans="2:29" s="28" customFormat="1" ht="57">
      <c r="B336" s="85">
        <v>20240966</v>
      </c>
      <c r="C336" s="53" t="s">
        <v>210</v>
      </c>
      <c r="D336" s="130" t="s">
        <v>170</v>
      </c>
      <c r="E336" s="54" t="s">
        <v>456</v>
      </c>
      <c r="F336" s="130" t="s">
        <v>462</v>
      </c>
      <c r="G336" s="130" t="s">
        <v>156</v>
      </c>
      <c r="H336" s="117">
        <v>80111600</v>
      </c>
      <c r="I336" s="131">
        <v>8</v>
      </c>
      <c r="J336" s="131">
        <v>5</v>
      </c>
      <c r="K336" s="56">
        <v>15</v>
      </c>
      <c r="L336" s="57">
        <v>22000000</v>
      </c>
      <c r="M336" s="130" t="s">
        <v>173</v>
      </c>
      <c r="N336" s="57" t="s">
        <v>114</v>
      </c>
      <c r="O336" s="54" t="s">
        <v>223</v>
      </c>
      <c r="P336" s="132" t="str">
        <f>IFERROR(VLOOKUP(C336,TD!$B$32:$F$36,2,0)," ")</f>
        <v>O230117</v>
      </c>
      <c r="Q336" s="132" t="str">
        <f>IFERROR(VLOOKUP(C336,TD!$B$32:$F$36,3,0)," ")</f>
        <v>4503</v>
      </c>
      <c r="R336" s="132">
        <f>IFERROR(VLOOKUP(C336,TD!$B$32:$F$36,4,0)," ")</f>
        <v>20240255</v>
      </c>
      <c r="S336" s="54" t="s">
        <v>176</v>
      </c>
      <c r="T336" s="132" t="str">
        <f>IFERROR(VLOOKUP(S336,TD!$J$33:$K$43,2,0)," ")</f>
        <v>Servicio de atención a incidentes y emergencias.</v>
      </c>
      <c r="U336" s="54" t="str">
        <f t="shared" si="20"/>
        <v>04-Servicio de atención a incidentes y emergencias.</v>
      </c>
      <c r="V336" s="54" t="s">
        <v>233</v>
      </c>
      <c r="W336" s="132" t="str">
        <f>IFERROR(VLOOKUP(V336,TD!$N$33:$O$45,2,0)," ")</f>
        <v>Servicio de atención a emergencias y desastres</v>
      </c>
      <c r="X336" s="54" t="str">
        <f t="shared" si="21"/>
        <v>004_Servicio de atención a emergencias y desastres</v>
      </c>
      <c r="Y336" s="54" t="str">
        <f t="shared" si="22"/>
        <v>04-Servicio de atención a incidentes y emergencias. 004_Servicio de atención a emergencias y desastres</v>
      </c>
      <c r="Z336" s="132" t="str">
        <f t="shared" si="23"/>
        <v>O23011745032024025504004</v>
      </c>
      <c r="AA336" s="132" t="str">
        <f>IFERROR(VLOOKUP(Y336,TD!$K$46:$L$64,2,0)," ")</f>
        <v>PM/0131/0104/45030040255</v>
      </c>
      <c r="AB336" s="57" t="s">
        <v>139</v>
      </c>
      <c r="AC336" s="133" t="s">
        <v>205</v>
      </c>
    </row>
    <row r="337" spans="2:29" s="28" customFormat="1" ht="57">
      <c r="B337" s="85">
        <v>20240967</v>
      </c>
      <c r="C337" s="53" t="s">
        <v>210</v>
      </c>
      <c r="D337" s="130" t="s">
        <v>170</v>
      </c>
      <c r="E337" s="54" t="s">
        <v>456</v>
      </c>
      <c r="F337" s="130" t="s">
        <v>463</v>
      </c>
      <c r="G337" s="130" t="s">
        <v>156</v>
      </c>
      <c r="H337" s="117">
        <v>80111600</v>
      </c>
      <c r="I337" s="131">
        <v>8</v>
      </c>
      <c r="J337" s="131">
        <v>5</v>
      </c>
      <c r="K337" s="56">
        <v>28</v>
      </c>
      <c r="L337" s="57">
        <v>25513333</v>
      </c>
      <c r="M337" s="130" t="s">
        <v>173</v>
      </c>
      <c r="N337" s="57" t="s">
        <v>114</v>
      </c>
      <c r="O337" s="54" t="s">
        <v>223</v>
      </c>
      <c r="P337" s="132" t="str">
        <f>IFERROR(VLOOKUP(C337,TD!$B$32:$F$36,2,0)," ")</f>
        <v>O230117</v>
      </c>
      <c r="Q337" s="132" t="str">
        <f>IFERROR(VLOOKUP(C337,TD!$B$32:$F$36,3,0)," ")</f>
        <v>4503</v>
      </c>
      <c r="R337" s="132">
        <f>IFERROR(VLOOKUP(C337,TD!$B$32:$F$36,4,0)," ")</f>
        <v>20240255</v>
      </c>
      <c r="S337" s="54" t="s">
        <v>176</v>
      </c>
      <c r="T337" s="132" t="str">
        <f>IFERROR(VLOOKUP(S337,TD!$J$33:$K$43,2,0)," ")</f>
        <v>Servicio de atención a incidentes y emergencias.</v>
      </c>
      <c r="U337" s="54" t="str">
        <f t="shared" si="20"/>
        <v>04-Servicio de atención a incidentes y emergencias.</v>
      </c>
      <c r="V337" s="54" t="s">
        <v>233</v>
      </c>
      <c r="W337" s="132" t="str">
        <f>IFERROR(VLOOKUP(V337,TD!$N$33:$O$45,2,0)," ")</f>
        <v>Servicio de atención a emergencias y desastres</v>
      </c>
      <c r="X337" s="54" t="str">
        <f t="shared" si="21"/>
        <v>004_Servicio de atención a emergencias y desastres</v>
      </c>
      <c r="Y337" s="54" t="str">
        <f t="shared" si="22"/>
        <v>04-Servicio de atención a incidentes y emergencias. 004_Servicio de atención a emergencias y desastres</v>
      </c>
      <c r="Z337" s="132" t="str">
        <f t="shared" si="23"/>
        <v>O23011745032024025504004</v>
      </c>
      <c r="AA337" s="132" t="str">
        <f>IFERROR(VLOOKUP(Y337,TD!$K$46:$L$64,2,0)," ")</f>
        <v>PM/0131/0104/45030040255</v>
      </c>
      <c r="AB337" s="57" t="s">
        <v>139</v>
      </c>
      <c r="AC337" s="133" t="s">
        <v>205</v>
      </c>
    </row>
    <row r="338" spans="2:29" s="28" customFormat="1" ht="85.5">
      <c r="B338" s="85">
        <v>20240968</v>
      </c>
      <c r="C338" s="53" t="s">
        <v>210</v>
      </c>
      <c r="D338" s="130" t="s">
        <v>170</v>
      </c>
      <c r="E338" s="54" t="s">
        <v>456</v>
      </c>
      <c r="F338" s="130" t="s">
        <v>497</v>
      </c>
      <c r="G338" s="130" t="s">
        <v>156</v>
      </c>
      <c r="H338" s="117">
        <v>80111600</v>
      </c>
      <c r="I338" s="131">
        <v>8</v>
      </c>
      <c r="J338" s="131">
        <v>5</v>
      </c>
      <c r="K338" s="56">
        <v>15</v>
      </c>
      <c r="L338" s="57">
        <v>23925000</v>
      </c>
      <c r="M338" s="130" t="s">
        <v>173</v>
      </c>
      <c r="N338" s="57" t="s">
        <v>114</v>
      </c>
      <c r="O338" s="54" t="s">
        <v>223</v>
      </c>
      <c r="P338" s="132" t="str">
        <f>IFERROR(VLOOKUP(C338,TD!$B$32:$F$36,2,0)," ")</f>
        <v>O230117</v>
      </c>
      <c r="Q338" s="132" t="str">
        <f>IFERROR(VLOOKUP(C338,TD!$B$32:$F$36,3,0)," ")</f>
        <v>4503</v>
      </c>
      <c r="R338" s="132">
        <f>IFERROR(VLOOKUP(C338,TD!$B$32:$F$36,4,0)," ")</f>
        <v>20240255</v>
      </c>
      <c r="S338" s="54" t="s">
        <v>176</v>
      </c>
      <c r="T338" s="132" t="str">
        <f>IFERROR(VLOOKUP(S338,TD!$J$33:$K$43,2,0)," ")</f>
        <v>Servicio de atención a incidentes y emergencias.</v>
      </c>
      <c r="U338" s="54" t="str">
        <f t="shared" si="20"/>
        <v>04-Servicio de atención a incidentes y emergencias.</v>
      </c>
      <c r="V338" s="54" t="s">
        <v>233</v>
      </c>
      <c r="W338" s="132" t="str">
        <f>IFERROR(VLOOKUP(V338,TD!$N$33:$O$45,2,0)," ")</f>
        <v>Servicio de atención a emergencias y desastres</v>
      </c>
      <c r="X338" s="54" t="str">
        <f t="shared" si="21"/>
        <v>004_Servicio de atención a emergencias y desastres</v>
      </c>
      <c r="Y338" s="54" t="str">
        <f t="shared" si="22"/>
        <v>04-Servicio de atención a incidentes y emergencias. 004_Servicio de atención a emergencias y desastres</v>
      </c>
      <c r="Z338" s="132" t="str">
        <f t="shared" si="23"/>
        <v>O23011745032024025504004</v>
      </c>
      <c r="AA338" s="132" t="str">
        <f>IFERROR(VLOOKUP(Y338,TD!$K$46:$L$64,2,0)," ")</f>
        <v>PM/0131/0104/45030040255</v>
      </c>
      <c r="AB338" s="57" t="s">
        <v>139</v>
      </c>
      <c r="AC338" s="133" t="s">
        <v>205</v>
      </c>
    </row>
    <row r="339" spans="2:29" s="28" customFormat="1" ht="57">
      <c r="B339" s="85">
        <v>20240969</v>
      </c>
      <c r="C339" s="53" t="s">
        <v>210</v>
      </c>
      <c r="D339" s="130" t="s">
        <v>170</v>
      </c>
      <c r="E339" s="54" t="s">
        <v>456</v>
      </c>
      <c r="F339" s="130" t="s">
        <v>464</v>
      </c>
      <c r="G339" s="130" t="s">
        <v>156</v>
      </c>
      <c r="H339" s="117">
        <v>80111600</v>
      </c>
      <c r="I339" s="131">
        <v>8</v>
      </c>
      <c r="J339" s="131">
        <v>6</v>
      </c>
      <c r="K339" s="56">
        <v>0</v>
      </c>
      <c r="L339" s="57">
        <v>28440000</v>
      </c>
      <c r="M339" s="130" t="s">
        <v>173</v>
      </c>
      <c r="N339" s="57" t="s">
        <v>114</v>
      </c>
      <c r="O339" s="54" t="s">
        <v>223</v>
      </c>
      <c r="P339" s="132" t="str">
        <f>IFERROR(VLOOKUP(C339,TD!$B$32:$F$36,2,0)," ")</f>
        <v>O230117</v>
      </c>
      <c r="Q339" s="132" t="str">
        <f>IFERROR(VLOOKUP(C339,TD!$B$32:$F$36,3,0)," ")</f>
        <v>4503</v>
      </c>
      <c r="R339" s="132">
        <f>IFERROR(VLOOKUP(C339,TD!$B$32:$F$36,4,0)," ")</f>
        <v>20240255</v>
      </c>
      <c r="S339" s="54" t="s">
        <v>176</v>
      </c>
      <c r="T339" s="132" t="str">
        <f>IFERROR(VLOOKUP(S339,TD!$J$33:$K$43,2,0)," ")</f>
        <v>Servicio de atención a incidentes y emergencias.</v>
      </c>
      <c r="U339" s="54" t="str">
        <f t="shared" si="20"/>
        <v>04-Servicio de atención a incidentes y emergencias.</v>
      </c>
      <c r="V339" s="54" t="s">
        <v>233</v>
      </c>
      <c r="W339" s="132" t="str">
        <f>IFERROR(VLOOKUP(V339,TD!$N$33:$O$45,2,0)," ")</f>
        <v>Servicio de atención a emergencias y desastres</v>
      </c>
      <c r="X339" s="54" t="str">
        <f t="shared" si="21"/>
        <v>004_Servicio de atención a emergencias y desastres</v>
      </c>
      <c r="Y339" s="54" t="str">
        <f t="shared" si="22"/>
        <v>04-Servicio de atención a incidentes y emergencias. 004_Servicio de atención a emergencias y desastres</v>
      </c>
      <c r="Z339" s="132" t="str">
        <f t="shared" si="23"/>
        <v>O23011745032024025504004</v>
      </c>
      <c r="AA339" s="132" t="str">
        <f>IFERROR(VLOOKUP(Y339,TD!$K$46:$L$64,2,0)," ")</f>
        <v>PM/0131/0104/45030040255</v>
      </c>
      <c r="AB339" s="57" t="s">
        <v>139</v>
      </c>
      <c r="AC339" s="133" t="s">
        <v>205</v>
      </c>
    </row>
    <row r="340" spans="2:29" s="28" customFormat="1" ht="57">
      <c r="B340" s="85">
        <v>20240970</v>
      </c>
      <c r="C340" s="53" t="s">
        <v>210</v>
      </c>
      <c r="D340" s="130" t="s">
        <v>170</v>
      </c>
      <c r="E340" s="54" t="s">
        <v>456</v>
      </c>
      <c r="F340" s="130" t="s">
        <v>465</v>
      </c>
      <c r="G340" s="130" t="s">
        <v>156</v>
      </c>
      <c r="H340" s="117">
        <v>80111600</v>
      </c>
      <c r="I340" s="131">
        <v>8</v>
      </c>
      <c r="J340" s="131">
        <v>5</v>
      </c>
      <c r="K340" s="56">
        <v>15</v>
      </c>
      <c r="L340" s="57">
        <v>26400000</v>
      </c>
      <c r="M340" s="130" t="s">
        <v>173</v>
      </c>
      <c r="N340" s="57" t="s">
        <v>114</v>
      </c>
      <c r="O340" s="54" t="s">
        <v>223</v>
      </c>
      <c r="P340" s="132" t="str">
        <f>IFERROR(VLOOKUP(C340,TD!$B$32:$F$36,2,0)," ")</f>
        <v>O230117</v>
      </c>
      <c r="Q340" s="132" t="str">
        <f>IFERROR(VLOOKUP(C340,TD!$B$32:$F$36,3,0)," ")</f>
        <v>4503</v>
      </c>
      <c r="R340" s="132">
        <f>IFERROR(VLOOKUP(C340,TD!$B$32:$F$36,4,0)," ")</f>
        <v>20240255</v>
      </c>
      <c r="S340" s="54" t="s">
        <v>176</v>
      </c>
      <c r="T340" s="132" t="str">
        <f>IFERROR(VLOOKUP(S340,TD!$J$33:$K$43,2,0)," ")</f>
        <v>Servicio de atención a incidentes y emergencias.</v>
      </c>
      <c r="U340" s="54" t="str">
        <f t="shared" si="20"/>
        <v>04-Servicio de atención a incidentes y emergencias.</v>
      </c>
      <c r="V340" s="54" t="s">
        <v>233</v>
      </c>
      <c r="W340" s="132" t="str">
        <f>IFERROR(VLOOKUP(V340,TD!$N$33:$O$45,2,0)," ")</f>
        <v>Servicio de atención a emergencias y desastres</v>
      </c>
      <c r="X340" s="54" t="str">
        <f t="shared" si="21"/>
        <v>004_Servicio de atención a emergencias y desastres</v>
      </c>
      <c r="Y340" s="54" t="str">
        <f t="shared" si="22"/>
        <v>04-Servicio de atención a incidentes y emergencias. 004_Servicio de atención a emergencias y desastres</v>
      </c>
      <c r="Z340" s="132" t="str">
        <f t="shared" si="23"/>
        <v>O23011745032024025504004</v>
      </c>
      <c r="AA340" s="132" t="str">
        <f>IFERROR(VLOOKUP(Y340,TD!$K$46:$L$64,2,0)," ")</f>
        <v>PM/0131/0104/45030040255</v>
      </c>
      <c r="AB340" s="57" t="s">
        <v>139</v>
      </c>
      <c r="AC340" s="133" t="s">
        <v>205</v>
      </c>
    </row>
    <row r="341" spans="2:29" s="28" customFormat="1" ht="57">
      <c r="B341" s="85">
        <v>20240971</v>
      </c>
      <c r="C341" s="53" t="s">
        <v>210</v>
      </c>
      <c r="D341" s="130" t="s">
        <v>170</v>
      </c>
      <c r="E341" s="54" t="s">
        <v>456</v>
      </c>
      <c r="F341" s="130" t="s">
        <v>466</v>
      </c>
      <c r="G341" s="130" t="s">
        <v>156</v>
      </c>
      <c r="H341" s="117">
        <v>80111600</v>
      </c>
      <c r="I341" s="131">
        <v>7</v>
      </c>
      <c r="J341" s="131">
        <v>6</v>
      </c>
      <c r="K341" s="56">
        <v>25</v>
      </c>
      <c r="L341" s="57">
        <v>34166666</v>
      </c>
      <c r="M341" s="130" t="s">
        <v>173</v>
      </c>
      <c r="N341" s="57" t="s">
        <v>114</v>
      </c>
      <c r="O341" s="54" t="s">
        <v>223</v>
      </c>
      <c r="P341" s="132" t="str">
        <f>IFERROR(VLOOKUP(C341,TD!$B$32:$F$36,2,0)," ")</f>
        <v>O230117</v>
      </c>
      <c r="Q341" s="132" t="str">
        <f>IFERROR(VLOOKUP(C341,TD!$B$32:$F$36,3,0)," ")</f>
        <v>4503</v>
      </c>
      <c r="R341" s="132">
        <f>IFERROR(VLOOKUP(C341,TD!$B$32:$F$36,4,0)," ")</f>
        <v>20240255</v>
      </c>
      <c r="S341" s="54" t="s">
        <v>176</v>
      </c>
      <c r="T341" s="132" t="str">
        <f>IFERROR(VLOOKUP(S341,TD!$J$33:$K$43,2,0)," ")</f>
        <v>Servicio de atención a incidentes y emergencias.</v>
      </c>
      <c r="U341" s="54" t="str">
        <f t="shared" si="20"/>
        <v>04-Servicio de atención a incidentes y emergencias.</v>
      </c>
      <c r="V341" s="54" t="s">
        <v>233</v>
      </c>
      <c r="W341" s="132" t="str">
        <f>IFERROR(VLOOKUP(V341,TD!$N$33:$O$45,2,0)," ")</f>
        <v>Servicio de atención a emergencias y desastres</v>
      </c>
      <c r="X341" s="54" t="str">
        <f t="shared" si="21"/>
        <v>004_Servicio de atención a emergencias y desastres</v>
      </c>
      <c r="Y341" s="54" t="str">
        <f t="shared" si="22"/>
        <v>04-Servicio de atención a incidentes y emergencias. 004_Servicio de atención a emergencias y desastres</v>
      </c>
      <c r="Z341" s="132" t="str">
        <f t="shared" si="23"/>
        <v>O23011745032024025504004</v>
      </c>
      <c r="AA341" s="132" t="str">
        <f>IFERROR(VLOOKUP(Y341,TD!$K$46:$L$64,2,0)," ")</f>
        <v>PM/0131/0104/45030040255</v>
      </c>
      <c r="AB341" s="57" t="s">
        <v>139</v>
      </c>
      <c r="AC341" s="133" t="s">
        <v>205</v>
      </c>
    </row>
    <row r="342" spans="2:29" s="28" customFormat="1" ht="99.75">
      <c r="B342" s="85">
        <v>20240972</v>
      </c>
      <c r="C342" s="53" t="s">
        <v>210</v>
      </c>
      <c r="D342" s="130" t="s">
        <v>170</v>
      </c>
      <c r="E342" s="54" t="s">
        <v>456</v>
      </c>
      <c r="F342" s="130" t="s">
        <v>467</v>
      </c>
      <c r="G342" s="130" t="s">
        <v>156</v>
      </c>
      <c r="H342" s="117">
        <v>80111600</v>
      </c>
      <c r="I342" s="131">
        <v>10</v>
      </c>
      <c r="J342" s="131">
        <v>3</v>
      </c>
      <c r="K342" s="56">
        <v>28</v>
      </c>
      <c r="L342" s="57">
        <v>19666666</v>
      </c>
      <c r="M342" s="130" t="s">
        <v>173</v>
      </c>
      <c r="N342" s="57" t="s">
        <v>114</v>
      </c>
      <c r="O342" s="54" t="s">
        <v>223</v>
      </c>
      <c r="P342" s="132" t="str">
        <f>IFERROR(VLOOKUP(C342,TD!$B$32:$F$36,2,0)," ")</f>
        <v>O230117</v>
      </c>
      <c r="Q342" s="132" t="str">
        <f>IFERROR(VLOOKUP(C342,TD!$B$32:$F$36,3,0)," ")</f>
        <v>4503</v>
      </c>
      <c r="R342" s="132">
        <f>IFERROR(VLOOKUP(C342,TD!$B$32:$F$36,4,0)," ")</f>
        <v>20240255</v>
      </c>
      <c r="S342" s="54" t="s">
        <v>176</v>
      </c>
      <c r="T342" s="132" t="str">
        <f>IFERROR(VLOOKUP(S342,TD!$J$33:$K$43,2,0)," ")</f>
        <v>Servicio de atención a incidentes y emergencias.</v>
      </c>
      <c r="U342" s="54" t="str">
        <f t="shared" si="20"/>
        <v>04-Servicio de atención a incidentes y emergencias.</v>
      </c>
      <c r="V342" s="54" t="s">
        <v>233</v>
      </c>
      <c r="W342" s="132" t="str">
        <f>IFERROR(VLOOKUP(V342,TD!$N$33:$O$45,2,0)," ")</f>
        <v>Servicio de atención a emergencias y desastres</v>
      </c>
      <c r="X342" s="54" t="str">
        <f t="shared" si="21"/>
        <v>004_Servicio de atención a emergencias y desastres</v>
      </c>
      <c r="Y342" s="54" t="str">
        <f t="shared" si="22"/>
        <v>04-Servicio de atención a incidentes y emergencias. 004_Servicio de atención a emergencias y desastres</v>
      </c>
      <c r="Z342" s="132" t="str">
        <f t="shared" si="23"/>
        <v>O23011745032024025504004</v>
      </c>
      <c r="AA342" s="132" t="str">
        <f>IFERROR(VLOOKUP(Y342,TD!$K$46:$L$64,2,0)," ")</f>
        <v>PM/0131/0104/45030040255</v>
      </c>
      <c r="AB342" s="57" t="s">
        <v>139</v>
      </c>
      <c r="AC342" s="133" t="s">
        <v>205</v>
      </c>
    </row>
    <row r="343" spans="2:29" s="28" customFormat="1" ht="57">
      <c r="B343" s="85">
        <v>20240973</v>
      </c>
      <c r="C343" s="53" t="s">
        <v>210</v>
      </c>
      <c r="D343" s="130" t="s">
        <v>170</v>
      </c>
      <c r="E343" s="54" t="s">
        <v>456</v>
      </c>
      <c r="F343" s="130" t="s">
        <v>468</v>
      </c>
      <c r="G343" s="130" t="s">
        <v>156</v>
      </c>
      <c r="H343" s="117">
        <v>80111600</v>
      </c>
      <c r="I343" s="131">
        <v>8</v>
      </c>
      <c r="J343" s="131">
        <v>5</v>
      </c>
      <c r="K343" s="56">
        <v>9</v>
      </c>
      <c r="L343" s="57">
        <v>27030000</v>
      </c>
      <c r="M343" s="130" t="s">
        <v>173</v>
      </c>
      <c r="N343" s="57" t="s">
        <v>114</v>
      </c>
      <c r="O343" s="54" t="s">
        <v>223</v>
      </c>
      <c r="P343" s="132" t="str">
        <f>IFERROR(VLOOKUP(C343,TD!$B$32:$F$36,2,0)," ")</f>
        <v>O230117</v>
      </c>
      <c r="Q343" s="132" t="str">
        <f>IFERROR(VLOOKUP(C343,TD!$B$32:$F$36,3,0)," ")</f>
        <v>4503</v>
      </c>
      <c r="R343" s="132">
        <f>IFERROR(VLOOKUP(C343,TD!$B$32:$F$36,4,0)," ")</f>
        <v>20240255</v>
      </c>
      <c r="S343" s="54" t="s">
        <v>176</v>
      </c>
      <c r="T343" s="132" t="str">
        <f>IFERROR(VLOOKUP(S343,TD!$J$33:$K$43,2,0)," ")</f>
        <v>Servicio de atención a incidentes y emergencias.</v>
      </c>
      <c r="U343" s="54" t="str">
        <f t="shared" si="20"/>
        <v>04-Servicio de atención a incidentes y emergencias.</v>
      </c>
      <c r="V343" s="54" t="s">
        <v>233</v>
      </c>
      <c r="W343" s="132" t="str">
        <f>IFERROR(VLOOKUP(V343,TD!$N$33:$O$45,2,0)," ")</f>
        <v>Servicio de atención a emergencias y desastres</v>
      </c>
      <c r="X343" s="54" t="str">
        <f t="shared" si="21"/>
        <v>004_Servicio de atención a emergencias y desastres</v>
      </c>
      <c r="Y343" s="54" t="str">
        <f t="shared" si="22"/>
        <v>04-Servicio de atención a incidentes y emergencias. 004_Servicio de atención a emergencias y desastres</v>
      </c>
      <c r="Z343" s="132" t="str">
        <f t="shared" si="23"/>
        <v>O23011745032024025504004</v>
      </c>
      <c r="AA343" s="132" t="str">
        <f>IFERROR(VLOOKUP(Y343,TD!$K$46:$L$64,2,0)," ")</f>
        <v>PM/0131/0104/45030040255</v>
      </c>
      <c r="AB343" s="57" t="s">
        <v>139</v>
      </c>
      <c r="AC343" s="133" t="s">
        <v>205</v>
      </c>
    </row>
    <row r="344" spans="2:29" s="28" customFormat="1" ht="57">
      <c r="B344" s="85">
        <v>20240974</v>
      </c>
      <c r="C344" s="53" t="s">
        <v>210</v>
      </c>
      <c r="D344" s="130" t="s">
        <v>170</v>
      </c>
      <c r="E344" s="54" t="s">
        <v>456</v>
      </c>
      <c r="F344" s="130" t="s">
        <v>468</v>
      </c>
      <c r="G344" s="130" t="s">
        <v>156</v>
      </c>
      <c r="H344" s="117">
        <v>80111600</v>
      </c>
      <c r="I344" s="131">
        <v>8</v>
      </c>
      <c r="J344" s="131">
        <v>5</v>
      </c>
      <c r="K344" s="56">
        <v>9</v>
      </c>
      <c r="L344" s="57">
        <v>27030000</v>
      </c>
      <c r="M344" s="130" t="s">
        <v>173</v>
      </c>
      <c r="N344" s="57" t="s">
        <v>114</v>
      </c>
      <c r="O344" s="54" t="s">
        <v>223</v>
      </c>
      <c r="P344" s="132" t="str">
        <f>IFERROR(VLOOKUP(C344,TD!$B$32:$F$36,2,0)," ")</f>
        <v>O230117</v>
      </c>
      <c r="Q344" s="132" t="str">
        <f>IFERROR(VLOOKUP(C344,TD!$B$32:$F$36,3,0)," ")</f>
        <v>4503</v>
      </c>
      <c r="R344" s="132">
        <f>IFERROR(VLOOKUP(C344,TD!$B$32:$F$36,4,0)," ")</f>
        <v>20240255</v>
      </c>
      <c r="S344" s="54" t="s">
        <v>176</v>
      </c>
      <c r="T344" s="132" t="str">
        <f>IFERROR(VLOOKUP(S344,TD!$J$33:$K$43,2,0)," ")</f>
        <v>Servicio de atención a incidentes y emergencias.</v>
      </c>
      <c r="U344" s="54" t="str">
        <f t="shared" si="20"/>
        <v>04-Servicio de atención a incidentes y emergencias.</v>
      </c>
      <c r="V344" s="54" t="s">
        <v>233</v>
      </c>
      <c r="W344" s="132" t="str">
        <f>IFERROR(VLOOKUP(V344,TD!$N$33:$O$45,2,0)," ")</f>
        <v>Servicio de atención a emergencias y desastres</v>
      </c>
      <c r="X344" s="54" t="str">
        <f t="shared" si="21"/>
        <v>004_Servicio de atención a emergencias y desastres</v>
      </c>
      <c r="Y344" s="54" t="str">
        <f t="shared" si="22"/>
        <v>04-Servicio de atención a incidentes y emergencias. 004_Servicio de atención a emergencias y desastres</v>
      </c>
      <c r="Z344" s="132" t="str">
        <f t="shared" si="23"/>
        <v>O23011745032024025504004</v>
      </c>
      <c r="AA344" s="132" t="str">
        <f>IFERROR(VLOOKUP(Y344,TD!$K$46:$L$64,2,0)," ")</f>
        <v>PM/0131/0104/45030040255</v>
      </c>
      <c r="AB344" s="57" t="s">
        <v>139</v>
      </c>
      <c r="AC344" s="133" t="s">
        <v>205</v>
      </c>
    </row>
    <row r="345" spans="2:29" s="28" customFormat="1" ht="57">
      <c r="B345" s="85">
        <v>20240976</v>
      </c>
      <c r="C345" s="53" t="s">
        <v>210</v>
      </c>
      <c r="D345" s="130" t="s">
        <v>170</v>
      </c>
      <c r="E345" s="54" t="s">
        <v>456</v>
      </c>
      <c r="F345" s="130" t="s">
        <v>469</v>
      </c>
      <c r="G345" s="130" t="s">
        <v>156</v>
      </c>
      <c r="H345" s="117">
        <v>80111600</v>
      </c>
      <c r="I345" s="131">
        <v>8</v>
      </c>
      <c r="J345" s="131">
        <v>6</v>
      </c>
      <c r="K345" s="56">
        <v>0</v>
      </c>
      <c r="L345" s="57">
        <v>33000000</v>
      </c>
      <c r="M345" s="130" t="s">
        <v>173</v>
      </c>
      <c r="N345" s="57" t="s">
        <v>114</v>
      </c>
      <c r="O345" s="54" t="s">
        <v>223</v>
      </c>
      <c r="P345" s="132" t="str">
        <f>IFERROR(VLOOKUP(C345,TD!$B$32:$F$36,2,0)," ")</f>
        <v>O230117</v>
      </c>
      <c r="Q345" s="132" t="str">
        <f>IFERROR(VLOOKUP(C345,TD!$B$32:$F$36,3,0)," ")</f>
        <v>4503</v>
      </c>
      <c r="R345" s="132">
        <f>IFERROR(VLOOKUP(C345,TD!$B$32:$F$36,4,0)," ")</f>
        <v>20240255</v>
      </c>
      <c r="S345" s="54" t="s">
        <v>176</v>
      </c>
      <c r="T345" s="132" t="str">
        <f>IFERROR(VLOOKUP(S345,TD!$J$33:$K$43,2,0)," ")</f>
        <v>Servicio de atención a incidentes y emergencias.</v>
      </c>
      <c r="U345" s="54" t="str">
        <f t="shared" si="20"/>
        <v>04-Servicio de atención a incidentes y emergencias.</v>
      </c>
      <c r="V345" s="54" t="s">
        <v>233</v>
      </c>
      <c r="W345" s="132" t="str">
        <f>IFERROR(VLOOKUP(V345,TD!$N$33:$O$45,2,0)," ")</f>
        <v>Servicio de atención a emergencias y desastres</v>
      </c>
      <c r="X345" s="54" t="str">
        <f t="shared" si="21"/>
        <v>004_Servicio de atención a emergencias y desastres</v>
      </c>
      <c r="Y345" s="54" t="str">
        <f t="shared" si="22"/>
        <v>04-Servicio de atención a incidentes y emergencias. 004_Servicio de atención a emergencias y desastres</v>
      </c>
      <c r="Z345" s="132" t="str">
        <f t="shared" si="23"/>
        <v>O23011745032024025504004</v>
      </c>
      <c r="AA345" s="132" t="str">
        <f>IFERROR(VLOOKUP(Y345,TD!$K$46:$L$64,2,0)," ")</f>
        <v>PM/0131/0104/45030040255</v>
      </c>
      <c r="AB345" s="57" t="s">
        <v>139</v>
      </c>
      <c r="AC345" s="133" t="s">
        <v>205</v>
      </c>
    </row>
    <row r="346" spans="2:29" s="28" customFormat="1" ht="57">
      <c r="B346" s="85">
        <v>20240977</v>
      </c>
      <c r="C346" s="53" t="s">
        <v>210</v>
      </c>
      <c r="D346" s="130" t="s">
        <v>170</v>
      </c>
      <c r="E346" s="54" t="s">
        <v>456</v>
      </c>
      <c r="F346" s="130" t="s">
        <v>470</v>
      </c>
      <c r="G346" s="130" t="s">
        <v>156</v>
      </c>
      <c r="H346" s="117">
        <v>80111600</v>
      </c>
      <c r="I346" s="131">
        <v>8</v>
      </c>
      <c r="J346" s="131">
        <v>5</v>
      </c>
      <c r="K346" s="56">
        <v>8</v>
      </c>
      <c r="L346" s="57">
        <v>28966666</v>
      </c>
      <c r="M346" s="130" t="s">
        <v>173</v>
      </c>
      <c r="N346" s="57" t="s">
        <v>114</v>
      </c>
      <c r="O346" s="54" t="s">
        <v>223</v>
      </c>
      <c r="P346" s="132" t="str">
        <f>IFERROR(VLOOKUP(C346,TD!$B$32:$F$36,2,0)," ")</f>
        <v>O230117</v>
      </c>
      <c r="Q346" s="132" t="str">
        <f>IFERROR(VLOOKUP(C346,TD!$B$32:$F$36,3,0)," ")</f>
        <v>4503</v>
      </c>
      <c r="R346" s="132">
        <f>IFERROR(VLOOKUP(C346,TD!$B$32:$F$36,4,0)," ")</f>
        <v>20240255</v>
      </c>
      <c r="S346" s="54" t="s">
        <v>176</v>
      </c>
      <c r="T346" s="132" t="str">
        <f>IFERROR(VLOOKUP(S346,TD!$J$33:$K$43,2,0)," ")</f>
        <v>Servicio de atención a incidentes y emergencias.</v>
      </c>
      <c r="U346" s="54" t="str">
        <f t="shared" si="20"/>
        <v>04-Servicio de atención a incidentes y emergencias.</v>
      </c>
      <c r="V346" s="54" t="s">
        <v>233</v>
      </c>
      <c r="W346" s="132" t="str">
        <f>IFERROR(VLOOKUP(V346,TD!$N$33:$O$45,2,0)," ")</f>
        <v>Servicio de atención a emergencias y desastres</v>
      </c>
      <c r="X346" s="54" t="str">
        <f t="shared" si="21"/>
        <v>004_Servicio de atención a emergencias y desastres</v>
      </c>
      <c r="Y346" s="54" t="str">
        <f t="shared" si="22"/>
        <v>04-Servicio de atención a incidentes y emergencias. 004_Servicio de atención a emergencias y desastres</v>
      </c>
      <c r="Z346" s="132" t="str">
        <f t="shared" si="23"/>
        <v>O23011745032024025504004</v>
      </c>
      <c r="AA346" s="132" t="str">
        <f>IFERROR(VLOOKUP(Y346,TD!$K$46:$L$64,2,0)," ")</f>
        <v>PM/0131/0104/45030040255</v>
      </c>
      <c r="AB346" s="57" t="s">
        <v>139</v>
      </c>
      <c r="AC346" s="133" t="s">
        <v>205</v>
      </c>
    </row>
    <row r="347" spans="2:29" s="28" customFormat="1" ht="57">
      <c r="B347" s="85">
        <v>20240978</v>
      </c>
      <c r="C347" s="53" t="s">
        <v>210</v>
      </c>
      <c r="D347" s="130" t="s">
        <v>170</v>
      </c>
      <c r="E347" s="54" t="s">
        <v>456</v>
      </c>
      <c r="F347" s="130" t="s">
        <v>471</v>
      </c>
      <c r="G347" s="130" t="s">
        <v>156</v>
      </c>
      <c r="H347" s="117">
        <v>80111600</v>
      </c>
      <c r="I347" s="131">
        <v>8</v>
      </c>
      <c r="J347" s="131">
        <v>5</v>
      </c>
      <c r="K347" s="56">
        <v>19</v>
      </c>
      <c r="L347" s="57">
        <v>30983333</v>
      </c>
      <c r="M347" s="130" t="s">
        <v>173</v>
      </c>
      <c r="N347" s="57" t="s">
        <v>114</v>
      </c>
      <c r="O347" s="54" t="s">
        <v>223</v>
      </c>
      <c r="P347" s="132" t="str">
        <f>IFERROR(VLOOKUP(C347,TD!$B$32:$F$36,2,0)," ")</f>
        <v>O230117</v>
      </c>
      <c r="Q347" s="132" t="str">
        <f>IFERROR(VLOOKUP(C347,TD!$B$32:$F$36,3,0)," ")</f>
        <v>4503</v>
      </c>
      <c r="R347" s="132">
        <f>IFERROR(VLOOKUP(C347,TD!$B$32:$F$36,4,0)," ")</f>
        <v>20240255</v>
      </c>
      <c r="S347" s="54" t="s">
        <v>176</v>
      </c>
      <c r="T347" s="132" t="str">
        <f>IFERROR(VLOOKUP(S347,TD!$J$33:$K$43,2,0)," ")</f>
        <v>Servicio de atención a incidentes y emergencias.</v>
      </c>
      <c r="U347" s="54" t="str">
        <f t="shared" si="20"/>
        <v>04-Servicio de atención a incidentes y emergencias.</v>
      </c>
      <c r="V347" s="54" t="s">
        <v>233</v>
      </c>
      <c r="W347" s="132" t="str">
        <f>IFERROR(VLOOKUP(V347,TD!$N$33:$O$45,2,0)," ")</f>
        <v>Servicio de atención a emergencias y desastres</v>
      </c>
      <c r="X347" s="54" t="str">
        <f t="shared" si="21"/>
        <v>004_Servicio de atención a emergencias y desastres</v>
      </c>
      <c r="Y347" s="54" t="str">
        <f t="shared" si="22"/>
        <v>04-Servicio de atención a incidentes y emergencias. 004_Servicio de atención a emergencias y desastres</v>
      </c>
      <c r="Z347" s="132" t="str">
        <f t="shared" si="23"/>
        <v>O23011745032024025504004</v>
      </c>
      <c r="AA347" s="132" t="str">
        <f>IFERROR(VLOOKUP(Y347,TD!$K$46:$L$64,2,0)," ")</f>
        <v>PM/0131/0104/45030040255</v>
      </c>
      <c r="AB347" s="57" t="s">
        <v>139</v>
      </c>
      <c r="AC347" s="133" t="s">
        <v>205</v>
      </c>
    </row>
    <row r="348" spans="2:29" s="28" customFormat="1" ht="57">
      <c r="B348" s="85">
        <v>20240979</v>
      </c>
      <c r="C348" s="53" t="s">
        <v>210</v>
      </c>
      <c r="D348" s="130" t="s">
        <v>170</v>
      </c>
      <c r="E348" s="54" t="s">
        <v>456</v>
      </c>
      <c r="F348" s="130" t="s">
        <v>472</v>
      </c>
      <c r="G348" s="130" t="s">
        <v>156</v>
      </c>
      <c r="H348" s="117">
        <v>80111600</v>
      </c>
      <c r="I348" s="131">
        <v>8</v>
      </c>
      <c r="J348" s="131">
        <v>5</v>
      </c>
      <c r="K348" s="56">
        <v>24</v>
      </c>
      <c r="L348" s="57">
        <v>31900000</v>
      </c>
      <c r="M348" s="130" t="s">
        <v>173</v>
      </c>
      <c r="N348" s="57" t="s">
        <v>114</v>
      </c>
      <c r="O348" s="54" t="s">
        <v>223</v>
      </c>
      <c r="P348" s="132" t="str">
        <f>IFERROR(VLOOKUP(C348,TD!$B$32:$F$36,2,0)," ")</f>
        <v>O230117</v>
      </c>
      <c r="Q348" s="132" t="str">
        <f>IFERROR(VLOOKUP(C348,TD!$B$32:$F$36,3,0)," ")</f>
        <v>4503</v>
      </c>
      <c r="R348" s="132">
        <f>IFERROR(VLOOKUP(C348,TD!$B$32:$F$36,4,0)," ")</f>
        <v>20240255</v>
      </c>
      <c r="S348" s="54" t="s">
        <v>176</v>
      </c>
      <c r="T348" s="132" t="str">
        <f>IFERROR(VLOOKUP(S348,TD!$J$33:$K$43,2,0)," ")</f>
        <v>Servicio de atención a incidentes y emergencias.</v>
      </c>
      <c r="U348" s="54" t="str">
        <f t="shared" si="20"/>
        <v>04-Servicio de atención a incidentes y emergencias.</v>
      </c>
      <c r="V348" s="54" t="s">
        <v>233</v>
      </c>
      <c r="W348" s="132" t="str">
        <f>IFERROR(VLOOKUP(V348,TD!$N$33:$O$45,2,0)," ")</f>
        <v>Servicio de atención a emergencias y desastres</v>
      </c>
      <c r="X348" s="54" t="str">
        <f t="shared" si="21"/>
        <v>004_Servicio de atención a emergencias y desastres</v>
      </c>
      <c r="Y348" s="54" t="str">
        <f t="shared" si="22"/>
        <v>04-Servicio de atención a incidentes y emergencias. 004_Servicio de atención a emergencias y desastres</v>
      </c>
      <c r="Z348" s="132" t="str">
        <f t="shared" si="23"/>
        <v>O23011745032024025504004</v>
      </c>
      <c r="AA348" s="132" t="str">
        <f>IFERROR(VLOOKUP(Y348,TD!$K$46:$L$64,2,0)," ")</f>
        <v>PM/0131/0104/45030040255</v>
      </c>
      <c r="AB348" s="57" t="s">
        <v>139</v>
      </c>
      <c r="AC348" s="133" t="s">
        <v>205</v>
      </c>
    </row>
    <row r="349" spans="2:29" s="28" customFormat="1" ht="57">
      <c r="B349" s="85">
        <v>20240980</v>
      </c>
      <c r="C349" s="53" t="s">
        <v>210</v>
      </c>
      <c r="D349" s="130" t="s">
        <v>170</v>
      </c>
      <c r="E349" s="54" t="s">
        <v>456</v>
      </c>
      <c r="F349" s="130" t="s">
        <v>473</v>
      </c>
      <c r="G349" s="130" t="s">
        <v>156</v>
      </c>
      <c r="H349" s="117">
        <v>80111600</v>
      </c>
      <c r="I349" s="131">
        <v>7</v>
      </c>
      <c r="J349" s="131">
        <v>6</v>
      </c>
      <c r="K349" s="56">
        <v>0</v>
      </c>
      <c r="L349" s="57">
        <v>33000000</v>
      </c>
      <c r="M349" s="130" t="s">
        <v>173</v>
      </c>
      <c r="N349" s="57" t="s">
        <v>114</v>
      </c>
      <c r="O349" s="54" t="s">
        <v>223</v>
      </c>
      <c r="P349" s="132" t="str">
        <f>IFERROR(VLOOKUP(C349,TD!$B$32:$F$36,2,0)," ")</f>
        <v>O230117</v>
      </c>
      <c r="Q349" s="132" t="str">
        <f>IFERROR(VLOOKUP(C349,TD!$B$32:$F$36,3,0)," ")</f>
        <v>4503</v>
      </c>
      <c r="R349" s="132">
        <f>IFERROR(VLOOKUP(C349,TD!$B$32:$F$36,4,0)," ")</f>
        <v>20240255</v>
      </c>
      <c r="S349" s="54" t="s">
        <v>176</v>
      </c>
      <c r="T349" s="132" t="str">
        <f>IFERROR(VLOOKUP(S349,TD!$J$33:$K$43,2,0)," ")</f>
        <v>Servicio de atención a incidentes y emergencias.</v>
      </c>
      <c r="U349" s="54" t="str">
        <f t="shared" si="20"/>
        <v>04-Servicio de atención a incidentes y emergencias.</v>
      </c>
      <c r="V349" s="54" t="s">
        <v>233</v>
      </c>
      <c r="W349" s="132" t="str">
        <f>IFERROR(VLOOKUP(V349,TD!$N$33:$O$45,2,0)," ")</f>
        <v>Servicio de atención a emergencias y desastres</v>
      </c>
      <c r="X349" s="54" t="str">
        <f t="shared" si="21"/>
        <v>004_Servicio de atención a emergencias y desastres</v>
      </c>
      <c r="Y349" s="54" t="str">
        <f t="shared" si="22"/>
        <v>04-Servicio de atención a incidentes y emergencias. 004_Servicio de atención a emergencias y desastres</v>
      </c>
      <c r="Z349" s="132" t="str">
        <f t="shared" si="23"/>
        <v>O23011745032024025504004</v>
      </c>
      <c r="AA349" s="132" t="str">
        <f>IFERROR(VLOOKUP(Y349,TD!$K$46:$L$64,2,0)," ")</f>
        <v>PM/0131/0104/45030040255</v>
      </c>
      <c r="AB349" s="57" t="s">
        <v>139</v>
      </c>
      <c r="AC349" s="133" t="s">
        <v>205</v>
      </c>
    </row>
    <row r="350" spans="2:29" s="28" customFormat="1" ht="85.5">
      <c r="B350" s="85">
        <v>20240981</v>
      </c>
      <c r="C350" s="53" t="s">
        <v>210</v>
      </c>
      <c r="D350" s="130" t="s">
        <v>170</v>
      </c>
      <c r="E350" s="54" t="s">
        <v>456</v>
      </c>
      <c r="F350" s="130" t="s">
        <v>474</v>
      </c>
      <c r="G350" s="130" t="s">
        <v>156</v>
      </c>
      <c r="H350" s="117">
        <v>80111600</v>
      </c>
      <c r="I350" s="131">
        <v>8</v>
      </c>
      <c r="J350" s="131">
        <v>5</v>
      </c>
      <c r="K350" s="56">
        <v>15</v>
      </c>
      <c r="L350" s="57">
        <v>39000000</v>
      </c>
      <c r="M350" s="130" t="s">
        <v>173</v>
      </c>
      <c r="N350" s="57" t="s">
        <v>114</v>
      </c>
      <c r="O350" s="54" t="s">
        <v>223</v>
      </c>
      <c r="P350" s="132" t="str">
        <f>IFERROR(VLOOKUP(C350,TD!$B$32:$F$36,2,0)," ")</f>
        <v>O230117</v>
      </c>
      <c r="Q350" s="132" t="str">
        <f>IFERROR(VLOOKUP(C350,TD!$B$32:$F$36,3,0)," ")</f>
        <v>4503</v>
      </c>
      <c r="R350" s="132">
        <f>IFERROR(VLOOKUP(C350,TD!$B$32:$F$36,4,0)," ")</f>
        <v>20240255</v>
      </c>
      <c r="S350" s="54" t="s">
        <v>176</v>
      </c>
      <c r="T350" s="132" t="str">
        <f>IFERROR(VLOOKUP(S350,TD!$J$33:$K$43,2,0)," ")</f>
        <v>Servicio de atención a incidentes y emergencias.</v>
      </c>
      <c r="U350" s="54" t="str">
        <f t="shared" si="20"/>
        <v>04-Servicio de atención a incidentes y emergencias.</v>
      </c>
      <c r="V350" s="54" t="s">
        <v>233</v>
      </c>
      <c r="W350" s="132" t="str">
        <f>IFERROR(VLOOKUP(V350,TD!$N$33:$O$45,2,0)," ")</f>
        <v>Servicio de atención a emergencias y desastres</v>
      </c>
      <c r="X350" s="54" t="str">
        <f t="shared" si="21"/>
        <v>004_Servicio de atención a emergencias y desastres</v>
      </c>
      <c r="Y350" s="54" t="str">
        <f t="shared" si="22"/>
        <v>04-Servicio de atención a incidentes y emergencias. 004_Servicio de atención a emergencias y desastres</v>
      </c>
      <c r="Z350" s="132" t="str">
        <f t="shared" si="23"/>
        <v>O23011745032024025504004</v>
      </c>
      <c r="AA350" s="132" t="str">
        <f>IFERROR(VLOOKUP(Y350,TD!$K$46:$L$64,2,0)," ")</f>
        <v>PM/0131/0104/45030040255</v>
      </c>
      <c r="AB350" s="57" t="s">
        <v>139</v>
      </c>
      <c r="AC350" s="133" t="s">
        <v>205</v>
      </c>
    </row>
    <row r="351" spans="2:29" s="28" customFormat="1" ht="57">
      <c r="B351" s="85">
        <v>20240982</v>
      </c>
      <c r="C351" s="53" t="s">
        <v>210</v>
      </c>
      <c r="D351" s="130" t="s">
        <v>170</v>
      </c>
      <c r="E351" s="54" t="s">
        <v>456</v>
      </c>
      <c r="F351" s="130" t="s">
        <v>475</v>
      </c>
      <c r="G351" s="130" t="s">
        <v>156</v>
      </c>
      <c r="H351" s="117">
        <v>80111600</v>
      </c>
      <c r="I351" s="131">
        <v>7</v>
      </c>
      <c r="J351" s="131">
        <v>6</v>
      </c>
      <c r="K351" s="56">
        <v>9</v>
      </c>
      <c r="L351" s="57">
        <v>42210000</v>
      </c>
      <c r="M351" s="130" t="s">
        <v>173</v>
      </c>
      <c r="N351" s="57" t="s">
        <v>114</v>
      </c>
      <c r="O351" s="54" t="s">
        <v>223</v>
      </c>
      <c r="P351" s="132" t="str">
        <f>IFERROR(VLOOKUP(C351,TD!$B$32:$F$36,2,0)," ")</f>
        <v>O230117</v>
      </c>
      <c r="Q351" s="132" t="str">
        <f>IFERROR(VLOOKUP(C351,TD!$B$32:$F$36,3,0)," ")</f>
        <v>4503</v>
      </c>
      <c r="R351" s="132">
        <f>IFERROR(VLOOKUP(C351,TD!$B$32:$F$36,4,0)," ")</f>
        <v>20240255</v>
      </c>
      <c r="S351" s="54" t="s">
        <v>176</v>
      </c>
      <c r="T351" s="132" t="str">
        <f>IFERROR(VLOOKUP(S351,TD!$J$33:$K$43,2,0)," ")</f>
        <v>Servicio de atención a incidentes y emergencias.</v>
      </c>
      <c r="U351" s="54" t="str">
        <f t="shared" si="20"/>
        <v>04-Servicio de atención a incidentes y emergencias.</v>
      </c>
      <c r="V351" s="54" t="s">
        <v>233</v>
      </c>
      <c r="W351" s="132" t="str">
        <f>IFERROR(VLOOKUP(V351,TD!$N$33:$O$45,2,0)," ")</f>
        <v>Servicio de atención a emergencias y desastres</v>
      </c>
      <c r="X351" s="54" t="str">
        <f t="shared" si="21"/>
        <v>004_Servicio de atención a emergencias y desastres</v>
      </c>
      <c r="Y351" s="54" t="str">
        <f t="shared" si="22"/>
        <v>04-Servicio de atención a incidentes y emergencias. 004_Servicio de atención a emergencias y desastres</v>
      </c>
      <c r="Z351" s="132" t="str">
        <f t="shared" si="23"/>
        <v>O23011745032024025504004</v>
      </c>
      <c r="AA351" s="132" t="str">
        <f>IFERROR(VLOOKUP(Y351,TD!$K$46:$L$64,2,0)," ")</f>
        <v>PM/0131/0104/45030040255</v>
      </c>
      <c r="AB351" s="57" t="s">
        <v>139</v>
      </c>
      <c r="AC351" s="133" t="s">
        <v>205</v>
      </c>
    </row>
    <row r="352" spans="2:29" s="28" customFormat="1" ht="57">
      <c r="B352" s="85">
        <v>20240983</v>
      </c>
      <c r="C352" s="53" t="s">
        <v>210</v>
      </c>
      <c r="D352" s="130" t="s">
        <v>170</v>
      </c>
      <c r="E352" s="54" t="s">
        <v>456</v>
      </c>
      <c r="F352" s="130" t="s">
        <v>476</v>
      </c>
      <c r="G352" s="130" t="s">
        <v>156</v>
      </c>
      <c r="H352" s="117">
        <v>80111600</v>
      </c>
      <c r="I352" s="131">
        <v>10</v>
      </c>
      <c r="J352" s="131">
        <v>3</v>
      </c>
      <c r="K352" s="56">
        <v>25</v>
      </c>
      <c r="L352" s="57">
        <v>26833333</v>
      </c>
      <c r="M352" s="130" t="s">
        <v>173</v>
      </c>
      <c r="N352" s="57" t="s">
        <v>114</v>
      </c>
      <c r="O352" s="54" t="s">
        <v>223</v>
      </c>
      <c r="P352" s="132" t="str">
        <f>IFERROR(VLOOKUP(C352,TD!$B$32:$F$36,2,0)," ")</f>
        <v>O230117</v>
      </c>
      <c r="Q352" s="132" t="str">
        <f>IFERROR(VLOOKUP(C352,TD!$B$32:$F$36,3,0)," ")</f>
        <v>4503</v>
      </c>
      <c r="R352" s="132">
        <f>IFERROR(VLOOKUP(C352,TD!$B$32:$F$36,4,0)," ")</f>
        <v>20240255</v>
      </c>
      <c r="S352" s="54" t="s">
        <v>176</v>
      </c>
      <c r="T352" s="132" t="str">
        <f>IFERROR(VLOOKUP(S352,TD!$J$33:$K$43,2,0)," ")</f>
        <v>Servicio de atención a incidentes y emergencias.</v>
      </c>
      <c r="U352" s="54" t="str">
        <f t="shared" si="20"/>
        <v>04-Servicio de atención a incidentes y emergencias.</v>
      </c>
      <c r="V352" s="54" t="s">
        <v>233</v>
      </c>
      <c r="W352" s="132" t="str">
        <f>IFERROR(VLOOKUP(V352,TD!$N$33:$O$45,2,0)," ")</f>
        <v>Servicio de atención a emergencias y desastres</v>
      </c>
      <c r="X352" s="54" t="str">
        <f t="shared" si="21"/>
        <v>004_Servicio de atención a emergencias y desastres</v>
      </c>
      <c r="Y352" s="54" t="str">
        <f t="shared" si="22"/>
        <v>04-Servicio de atención a incidentes y emergencias. 004_Servicio de atención a emergencias y desastres</v>
      </c>
      <c r="Z352" s="132" t="str">
        <f t="shared" si="23"/>
        <v>O23011745032024025504004</v>
      </c>
      <c r="AA352" s="132" t="str">
        <f>IFERROR(VLOOKUP(Y352,TD!$K$46:$L$64,2,0)," ")</f>
        <v>PM/0131/0104/45030040255</v>
      </c>
      <c r="AB352" s="57" t="s">
        <v>139</v>
      </c>
      <c r="AC352" s="133" t="s">
        <v>205</v>
      </c>
    </row>
    <row r="353" spans="2:29" s="28" customFormat="1" ht="57">
      <c r="B353" s="85">
        <v>20240984</v>
      </c>
      <c r="C353" s="53" t="s">
        <v>210</v>
      </c>
      <c r="D353" s="130" t="s">
        <v>170</v>
      </c>
      <c r="E353" s="54" t="s">
        <v>456</v>
      </c>
      <c r="F353" s="130" t="s">
        <v>477</v>
      </c>
      <c r="G353" s="130" t="s">
        <v>156</v>
      </c>
      <c r="H353" s="117">
        <v>80111600</v>
      </c>
      <c r="I353" s="131">
        <v>8</v>
      </c>
      <c r="J353" s="131">
        <v>5</v>
      </c>
      <c r="K353" s="56">
        <v>14</v>
      </c>
      <c r="L353" s="57">
        <v>41766666</v>
      </c>
      <c r="M353" s="130" t="s">
        <v>173</v>
      </c>
      <c r="N353" s="57" t="s">
        <v>114</v>
      </c>
      <c r="O353" s="54" t="s">
        <v>223</v>
      </c>
      <c r="P353" s="132" t="str">
        <f>IFERROR(VLOOKUP(C353,TD!$B$32:$F$36,2,0)," ")</f>
        <v>O230117</v>
      </c>
      <c r="Q353" s="132" t="str">
        <f>IFERROR(VLOOKUP(C353,TD!$B$32:$F$36,3,0)," ")</f>
        <v>4503</v>
      </c>
      <c r="R353" s="132">
        <f>IFERROR(VLOOKUP(C353,TD!$B$32:$F$36,4,0)," ")</f>
        <v>20240255</v>
      </c>
      <c r="S353" s="54" t="s">
        <v>176</v>
      </c>
      <c r="T353" s="132" t="str">
        <f>IFERROR(VLOOKUP(S353,TD!$J$33:$K$43,2,0)," ")</f>
        <v>Servicio de atención a incidentes y emergencias.</v>
      </c>
      <c r="U353" s="54" t="str">
        <f t="shared" si="20"/>
        <v>04-Servicio de atención a incidentes y emergencias.</v>
      </c>
      <c r="V353" s="54" t="s">
        <v>233</v>
      </c>
      <c r="W353" s="132" t="str">
        <f>IFERROR(VLOOKUP(V353,TD!$N$33:$O$45,2,0)," ")</f>
        <v>Servicio de atención a emergencias y desastres</v>
      </c>
      <c r="X353" s="54" t="str">
        <f t="shared" si="21"/>
        <v>004_Servicio de atención a emergencias y desastres</v>
      </c>
      <c r="Y353" s="54" t="str">
        <f t="shared" si="22"/>
        <v>04-Servicio de atención a incidentes y emergencias. 004_Servicio de atención a emergencias y desastres</v>
      </c>
      <c r="Z353" s="132" t="str">
        <f t="shared" si="23"/>
        <v>O23011745032024025504004</v>
      </c>
      <c r="AA353" s="132" t="str">
        <f>IFERROR(VLOOKUP(Y353,TD!$K$46:$L$64,2,0)," ")</f>
        <v>PM/0131/0104/45030040255</v>
      </c>
      <c r="AB353" s="57" t="s">
        <v>139</v>
      </c>
      <c r="AC353" s="133" t="s">
        <v>205</v>
      </c>
    </row>
    <row r="354" spans="2:29" s="28" customFormat="1" ht="57">
      <c r="B354" s="85">
        <v>20240985</v>
      </c>
      <c r="C354" s="53" t="s">
        <v>210</v>
      </c>
      <c r="D354" s="130" t="s">
        <v>170</v>
      </c>
      <c r="E354" s="54" t="s">
        <v>456</v>
      </c>
      <c r="F354" s="130" t="s">
        <v>478</v>
      </c>
      <c r="G354" s="130" t="s">
        <v>156</v>
      </c>
      <c r="H354" s="117">
        <v>80111600</v>
      </c>
      <c r="I354" s="131">
        <v>10</v>
      </c>
      <c r="J354" s="131">
        <v>4</v>
      </c>
      <c r="K354" s="56">
        <v>8</v>
      </c>
      <c r="L354" s="57">
        <v>29866666</v>
      </c>
      <c r="M354" s="130" t="s">
        <v>173</v>
      </c>
      <c r="N354" s="57" t="s">
        <v>114</v>
      </c>
      <c r="O354" s="54" t="s">
        <v>223</v>
      </c>
      <c r="P354" s="132" t="str">
        <f>IFERROR(VLOOKUP(C354,TD!$B$32:$F$36,2,0)," ")</f>
        <v>O230117</v>
      </c>
      <c r="Q354" s="132" t="str">
        <f>IFERROR(VLOOKUP(C354,TD!$B$32:$F$36,3,0)," ")</f>
        <v>4503</v>
      </c>
      <c r="R354" s="132">
        <f>IFERROR(VLOOKUP(C354,TD!$B$32:$F$36,4,0)," ")</f>
        <v>20240255</v>
      </c>
      <c r="S354" s="54" t="s">
        <v>176</v>
      </c>
      <c r="T354" s="132" t="str">
        <f>IFERROR(VLOOKUP(S354,TD!$J$33:$K$43,2,0)," ")</f>
        <v>Servicio de atención a incidentes y emergencias.</v>
      </c>
      <c r="U354" s="54" t="str">
        <f t="shared" si="20"/>
        <v>04-Servicio de atención a incidentes y emergencias.</v>
      </c>
      <c r="V354" s="54" t="s">
        <v>233</v>
      </c>
      <c r="W354" s="132" t="str">
        <f>IFERROR(VLOOKUP(V354,TD!$N$33:$O$45,2,0)," ")</f>
        <v>Servicio de atención a emergencias y desastres</v>
      </c>
      <c r="X354" s="54" t="str">
        <f t="shared" si="21"/>
        <v>004_Servicio de atención a emergencias y desastres</v>
      </c>
      <c r="Y354" s="54" t="str">
        <f t="shared" si="22"/>
        <v>04-Servicio de atención a incidentes y emergencias. 004_Servicio de atención a emergencias y desastres</v>
      </c>
      <c r="Z354" s="132" t="str">
        <f t="shared" si="23"/>
        <v>O23011745032024025504004</v>
      </c>
      <c r="AA354" s="132" t="str">
        <f>IFERROR(VLOOKUP(Y354,TD!$K$46:$L$64,2,0)," ")</f>
        <v>PM/0131/0104/45030040255</v>
      </c>
      <c r="AB354" s="57" t="s">
        <v>139</v>
      </c>
      <c r="AC354" s="133" t="s">
        <v>205</v>
      </c>
    </row>
    <row r="355" spans="2:29" s="28" customFormat="1" ht="57">
      <c r="B355" s="85">
        <v>20240986</v>
      </c>
      <c r="C355" s="53" t="s">
        <v>210</v>
      </c>
      <c r="D355" s="130" t="s">
        <v>170</v>
      </c>
      <c r="E355" s="54" t="s">
        <v>456</v>
      </c>
      <c r="F355" s="130" t="s">
        <v>479</v>
      </c>
      <c r="G355" s="130" t="s">
        <v>156</v>
      </c>
      <c r="H355" s="117">
        <v>80111600</v>
      </c>
      <c r="I355" s="131">
        <v>12</v>
      </c>
      <c r="J355" s="131">
        <v>1</v>
      </c>
      <c r="K355" s="56">
        <v>2</v>
      </c>
      <c r="L355" s="57">
        <v>7466666</v>
      </c>
      <c r="M355" s="130" t="s">
        <v>173</v>
      </c>
      <c r="N355" s="57" t="s">
        <v>114</v>
      </c>
      <c r="O355" s="54" t="s">
        <v>223</v>
      </c>
      <c r="P355" s="132" t="str">
        <f>IFERROR(VLOOKUP(C355,TD!$B$32:$F$36,2,0)," ")</f>
        <v>O230117</v>
      </c>
      <c r="Q355" s="132" t="str">
        <f>IFERROR(VLOOKUP(C355,TD!$B$32:$F$36,3,0)," ")</f>
        <v>4503</v>
      </c>
      <c r="R355" s="132">
        <f>IFERROR(VLOOKUP(C355,TD!$B$32:$F$36,4,0)," ")</f>
        <v>20240255</v>
      </c>
      <c r="S355" s="54" t="s">
        <v>176</v>
      </c>
      <c r="T355" s="132" t="str">
        <f>IFERROR(VLOOKUP(S355,TD!$J$33:$K$43,2,0)," ")</f>
        <v>Servicio de atención a incidentes y emergencias.</v>
      </c>
      <c r="U355" s="54" t="str">
        <f t="shared" si="20"/>
        <v>04-Servicio de atención a incidentes y emergencias.</v>
      </c>
      <c r="V355" s="54" t="s">
        <v>233</v>
      </c>
      <c r="W355" s="132" t="str">
        <f>IFERROR(VLOOKUP(V355,TD!$N$33:$O$45,2,0)," ")</f>
        <v>Servicio de atención a emergencias y desastres</v>
      </c>
      <c r="X355" s="54" t="str">
        <f t="shared" si="21"/>
        <v>004_Servicio de atención a emergencias y desastres</v>
      </c>
      <c r="Y355" s="54" t="str">
        <f t="shared" si="22"/>
        <v>04-Servicio de atención a incidentes y emergencias. 004_Servicio de atención a emergencias y desastres</v>
      </c>
      <c r="Z355" s="132" t="str">
        <f t="shared" si="23"/>
        <v>O23011745032024025504004</v>
      </c>
      <c r="AA355" s="132" t="str">
        <f>IFERROR(VLOOKUP(Y355,TD!$K$46:$L$64,2,0)," ")</f>
        <v>PM/0131/0104/45030040255</v>
      </c>
      <c r="AB355" s="57" t="s">
        <v>139</v>
      </c>
      <c r="AC355" s="133" t="s">
        <v>205</v>
      </c>
    </row>
    <row r="356" spans="2:29" s="28" customFormat="1" ht="57">
      <c r="B356" s="85">
        <v>20240987</v>
      </c>
      <c r="C356" s="53" t="s">
        <v>210</v>
      </c>
      <c r="D356" s="130" t="s">
        <v>170</v>
      </c>
      <c r="E356" s="54" t="s">
        <v>456</v>
      </c>
      <c r="F356" s="130" t="s">
        <v>480</v>
      </c>
      <c r="G356" s="130" t="s">
        <v>156</v>
      </c>
      <c r="H356" s="117">
        <v>80111600</v>
      </c>
      <c r="I356" s="131">
        <v>7</v>
      </c>
      <c r="J356" s="131">
        <v>6</v>
      </c>
      <c r="K356" s="56">
        <v>25</v>
      </c>
      <c r="L356" s="57">
        <v>58083333</v>
      </c>
      <c r="M356" s="130" t="s">
        <v>173</v>
      </c>
      <c r="N356" s="57" t="s">
        <v>114</v>
      </c>
      <c r="O356" s="54" t="s">
        <v>223</v>
      </c>
      <c r="P356" s="132" t="str">
        <f>IFERROR(VLOOKUP(C356,TD!$B$32:$F$36,2,0)," ")</f>
        <v>O230117</v>
      </c>
      <c r="Q356" s="132" t="str">
        <f>IFERROR(VLOOKUP(C356,TD!$B$32:$F$36,3,0)," ")</f>
        <v>4503</v>
      </c>
      <c r="R356" s="132">
        <f>IFERROR(VLOOKUP(C356,TD!$B$32:$F$36,4,0)," ")</f>
        <v>20240255</v>
      </c>
      <c r="S356" s="54" t="s">
        <v>176</v>
      </c>
      <c r="T356" s="132" t="str">
        <f>IFERROR(VLOOKUP(S356,TD!$J$33:$K$43,2,0)," ")</f>
        <v>Servicio de atención a incidentes y emergencias.</v>
      </c>
      <c r="U356" s="54" t="str">
        <f t="shared" si="20"/>
        <v>04-Servicio de atención a incidentes y emergencias.</v>
      </c>
      <c r="V356" s="54" t="s">
        <v>233</v>
      </c>
      <c r="W356" s="132" t="str">
        <f>IFERROR(VLOOKUP(V356,TD!$N$33:$O$45,2,0)," ")</f>
        <v>Servicio de atención a emergencias y desastres</v>
      </c>
      <c r="X356" s="54" t="str">
        <f t="shared" si="21"/>
        <v>004_Servicio de atención a emergencias y desastres</v>
      </c>
      <c r="Y356" s="54" t="str">
        <f t="shared" si="22"/>
        <v>04-Servicio de atención a incidentes y emergencias. 004_Servicio de atención a emergencias y desastres</v>
      </c>
      <c r="Z356" s="132" t="str">
        <f t="shared" si="23"/>
        <v>O23011745032024025504004</v>
      </c>
      <c r="AA356" s="132" t="str">
        <f>IFERROR(VLOOKUP(Y356,TD!$K$46:$L$64,2,0)," ")</f>
        <v>PM/0131/0104/45030040255</v>
      </c>
      <c r="AB356" s="57" t="s">
        <v>139</v>
      </c>
      <c r="AC356" s="133" t="s">
        <v>205</v>
      </c>
    </row>
    <row r="357" spans="2:29" s="28" customFormat="1" ht="85.5">
      <c r="B357" s="85">
        <v>20240988</v>
      </c>
      <c r="C357" s="53" t="s">
        <v>210</v>
      </c>
      <c r="D357" s="130" t="s">
        <v>170</v>
      </c>
      <c r="E357" s="54" t="s">
        <v>456</v>
      </c>
      <c r="F357" s="130" t="s">
        <v>481</v>
      </c>
      <c r="G357" s="130" t="s">
        <v>156</v>
      </c>
      <c r="H357" s="117">
        <v>80111600</v>
      </c>
      <c r="I357" s="131">
        <v>8</v>
      </c>
      <c r="J357" s="131">
        <v>5</v>
      </c>
      <c r="K357" s="56">
        <v>26</v>
      </c>
      <c r="L357" s="57">
        <v>52800000</v>
      </c>
      <c r="M357" s="130" t="s">
        <v>173</v>
      </c>
      <c r="N357" s="57" t="s">
        <v>114</v>
      </c>
      <c r="O357" s="54" t="s">
        <v>223</v>
      </c>
      <c r="P357" s="132" t="str">
        <f>IFERROR(VLOOKUP(C357,TD!$B$32:$F$36,2,0)," ")</f>
        <v>O230117</v>
      </c>
      <c r="Q357" s="132" t="str">
        <f>IFERROR(VLOOKUP(C357,TD!$B$32:$F$36,3,0)," ")</f>
        <v>4503</v>
      </c>
      <c r="R357" s="132">
        <f>IFERROR(VLOOKUP(C357,TD!$B$32:$F$36,4,0)," ")</f>
        <v>20240255</v>
      </c>
      <c r="S357" s="54" t="s">
        <v>176</v>
      </c>
      <c r="T357" s="132" t="str">
        <f>IFERROR(VLOOKUP(S357,TD!$J$33:$K$43,2,0)," ")</f>
        <v>Servicio de atención a incidentes y emergencias.</v>
      </c>
      <c r="U357" s="54" t="str">
        <f t="shared" si="20"/>
        <v>04-Servicio de atención a incidentes y emergencias.</v>
      </c>
      <c r="V357" s="54" t="s">
        <v>233</v>
      </c>
      <c r="W357" s="132" t="str">
        <f>IFERROR(VLOOKUP(V357,TD!$N$33:$O$45,2,0)," ")</f>
        <v>Servicio de atención a emergencias y desastres</v>
      </c>
      <c r="X357" s="54" t="str">
        <f t="shared" si="21"/>
        <v>004_Servicio de atención a emergencias y desastres</v>
      </c>
      <c r="Y357" s="54" t="str">
        <f t="shared" si="22"/>
        <v>04-Servicio de atención a incidentes y emergencias. 004_Servicio de atención a emergencias y desastres</v>
      </c>
      <c r="Z357" s="132" t="str">
        <f t="shared" si="23"/>
        <v>O23011745032024025504004</v>
      </c>
      <c r="AA357" s="132" t="str">
        <f>IFERROR(VLOOKUP(Y357,TD!$K$46:$L$64,2,0)," ")</f>
        <v>PM/0131/0104/45030040255</v>
      </c>
      <c r="AB357" s="57" t="s">
        <v>139</v>
      </c>
      <c r="AC357" s="133" t="s">
        <v>205</v>
      </c>
    </row>
    <row r="358" spans="2:29" s="28" customFormat="1" ht="57">
      <c r="B358" s="85">
        <v>20240989</v>
      </c>
      <c r="C358" s="53" t="s">
        <v>210</v>
      </c>
      <c r="D358" s="130" t="s">
        <v>170</v>
      </c>
      <c r="E358" s="54" t="s">
        <v>456</v>
      </c>
      <c r="F358" s="130" t="s">
        <v>482</v>
      </c>
      <c r="G358" s="130" t="s">
        <v>156</v>
      </c>
      <c r="H358" s="117">
        <v>80111600</v>
      </c>
      <c r="I358" s="131">
        <v>12</v>
      </c>
      <c r="J358" s="131">
        <v>0</v>
      </c>
      <c r="K358" s="56">
        <v>20</v>
      </c>
      <c r="L358" s="57">
        <v>5333333</v>
      </c>
      <c r="M358" s="130" t="s">
        <v>173</v>
      </c>
      <c r="N358" s="57" t="s">
        <v>114</v>
      </c>
      <c r="O358" s="54" t="s">
        <v>223</v>
      </c>
      <c r="P358" s="132" t="str">
        <f>IFERROR(VLOOKUP(C358,TD!$B$32:$F$36,2,0)," ")</f>
        <v>O230117</v>
      </c>
      <c r="Q358" s="132" t="str">
        <f>IFERROR(VLOOKUP(C358,TD!$B$32:$F$36,3,0)," ")</f>
        <v>4503</v>
      </c>
      <c r="R358" s="132">
        <f>IFERROR(VLOOKUP(C358,TD!$B$32:$F$36,4,0)," ")</f>
        <v>20240255</v>
      </c>
      <c r="S358" s="54" t="s">
        <v>176</v>
      </c>
      <c r="T358" s="132" t="str">
        <f>IFERROR(VLOOKUP(S358,TD!$J$33:$K$43,2,0)," ")</f>
        <v>Servicio de atención a incidentes y emergencias.</v>
      </c>
      <c r="U358" s="54" t="str">
        <f t="shared" si="20"/>
        <v>04-Servicio de atención a incidentes y emergencias.</v>
      </c>
      <c r="V358" s="54" t="s">
        <v>233</v>
      </c>
      <c r="W358" s="132" t="str">
        <f>IFERROR(VLOOKUP(V358,TD!$N$33:$O$45,2,0)," ")</f>
        <v>Servicio de atención a emergencias y desastres</v>
      </c>
      <c r="X358" s="54" t="str">
        <f t="shared" si="21"/>
        <v>004_Servicio de atención a emergencias y desastres</v>
      </c>
      <c r="Y358" s="54" t="str">
        <f t="shared" si="22"/>
        <v>04-Servicio de atención a incidentes y emergencias. 004_Servicio de atención a emergencias y desastres</v>
      </c>
      <c r="Z358" s="132" t="str">
        <f t="shared" si="23"/>
        <v>O23011745032024025504004</v>
      </c>
      <c r="AA358" s="132" t="str">
        <f>IFERROR(VLOOKUP(Y358,TD!$K$46:$L$64,2,0)," ")</f>
        <v>PM/0131/0104/45030040255</v>
      </c>
      <c r="AB358" s="57" t="s">
        <v>139</v>
      </c>
      <c r="AC358" s="133" t="s">
        <v>206</v>
      </c>
    </row>
    <row r="359" spans="2:29" s="28" customFormat="1" ht="85.5">
      <c r="B359" s="85">
        <v>20240990</v>
      </c>
      <c r="C359" s="53" t="s">
        <v>210</v>
      </c>
      <c r="D359" s="130" t="s">
        <v>170</v>
      </c>
      <c r="E359" s="54" t="s">
        <v>456</v>
      </c>
      <c r="F359" s="130" t="s">
        <v>483</v>
      </c>
      <c r="G359" s="130" t="s">
        <v>156</v>
      </c>
      <c r="H359" s="117">
        <v>80111600</v>
      </c>
      <c r="I359" s="131">
        <v>12</v>
      </c>
      <c r="J359" s="131">
        <v>0</v>
      </c>
      <c r="K359" s="56">
        <v>17</v>
      </c>
      <c r="L359" s="57">
        <v>5253000</v>
      </c>
      <c r="M359" s="130" t="s">
        <v>173</v>
      </c>
      <c r="N359" s="57" t="s">
        <v>114</v>
      </c>
      <c r="O359" s="54" t="s">
        <v>223</v>
      </c>
      <c r="P359" s="132" t="str">
        <f>IFERROR(VLOOKUP(C359,TD!$B$32:$F$36,2,0)," ")</f>
        <v>O230117</v>
      </c>
      <c r="Q359" s="132" t="str">
        <f>IFERROR(VLOOKUP(C359,TD!$B$32:$F$36,3,0)," ")</f>
        <v>4503</v>
      </c>
      <c r="R359" s="132">
        <f>IFERROR(VLOOKUP(C359,TD!$B$32:$F$36,4,0)," ")</f>
        <v>20240255</v>
      </c>
      <c r="S359" s="54" t="s">
        <v>176</v>
      </c>
      <c r="T359" s="132" t="str">
        <f>IFERROR(VLOOKUP(S359,TD!$J$33:$K$43,2,0)," ")</f>
        <v>Servicio de atención a incidentes y emergencias.</v>
      </c>
      <c r="U359" s="54" t="str">
        <f t="shared" si="20"/>
        <v>04-Servicio de atención a incidentes y emergencias.</v>
      </c>
      <c r="V359" s="54" t="s">
        <v>233</v>
      </c>
      <c r="W359" s="132" t="str">
        <f>IFERROR(VLOOKUP(V359,TD!$N$33:$O$45,2,0)," ")</f>
        <v>Servicio de atención a emergencias y desastres</v>
      </c>
      <c r="X359" s="54" t="str">
        <f t="shared" si="21"/>
        <v>004_Servicio de atención a emergencias y desastres</v>
      </c>
      <c r="Y359" s="54" t="str">
        <f t="shared" si="22"/>
        <v>04-Servicio de atención a incidentes y emergencias. 004_Servicio de atención a emergencias y desastres</v>
      </c>
      <c r="Z359" s="132" t="str">
        <f t="shared" si="23"/>
        <v>O23011745032024025504004</v>
      </c>
      <c r="AA359" s="132" t="str">
        <f>IFERROR(VLOOKUP(Y359,TD!$K$46:$L$64,2,0)," ")</f>
        <v>PM/0131/0104/45030040255</v>
      </c>
      <c r="AB359" s="57" t="s">
        <v>139</v>
      </c>
      <c r="AC359" s="133" t="s">
        <v>206</v>
      </c>
    </row>
    <row r="360" spans="2:29" s="28" customFormat="1" ht="85.5">
      <c r="B360" s="85">
        <v>20240992</v>
      </c>
      <c r="C360" s="53" t="s">
        <v>210</v>
      </c>
      <c r="D360" s="130" t="s">
        <v>170</v>
      </c>
      <c r="E360" s="54" t="s">
        <v>456</v>
      </c>
      <c r="F360" s="130" t="s">
        <v>484</v>
      </c>
      <c r="G360" s="130" t="s">
        <v>110</v>
      </c>
      <c r="H360" s="117" t="s">
        <v>491</v>
      </c>
      <c r="I360" s="131">
        <v>11</v>
      </c>
      <c r="J360" s="131">
        <v>6</v>
      </c>
      <c r="K360" s="56">
        <v>0</v>
      </c>
      <c r="L360" s="57">
        <f>155059088-130770000</f>
        <v>24289088</v>
      </c>
      <c r="M360" s="130" t="s">
        <v>173</v>
      </c>
      <c r="N360" s="57" t="s">
        <v>96</v>
      </c>
      <c r="O360" s="54" t="s">
        <v>223</v>
      </c>
      <c r="P360" s="132" t="str">
        <f>IFERROR(VLOOKUP(C360,TD!$B$32:$F$36,2,0)," ")</f>
        <v>O230117</v>
      </c>
      <c r="Q360" s="132" t="str">
        <f>IFERROR(VLOOKUP(C360,TD!$B$32:$F$36,3,0)," ")</f>
        <v>4503</v>
      </c>
      <c r="R360" s="132">
        <f>IFERROR(VLOOKUP(C360,TD!$B$32:$F$36,4,0)," ")</f>
        <v>20240255</v>
      </c>
      <c r="S360" s="54" t="s">
        <v>176</v>
      </c>
      <c r="T360" s="132" t="str">
        <f>IFERROR(VLOOKUP(S360,TD!$J$33:$K$43,2,0)," ")</f>
        <v>Servicio de atención a incidentes y emergencias.</v>
      </c>
      <c r="U360" s="54" t="str">
        <f t="shared" si="20"/>
        <v>04-Servicio de atención a incidentes y emergencias.</v>
      </c>
      <c r="V360" s="54" t="s">
        <v>233</v>
      </c>
      <c r="W360" s="132" t="str">
        <f>IFERROR(VLOOKUP(V360,TD!$N$33:$O$45,2,0)," ")</f>
        <v>Servicio de atención a emergencias y desastres</v>
      </c>
      <c r="X360" s="54" t="str">
        <f t="shared" si="21"/>
        <v>004_Servicio de atención a emergencias y desastres</v>
      </c>
      <c r="Y360" s="54" t="str">
        <f t="shared" si="22"/>
        <v>04-Servicio de atención a incidentes y emergencias. 004_Servicio de atención a emergencias y desastres</v>
      </c>
      <c r="Z360" s="132" t="str">
        <f t="shared" si="23"/>
        <v>O23011745032024025504004</v>
      </c>
      <c r="AA360" s="132" t="str">
        <f>IFERROR(VLOOKUP(Y360,TD!$K$46:$L$64,2,0)," ")</f>
        <v>PM/0131/0104/45030040255</v>
      </c>
      <c r="AB360" s="57" t="s">
        <v>88</v>
      </c>
      <c r="AC360" s="133" t="s">
        <v>205</v>
      </c>
    </row>
    <row r="361" spans="2:29" s="28" customFormat="1" ht="71.25">
      <c r="B361" s="85">
        <v>20240993</v>
      </c>
      <c r="C361" s="53" t="s">
        <v>210</v>
      </c>
      <c r="D361" s="130" t="s">
        <v>170</v>
      </c>
      <c r="E361" s="54" t="s">
        <v>456</v>
      </c>
      <c r="F361" s="130" t="s">
        <v>801</v>
      </c>
      <c r="G361" s="130" t="s">
        <v>156</v>
      </c>
      <c r="H361" s="117">
        <v>80111600</v>
      </c>
      <c r="I361" s="131">
        <v>8</v>
      </c>
      <c r="J361" s="131">
        <v>5</v>
      </c>
      <c r="K361" s="56">
        <v>0</v>
      </c>
      <c r="L361" s="57">
        <v>32500000</v>
      </c>
      <c r="M361" s="130" t="s">
        <v>173</v>
      </c>
      <c r="N361" s="57" t="s">
        <v>114</v>
      </c>
      <c r="O361" s="54" t="s">
        <v>223</v>
      </c>
      <c r="P361" s="132" t="str">
        <f>IFERROR(VLOOKUP(C361,TD!$B$32:$F$36,2,0)," ")</f>
        <v>O230117</v>
      </c>
      <c r="Q361" s="132" t="str">
        <f>IFERROR(VLOOKUP(C361,TD!$B$32:$F$36,3,0)," ")</f>
        <v>4503</v>
      </c>
      <c r="R361" s="132">
        <f>IFERROR(VLOOKUP(C361,TD!$B$32:$F$36,4,0)," ")</f>
        <v>20240255</v>
      </c>
      <c r="S361" s="54" t="s">
        <v>176</v>
      </c>
      <c r="T361" s="132" t="str">
        <f>IFERROR(VLOOKUP(S361,TD!$J$33:$K$43,2,0)," ")</f>
        <v>Servicio de atención a incidentes y emergencias.</v>
      </c>
      <c r="U361" s="54" t="str">
        <f t="shared" si="20"/>
        <v>04-Servicio de atención a incidentes y emergencias.</v>
      </c>
      <c r="V361" s="54" t="s">
        <v>233</v>
      </c>
      <c r="W361" s="132" t="str">
        <f>IFERROR(VLOOKUP(V361,TD!$N$33:$O$45,2,0)," ")</f>
        <v>Servicio de atención a emergencias y desastres</v>
      </c>
      <c r="X361" s="54" t="str">
        <f t="shared" si="21"/>
        <v>004_Servicio de atención a emergencias y desastres</v>
      </c>
      <c r="Y361" s="54" t="str">
        <f t="shared" si="22"/>
        <v>04-Servicio de atención a incidentes y emergencias. 004_Servicio de atención a emergencias y desastres</v>
      </c>
      <c r="Z361" s="132" t="str">
        <f t="shared" si="23"/>
        <v>O23011745032024025504004</v>
      </c>
      <c r="AA361" s="132" t="str">
        <f>IFERROR(VLOOKUP(Y361,TD!$K$46:$L$64,2,0)," ")</f>
        <v>PM/0131/0104/45030040255</v>
      </c>
      <c r="AB361" s="57" t="s">
        <v>139</v>
      </c>
      <c r="AC361" s="133" t="s">
        <v>205</v>
      </c>
    </row>
    <row r="362" spans="2:29" s="28" customFormat="1" ht="71.25">
      <c r="B362" s="85">
        <v>20240994</v>
      </c>
      <c r="C362" s="53" t="s">
        <v>210</v>
      </c>
      <c r="D362" s="130" t="s">
        <v>169</v>
      </c>
      <c r="E362" s="54" t="s">
        <v>804</v>
      </c>
      <c r="F362" s="130" t="s">
        <v>682</v>
      </c>
      <c r="G362" s="130" t="s">
        <v>158</v>
      </c>
      <c r="H362" s="117">
        <v>78181500</v>
      </c>
      <c r="I362" s="131">
        <v>7</v>
      </c>
      <c r="J362" s="131">
        <v>12</v>
      </c>
      <c r="K362" s="56">
        <v>0</v>
      </c>
      <c r="L362" s="57">
        <v>135000000</v>
      </c>
      <c r="M362" s="130" t="s">
        <v>173</v>
      </c>
      <c r="N362" s="57" t="s">
        <v>91</v>
      </c>
      <c r="O362" s="54" t="s">
        <v>225</v>
      </c>
      <c r="P362" s="132" t="str">
        <f>IFERROR(VLOOKUP(C362,TD!$B$32:$F$36,2,0)," ")</f>
        <v>O230117</v>
      </c>
      <c r="Q362" s="132" t="str">
        <f>IFERROR(VLOOKUP(C362,TD!$B$32:$F$36,3,0)," ")</f>
        <v>4503</v>
      </c>
      <c r="R362" s="132">
        <f>IFERROR(VLOOKUP(C362,TD!$B$32:$F$36,4,0)," ")</f>
        <v>20240255</v>
      </c>
      <c r="S362" s="54" t="s">
        <v>188</v>
      </c>
      <c r="T362" s="132" t="str">
        <f>IFERROR(VLOOKUP(S362,TD!$J$33:$K$43,2,0)," ")</f>
        <v>Servicio de mantenimiento, dotación (HEA´s y equipo menor) y adquisición de vehiculos   especializados para la atención de emergencias.</v>
      </c>
      <c r="U362" s="54" t="str">
        <f t="shared" si="20"/>
        <v>09-Servicio de mantenimiento, dotación (HEA´s y equipo menor) y adquisición de vehiculos   especializados para la atención de emergencias.</v>
      </c>
      <c r="V362" s="54" t="s">
        <v>233</v>
      </c>
      <c r="W362" s="132" t="str">
        <f>IFERROR(VLOOKUP(V362,TD!$N$33:$O$45,2,0)," ")</f>
        <v>Servicio de atención a emergencias y desastres</v>
      </c>
      <c r="X362" s="54" t="str">
        <f t="shared" si="21"/>
        <v>004_Servicio de atención a emergencias y desastres</v>
      </c>
      <c r="Y362" s="54" t="str">
        <f t="shared" si="22"/>
        <v>09-Servicio de mantenimiento, dotación (HEA´s y equipo menor) y adquisición de vehiculos   especializados para la atención de emergencias. 004_Servicio de atención a emergencias y desastres</v>
      </c>
      <c r="Z362" s="132" t="str">
        <f t="shared" si="23"/>
        <v>O23011745032024025509004</v>
      </c>
      <c r="AA362" s="132" t="str">
        <f>IFERROR(VLOOKUP(Y362,TD!$K$46:$L$64,2,0)," ")</f>
        <v>PM/0131/0109/45030040255</v>
      </c>
      <c r="AB362" s="57" t="s">
        <v>146</v>
      </c>
      <c r="AC362" s="133" t="s">
        <v>206</v>
      </c>
    </row>
    <row r="363" spans="2:29" s="28" customFormat="1" ht="42.75">
      <c r="B363" s="85">
        <v>20240995</v>
      </c>
      <c r="C363" s="53" t="s">
        <v>210</v>
      </c>
      <c r="D363" s="130" t="s">
        <v>170</v>
      </c>
      <c r="E363" s="54" t="s">
        <v>456</v>
      </c>
      <c r="F363" s="130" t="s">
        <v>487</v>
      </c>
      <c r="G363" s="130" t="s">
        <v>110</v>
      </c>
      <c r="H363" s="117" t="s">
        <v>494</v>
      </c>
      <c r="I363" s="131">
        <v>8</v>
      </c>
      <c r="J363" s="131">
        <v>3</v>
      </c>
      <c r="K363" s="56">
        <v>0</v>
      </c>
      <c r="L363" s="57">
        <v>58500000</v>
      </c>
      <c r="M363" s="130" t="s">
        <v>173</v>
      </c>
      <c r="N363" s="57" t="s">
        <v>101</v>
      </c>
      <c r="O363" s="54" t="s">
        <v>223</v>
      </c>
      <c r="P363" s="132" t="str">
        <f>IFERROR(VLOOKUP(C363,TD!$B$32:$F$36,2,0)," ")</f>
        <v>O230117</v>
      </c>
      <c r="Q363" s="132" t="str">
        <f>IFERROR(VLOOKUP(C363,TD!$B$32:$F$36,3,0)," ")</f>
        <v>4503</v>
      </c>
      <c r="R363" s="132">
        <f>IFERROR(VLOOKUP(C363,TD!$B$32:$F$36,4,0)," ")</f>
        <v>20240255</v>
      </c>
      <c r="S363" s="54" t="s">
        <v>190</v>
      </c>
      <c r="T363" s="132" t="str">
        <f>IFERROR(VLOOKUP(S363,TD!$J$33:$K$43,2,0)," ")</f>
        <v>Servicio de dotación y equipamento para el personal operativo</v>
      </c>
      <c r="U363" s="54" t="str">
        <f t="shared" si="20"/>
        <v>10-Servicio de dotación y equipamento para el personal operativo</v>
      </c>
      <c r="V363" s="54" t="s">
        <v>233</v>
      </c>
      <c r="W363" s="132" t="str">
        <f>IFERROR(VLOOKUP(V363,TD!$N$33:$O$45,2,0)," ")</f>
        <v>Servicio de atención a emergencias y desastres</v>
      </c>
      <c r="X363" s="54" t="str">
        <f t="shared" si="21"/>
        <v>004_Servicio de atención a emergencias y desastres</v>
      </c>
      <c r="Y363" s="54" t="str">
        <f t="shared" si="22"/>
        <v>10-Servicio de dotación y equipamento para el personal operativo 004_Servicio de atención a emergencias y desastres</v>
      </c>
      <c r="Z363" s="132" t="str">
        <f t="shared" si="23"/>
        <v>O23011745032024025510004</v>
      </c>
      <c r="AA363" s="132" t="str">
        <f>IFERROR(VLOOKUP(Y363,TD!$K$46:$L$64,2,0)," ")</f>
        <v>PM/0131/0110/45030040255</v>
      </c>
      <c r="AB363" s="57" t="s">
        <v>88</v>
      </c>
      <c r="AC363" s="133" t="s">
        <v>205</v>
      </c>
    </row>
    <row r="364" spans="2:29" s="28" customFormat="1" ht="42.75">
      <c r="B364" s="85">
        <v>20240996</v>
      </c>
      <c r="C364" s="53" t="s">
        <v>210</v>
      </c>
      <c r="D364" s="130" t="s">
        <v>170</v>
      </c>
      <c r="E364" s="54" t="s">
        <v>456</v>
      </c>
      <c r="F364" s="130" t="s">
        <v>488</v>
      </c>
      <c r="G364" s="130" t="s">
        <v>110</v>
      </c>
      <c r="H364" s="117" t="s">
        <v>495</v>
      </c>
      <c r="I364" s="131">
        <v>8</v>
      </c>
      <c r="J364" s="131">
        <v>3</v>
      </c>
      <c r="K364" s="56">
        <v>0</v>
      </c>
      <c r="L364" s="57">
        <v>40000000</v>
      </c>
      <c r="M364" s="130" t="s">
        <v>173</v>
      </c>
      <c r="N364" s="57" t="s">
        <v>101</v>
      </c>
      <c r="O364" s="54" t="s">
        <v>223</v>
      </c>
      <c r="P364" s="132" t="str">
        <f>IFERROR(VLOOKUP(C364,TD!$B$32:$F$36,2,0)," ")</f>
        <v>O230117</v>
      </c>
      <c r="Q364" s="132" t="str">
        <f>IFERROR(VLOOKUP(C364,TD!$B$32:$F$36,3,0)," ")</f>
        <v>4503</v>
      </c>
      <c r="R364" s="132">
        <f>IFERROR(VLOOKUP(C364,TD!$B$32:$F$36,4,0)," ")</f>
        <v>20240255</v>
      </c>
      <c r="S364" s="54" t="s">
        <v>190</v>
      </c>
      <c r="T364" s="132" t="str">
        <f>IFERROR(VLOOKUP(S364,TD!$J$33:$K$43,2,0)," ")</f>
        <v>Servicio de dotación y equipamento para el personal operativo</v>
      </c>
      <c r="U364" s="54" t="str">
        <f t="shared" si="20"/>
        <v>10-Servicio de dotación y equipamento para el personal operativo</v>
      </c>
      <c r="V364" s="54" t="s">
        <v>233</v>
      </c>
      <c r="W364" s="132" t="str">
        <f>IFERROR(VLOOKUP(V364,TD!$N$33:$O$45,2,0)," ")</f>
        <v>Servicio de atención a emergencias y desastres</v>
      </c>
      <c r="X364" s="54" t="str">
        <f t="shared" si="21"/>
        <v>004_Servicio de atención a emergencias y desastres</v>
      </c>
      <c r="Y364" s="54" t="str">
        <f t="shared" si="22"/>
        <v>10-Servicio de dotación y equipamento para el personal operativo 004_Servicio de atención a emergencias y desastres</v>
      </c>
      <c r="Z364" s="132" t="str">
        <f t="shared" si="23"/>
        <v>O23011745032024025510004</v>
      </c>
      <c r="AA364" s="132" t="str">
        <f>IFERROR(VLOOKUP(Y364,TD!$K$46:$L$64,2,0)," ")</f>
        <v>PM/0131/0110/45030040255</v>
      </c>
      <c r="AB364" s="57" t="s">
        <v>88</v>
      </c>
      <c r="AC364" s="133" t="s">
        <v>205</v>
      </c>
    </row>
    <row r="365" spans="2:29" s="28" customFormat="1" ht="42.75">
      <c r="B365" s="85">
        <v>20240997</v>
      </c>
      <c r="C365" s="53" t="s">
        <v>210</v>
      </c>
      <c r="D365" s="130" t="s">
        <v>170</v>
      </c>
      <c r="E365" s="54" t="s">
        <v>456</v>
      </c>
      <c r="F365" s="130" t="s">
        <v>489</v>
      </c>
      <c r="G365" s="130" t="s">
        <v>110</v>
      </c>
      <c r="H365" s="117" t="s">
        <v>496</v>
      </c>
      <c r="I365" s="131">
        <v>8</v>
      </c>
      <c r="J365" s="131">
        <v>3</v>
      </c>
      <c r="K365" s="56">
        <v>0</v>
      </c>
      <c r="L365" s="57">
        <v>58000000</v>
      </c>
      <c r="M365" s="130" t="s">
        <v>173</v>
      </c>
      <c r="N365" s="57" t="s">
        <v>101</v>
      </c>
      <c r="O365" s="54" t="s">
        <v>223</v>
      </c>
      <c r="P365" s="132" t="str">
        <f>IFERROR(VLOOKUP(C365,TD!$B$32:$F$36,2,0)," ")</f>
        <v>O230117</v>
      </c>
      <c r="Q365" s="132" t="str">
        <f>IFERROR(VLOOKUP(C365,TD!$B$32:$F$36,3,0)," ")</f>
        <v>4503</v>
      </c>
      <c r="R365" s="132">
        <f>IFERROR(VLOOKUP(C365,TD!$B$32:$F$36,4,0)," ")</f>
        <v>20240255</v>
      </c>
      <c r="S365" s="54" t="s">
        <v>190</v>
      </c>
      <c r="T365" s="132" t="str">
        <f>IFERROR(VLOOKUP(S365,TD!$J$33:$K$43,2,0)," ")</f>
        <v>Servicio de dotación y equipamento para el personal operativo</v>
      </c>
      <c r="U365" s="54" t="str">
        <f t="shared" si="20"/>
        <v>10-Servicio de dotación y equipamento para el personal operativo</v>
      </c>
      <c r="V365" s="54" t="s">
        <v>233</v>
      </c>
      <c r="W365" s="132" t="str">
        <f>IFERROR(VLOOKUP(V365,TD!$N$33:$O$45,2,0)," ")</f>
        <v>Servicio de atención a emergencias y desastres</v>
      </c>
      <c r="X365" s="54" t="str">
        <f t="shared" si="21"/>
        <v>004_Servicio de atención a emergencias y desastres</v>
      </c>
      <c r="Y365" s="54" t="str">
        <f t="shared" si="22"/>
        <v>10-Servicio de dotación y equipamento para el personal operativo 004_Servicio de atención a emergencias y desastres</v>
      </c>
      <c r="Z365" s="132" t="str">
        <f t="shared" si="23"/>
        <v>O23011745032024025510004</v>
      </c>
      <c r="AA365" s="132" t="str">
        <f>IFERROR(VLOOKUP(Y365,TD!$K$46:$L$64,2,0)," ")</f>
        <v>PM/0131/0110/45030040255</v>
      </c>
      <c r="AB365" s="57" t="s">
        <v>88</v>
      </c>
      <c r="AC365" s="133" t="s">
        <v>205</v>
      </c>
    </row>
    <row r="366" spans="2:29" s="28" customFormat="1" ht="57">
      <c r="B366" s="85">
        <v>20241000</v>
      </c>
      <c r="C366" s="53" t="s">
        <v>210</v>
      </c>
      <c r="D366" s="130" t="s">
        <v>166</v>
      </c>
      <c r="E366" s="54" t="s">
        <v>857</v>
      </c>
      <c r="F366" s="130" t="s">
        <v>798</v>
      </c>
      <c r="G366" s="130" t="s">
        <v>120</v>
      </c>
      <c r="H366" s="117" t="s">
        <v>545</v>
      </c>
      <c r="I366" s="131">
        <v>8</v>
      </c>
      <c r="J366" s="131">
        <v>6</v>
      </c>
      <c r="K366" s="56">
        <v>0</v>
      </c>
      <c r="L366" s="57">
        <v>89445522</v>
      </c>
      <c r="M366" s="130" t="s">
        <v>173</v>
      </c>
      <c r="N366" s="57" t="s">
        <v>91</v>
      </c>
      <c r="O366" s="54" t="s">
        <v>230</v>
      </c>
      <c r="P366" s="132" t="str">
        <f>IFERROR(VLOOKUP(C366,TD!$B$32:$F$36,2,0)," ")</f>
        <v>O230117</v>
      </c>
      <c r="Q366" s="132" t="str">
        <f>IFERROR(VLOOKUP(C366,TD!$B$32:$F$36,3,0)," ")</f>
        <v>4503</v>
      </c>
      <c r="R366" s="132">
        <f>IFERROR(VLOOKUP(C366,TD!$B$32:$F$36,4,0)," ")</f>
        <v>20240255</v>
      </c>
      <c r="S366" s="54" t="s">
        <v>184</v>
      </c>
      <c r="T366" s="132" t="str">
        <f>IFERROR(VLOOKUP(S366,TD!$J$33:$K$43,2,0)," ")</f>
        <v>Servicio de formación en gestión del riesgo de incendios para el personal UAECOB</v>
      </c>
      <c r="U366" s="54" t="str">
        <f t="shared" si="20"/>
        <v>07-Servicio de formación en gestión del riesgo de incendios para el personal UAECOB</v>
      </c>
      <c r="V366" s="54" t="s">
        <v>234</v>
      </c>
      <c r="W366" s="132" t="str">
        <f>IFERROR(VLOOKUP(V366,TD!$N$33:$O$45,2,0)," ")</f>
        <v>Servicio de educación informal</v>
      </c>
      <c r="X366" s="54" t="str">
        <f t="shared" si="21"/>
        <v>002_Servicio de educación informal</v>
      </c>
      <c r="Y366" s="54" t="str">
        <f t="shared" si="22"/>
        <v>07-Servicio de formación en gestión del riesgo de incendios para el personal UAECOB 002_Servicio de educación informal</v>
      </c>
      <c r="Z366" s="132" t="str">
        <f t="shared" si="23"/>
        <v>O23011745032024025507002</v>
      </c>
      <c r="AA366" s="132" t="str">
        <f>IFERROR(VLOOKUP(Y366,TD!$K$46:$L$64,2,0)," ")</f>
        <v>PM/0131/0107/45030020255</v>
      </c>
      <c r="AB366" s="57" t="s">
        <v>139</v>
      </c>
      <c r="AC366" s="133" t="s">
        <v>205</v>
      </c>
    </row>
    <row r="367" spans="2:29" s="28" customFormat="1" ht="57">
      <c r="B367" s="85">
        <v>20241003</v>
      </c>
      <c r="C367" s="53" t="s">
        <v>210</v>
      </c>
      <c r="D367" s="130" t="s">
        <v>166</v>
      </c>
      <c r="E367" s="54" t="s">
        <v>857</v>
      </c>
      <c r="F367" s="130" t="s">
        <v>518</v>
      </c>
      <c r="G367" s="130" t="s">
        <v>120</v>
      </c>
      <c r="H367" s="117" t="s">
        <v>799</v>
      </c>
      <c r="I367" s="131">
        <v>8</v>
      </c>
      <c r="J367" s="131">
        <v>6</v>
      </c>
      <c r="K367" s="56">
        <v>0</v>
      </c>
      <c r="L367" s="57">
        <f>298736478+1710179+51553343+18000000</f>
        <v>370000000</v>
      </c>
      <c r="M367" s="130" t="s">
        <v>173</v>
      </c>
      <c r="N367" s="57" t="s">
        <v>91</v>
      </c>
      <c r="O367" s="54" t="s">
        <v>230</v>
      </c>
      <c r="P367" s="132" t="str">
        <f>IFERROR(VLOOKUP(C367,TD!$B$32:$F$36,2,0)," ")</f>
        <v>O230117</v>
      </c>
      <c r="Q367" s="132" t="str">
        <f>IFERROR(VLOOKUP(C367,TD!$B$32:$F$36,3,0)," ")</f>
        <v>4503</v>
      </c>
      <c r="R367" s="132">
        <f>IFERROR(VLOOKUP(C367,TD!$B$32:$F$36,4,0)," ")</f>
        <v>20240255</v>
      </c>
      <c r="S367" s="54" t="s">
        <v>184</v>
      </c>
      <c r="T367" s="132" t="str">
        <f>IFERROR(VLOOKUP(S367,TD!$J$33:$K$43,2,0)," ")</f>
        <v>Servicio de formación en gestión del riesgo de incendios para el personal UAECOB</v>
      </c>
      <c r="U367" s="54" t="str">
        <f t="shared" si="20"/>
        <v>07-Servicio de formación en gestión del riesgo de incendios para el personal UAECOB</v>
      </c>
      <c r="V367" s="54" t="s">
        <v>234</v>
      </c>
      <c r="W367" s="132" t="str">
        <f>IFERROR(VLOOKUP(V367,TD!$N$33:$O$45,2,0)," ")</f>
        <v>Servicio de educación informal</v>
      </c>
      <c r="X367" s="54" t="str">
        <f t="shared" si="21"/>
        <v>002_Servicio de educación informal</v>
      </c>
      <c r="Y367" s="54" t="str">
        <f t="shared" si="22"/>
        <v>07-Servicio de formación en gestión del riesgo de incendios para el personal UAECOB 002_Servicio de educación informal</v>
      </c>
      <c r="Z367" s="132" t="str">
        <f t="shared" si="23"/>
        <v>O23011745032024025507002</v>
      </c>
      <c r="AA367" s="132" t="str">
        <f>IFERROR(VLOOKUP(Y367,TD!$K$46:$L$64,2,0)," ")</f>
        <v>PM/0131/0107/45030020255</v>
      </c>
      <c r="AB367" s="57" t="s">
        <v>139</v>
      </c>
      <c r="AC367" s="133" t="s">
        <v>205</v>
      </c>
    </row>
    <row r="368" spans="2:29" s="28" customFormat="1" ht="57">
      <c r="B368" s="85">
        <v>20241007</v>
      </c>
      <c r="C368" s="53" t="s">
        <v>210</v>
      </c>
      <c r="D368" s="130" t="s">
        <v>166</v>
      </c>
      <c r="E368" s="54" t="s">
        <v>857</v>
      </c>
      <c r="F368" s="130" t="s">
        <v>520</v>
      </c>
      <c r="G368" s="130" t="s">
        <v>97</v>
      </c>
      <c r="H368" s="117">
        <v>90121800</v>
      </c>
      <c r="I368" s="131">
        <v>7</v>
      </c>
      <c r="J368" s="131">
        <v>6</v>
      </c>
      <c r="K368" s="56">
        <v>0</v>
      </c>
      <c r="L368" s="57">
        <f>5000000+25000000+100000000</f>
        <v>130000000</v>
      </c>
      <c r="M368" s="130" t="s">
        <v>173</v>
      </c>
      <c r="N368" s="57" t="s">
        <v>114</v>
      </c>
      <c r="O368" s="54" t="s">
        <v>230</v>
      </c>
      <c r="P368" s="132" t="str">
        <f>IFERROR(VLOOKUP(C368,TD!$B$32:$F$36,2,0)," ")</f>
        <v>O230117</v>
      </c>
      <c r="Q368" s="132" t="str">
        <f>IFERROR(VLOOKUP(C368,TD!$B$32:$F$36,3,0)," ")</f>
        <v>4503</v>
      </c>
      <c r="R368" s="132">
        <f>IFERROR(VLOOKUP(C368,TD!$B$32:$F$36,4,0)," ")</f>
        <v>20240255</v>
      </c>
      <c r="S368" s="54" t="s">
        <v>184</v>
      </c>
      <c r="T368" s="132" t="str">
        <f>IFERROR(VLOOKUP(S368,TD!$J$33:$K$43,2,0)," ")</f>
        <v>Servicio de formación en gestión del riesgo de incendios para el personal UAECOB</v>
      </c>
      <c r="U368" s="54" t="str">
        <f t="shared" si="20"/>
        <v>07-Servicio de formación en gestión del riesgo de incendios para el personal UAECOB</v>
      </c>
      <c r="V368" s="54" t="s">
        <v>234</v>
      </c>
      <c r="W368" s="132" t="str">
        <f>IFERROR(VLOOKUP(V368,TD!$N$33:$O$45,2,0)," ")</f>
        <v>Servicio de educación informal</v>
      </c>
      <c r="X368" s="54" t="str">
        <f t="shared" si="21"/>
        <v>002_Servicio de educación informal</v>
      </c>
      <c r="Y368" s="54" t="str">
        <f t="shared" si="22"/>
        <v>07-Servicio de formación en gestión del riesgo de incendios para el personal UAECOB 002_Servicio de educación informal</v>
      </c>
      <c r="Z368" s="132" t="str">
        <f t="shared" si="23"/>
        <v>O23011745032024025507002</v>
      </c>
      <c r="AA368" s="132" t="str">
        <f>IFERROR(VLOOKUP(Y368,TD!$K$46:$L$64,2,0)," ")</f>
        <v>PM/0131/0107/45030020255</v>
      </c>
      <c r="AB368" s="57" t="s">
        <v>139</v>
      </c>
      <c r="AC368" s="133" t="s">
        <v>205</v>
      </c>
    </row>
    <row r="369" spans="2:29" s="28" customFormat="1" ht="57">
      <c r="B369" s="85">
        <v>20241009</v>
      </c>
      <c r="C369" s="53" t="s">
        <v>210</v>
      </c>
      <c r="D369" s="130" t="s">
        <v>166</v>
      </c>
      <c r="E369" s="54" t="s">
        <v>857</v>
      </c>
      <c r="F369" s="130" t="s">
        <v>522</v>
      </c>
      <c r="G369" s="130" t="s">
        <v>156</v>
      </c>
      <c r="H369" s="117">
        <v>80111600</v>
      </c>
      <c r="I369" s="131">
        <v>9</v>
      </c>
      <c r="J369" s="131">
        <v>3</v>
      </c>
      <c r="K369" s="56">
        <v>15</v>
      </c>
      <c r="L369" s="57">
        <v>26250000</v>
      </c>
      <c r="M369" s="130" t="s">
        <v>173</v>
      </c>
      <c r="N369" s="57" t="s">
        <v>114</v>
      </c>
      <c r="O369" s="54" t="s">
        <v>230</v>
      </c>
      <c r="P369" s="132" t="str">
        <f>IFERROR(VLOOKUP(C369,TD!$B$32:$F$36,2,0)," ")</f>
        <v>O230117</v>
      </c>
      <c r="Q369" s="132" t="str">
        <f>IFERROR(VLOOKUP(C369,TD!$B$32:$F$36,3,0)," ")</f>
        <v>4503</v>
      </c>
      <c r="R369" s="132">
        <f>IFERROR(VLOOKUP(C369,TD!$B$32:$F$36,4,0)," ")</f>
        <v>20240255</v>
      </c>
      <c r="S369" s="54" t="s">
        <v>184</v>
      </c>
      <c r="T369" s="132" t="str">
        <f>IFERROR(VLOOKUP(S369,TD!$J$33:$K$43,2,0)," ")</f>
        <v>Servicio de formación en gestión del riesgo de incendios para el personal UAECOB</v>
      </c>
      <c r="U369" s="54" t="str">
        <f t="shared" si="20"/>
        <v>07-Servicio de formación en gestión del riesgo de incendios para el personal UAECOB</v>
      </c>
      <c r="V369" s="54" t="s">
        <v>234</v>
      </c>
      <c r="W369" s="132" t="str">
        <f>IFERROR(VLOOKUP(V369,TD!$N$33:$O$45,2,0)," ")</f>
        <v>Servicio de educación informal</v>
      </c>
      <c r="X369" s="54" t="str">
        <f t="shared" si="21"/>
        <v>002_Servicio de educación informal</v>
      </c>
      <c r="Y369" s="54" t="str">
        <f t="shared" si="22"/>
        <v>07-Servicio de formación en gestión del riesgo de incendios para el personal UAECOB 002_Servicio de educación informal</v>
      </c>
      <c r="Z369" s="132" t="str">
        <f t="shared" si="23"/>
        <v>O23011745032024025507002</v>
      </c>
      <c r="AA369" s="132" t="str">
        <f>IFERROR(VLOOKUP(Y369,TD!$K$46:$L$64,2,0)," ")</f>
        <v>PM/0131/0107/45030020255</v>
      </c>
      <c r="AB369" s="57" t="s">
        <v>139</v>
      </c>
      <c r="AC369" s="133" t="s">
        <v>205</v>
      </c>
    </row>
    <row r="370" spans="2:29" s="28" customFormat="1" ht="57">
      <c r="B370" s="85">
        <v>20241012</v>
      </c>
      <c r="C370" s="53" t="s">
        <v>210</v>
      </c>
      <c r="D370" s="130" t="s">
        <v>166</v>
      </c>
      <c r="E370" s="54" t="s">
        <v>857</v>
      </c>
      <c r="F370" s="130" t="s">
        <v>523</v>
      </c>
      <c r="G370" s="130" t="s">
        <v>156</v>
      </c>
      <c r="H370" s="117">
        <v>80111600</v>
      </c>
      <c r="I370" s="131">
        <v>8</v>
      </c>
      <c r="J370" s="131">
        <v>5</v>
      </c>
      <c r="K370" s="56">
        <v>0</v>
      </c>
      <c r="L370" s="57">
        <f>27355000+2645000</f>
        <v>30000000</v>
      </c>
      <c r="M370" s="130" t="s">
        <v>173</v>
      </c>
      <c r="N370" s="57" t="s">
        <v>114</v>
      </c>
      <c r="O370" s="54" t="s">
        <v>230</v>
      </c>
      <c r="P370" s="132" t="str">
        <f>IFERROR(VLOOKUP(C370,TD!$B$32:$F$36,2,0)," ")</f>
        <v>O230117</v>
      </c>
      <c r="Q370" s="132" t="str">
        <f>IFERROR(VLOOKUP(C370,TD!$B$32:$F$36,3,0)," ")</f>
        <v>4503</v>
      </c>
      <c r="R370" s="132">
        <f>IFERROR(VLOOKUP(C370,TD!$B$32:$F$36,4,0)," ")</f>
        <v>20240255</v>
      </c>
      <c r="S370" s="54" t="s">
        <v>184</v>
      </c>
      <c r="T370" s="132" t="str">
        <f>IFERROR(VLOOKUP(S370,TD!$J$33:$K$43,2,0)," ")</f>
        <v>Servicio de formación en gestión del riesgo de incendios para el personal UAECOB</v>
      </c>
      <c r="U370" s="54" t="str">
        <f t="shared" si="20"/>
        <v>07-Servicio de formación en gestión del riesgo de incendios para el personal UAECOB</v>
      </c>
      <c r="V370" s="54" t="s">
        <v>234</v>
      </c>
      <c r="W370" s="132" t="str">
        <f>IFERROR(VLOOKUP(V370,TD!$N$33:$O$45,2,0)," ")</f>
        <v>Servicio de educación informal</v>
      </c>
      <c r="X370" s="54" t="str">
        <f t="shared" si="21"/>
        <v>002_Servicio de educación informal</v>
      </c>
      <c r="Y370" s="54" t="str">
        <f t="shared" si="22"/>
        <v>07-Servicio de formación en gestión del riesgo de incendios para el personal UAECOB 002_Servicio de educación informal</v>
      </c>
      <c r="Z370" s="132" t="str">
        <f t="shared" si="23"/>
        <v>O23011745032024025507002</v>
      </c>
      <c r="AA370" s="132" t="str">
        <f>IFERROR(VLOOKUP(Y370,TD!$K$46:$L$64,2,0)," ")</f>
        <v>PM/0131/0107/45030020255</v>
      </c>
      <c r="AB370" s="57" t="s">
        <v>139</v>
      </c>
      <c r="AC370" s="133" t="s">
        <v>205</v>
      </c>
    </row>
    <row r="371" spans="2:29" s="28" customFormat="1" ht="57">
      <c r="B371" s="85">
        <v>20241016</v>
      </c>
      <c r="C371" s="53" t="s">
        <v>210</v>
      </c>
      <c r="D371" s="130" t="s">
        <v>166</v>
      </c>
      <c r="E371" s="54" t="s">
        <v>857</v>
      </c>
      <c r="F371" s="130" t="s">
        <v>526</v>
      </c>
      <c r="G371" s="130" t="s">
        <v>156</v>
      </c>
      <c r="H371" s="117">
        <v>80111600</v>
      </c>
      <c r="I371" s="131">
        <v>7</v>
      </c>
      <c r="J371" s="131">
        <v>4</v>
      </c>
      <c r="K371" s="56">
        <v>15</v>
      </c>
      <c r="L371" s="57">
        <v>20682000</v>
      </c>
      <c r="M371" s="130" t="s">
        <v>173</v>
      </c>
      <c r="N371" s="57" t="s">
        <v>114</v>
      </c>
      <c r="O371" s="54" t="s">
        <v>230</v>
      </c>
      <c r="P371" s="132" t="str">
        <f>IFERROR(VLOOKUP(C371,TD!$B$32:$F$36,2,0)," ")</f>
        <v>O230117</v>
      </c>
      <c r="Q371" s="132" t="str">
        <f>IFERROR(VLOOKUP(C371,TD!$B$32:$F$36,3,0)," ")</f>
        <v>4503</v>
      </c>
      <c r="R371" s="132">
        <f>IFERROR(VLOOKUP(C371,TD!$B$32:$F$36,4,0)," ")</f>
        <v>20240255</v>
      </c>
      <c r="S371" s="54" t="s">
        <v>184</v>
      </c>
      <c r="T371" s="132" t="str">
        <f>IFERROR(VLOOKUP(S371,TD!$J$33:$K$43,2,0)," ")</f>
        <v>Servicio de formación en gestión del riesgo de incendios para el personal UAECOB</v>
      </c>
      <c r="U371" s="54" t="str">
        <f t="shared" si="20"/>
        <v>07-Servicio de formación en gestión del riesgo de incendios para el personal UAECOB</v>
      </c>
      <c r="V371" s="54" t="s">
        <v>234</v>
      </c>
      <c r="W371" s="132" t="str">
        <f>IFERROR(VLOOKUP(V371,TD!$N$33:$O$45,2,0)," ")</f>
        <v>Servicio de educación informal</v>
      </c>
      <c r="X371" s="54" t="str">
        <f t="shared" si="21"/>
        <v>002_Servicio de educación informal</v>
      </c>
      <c r="Y371" s="54" t="str">
        <f t="shared" si="22"/>
        <v>07-Servicio de formación en gestión del riesgo de incendios para el personal UAECOB 002_Servicio de educación informal</v>
      </c>
      <c r="Z371" s="132" t="str">
        <f t="shared" si="23"/>
        <v>O23011745032024025507002</v>
      </c>
      <c r="AA371" s="132" t="str">
        <f>IFERROR(VLOOKUP(Y371,TD!$K$46:$L$64,2,0)," ")</f>
        <v>PM/0131/0107/45030020255</v>
      </c>
      <c r="AB371" s="57" t="s">
        <v>139</v>
      </c>
      <c r="AC371" s="133" t="s">
        <v>205</v>
      </c>
    </row>
    <row r="372" spans="2:29" s="28" customFormat="1" ht="57">
      <c r="B372" s="85">
        <v>20241017</v>
      </c>
      <c r="C372" s="53" t="s">
        <v>210</v>
      </c>
      <c r="D372" s="130" t="s">
        <v>166</v>
      </c>
      <c r="E372" s="54" t="s">
        <v>857</v>
      </c>
      <c r="F372" s="130" t="s">
        <v>527</v>
      </c>
      <c r="G372" s="130" t="s">
        <v>156</v>
      </c>
      <c r="H372" s="117">
        <v>80111600</v>
      </c>
      <c r="I372" s="131">
        <v>8</v>
      </c>
      <c r="J372" s="131">
        <v>5</v>
      </c>
      <c r="K372" s="56">
        <v>0</v>
      </c>
      <c r="L372" s="57">
        <v>27355000</v>
      </c>
      <c r="M372" s="130" t="s">
        <v>173</v>
      </c>
      <c r="N372" s="57" t="s">
        <v>114</v>
      </c>
      <c r="O372" s="54" t="s">
        <v>230</v>
      </c>
      <c r="P372" s="132" t="str">
        <f>IFERROR(VLOOKUP(C372,TD!$B$32:$F$36,2,0)," ")</f>
        <v>O230117</v>
      </c>
      <c r="Q372" s="132" t="str">
        <f>IFERROR(VLOOKUP(C372,TD!$B$32:$F$36,3,0)," ")</f>
        <v>4503</v>
      </c>
      <c r="R372" s="132">
        <f>IFERROR(VLOOKUP(C372,TD!$B$32:$F$36,4,0)," ")</f>
        <v>20240255</v>
      </c>
      <c r="S372" s="54" t="s">
        <v>184</v>
      </c>
      <c r="T372" s="132" t="str">
        <f>IFERROR(VLOOKUP(S372,TD!$J$33:$K$43,2,0)," ")</f>
        <v>Servicio de formación en gestión del riesgo de incendios para el personal UAECOB</v>
      </c>
      <c r="U372" s="54" t="str">
        <f t="shared" si="20"/>
        <v>07-Servicio de formación en gestión del riesgo de incendios para el personal UAECOB</v>
      </c>
      <c r="V372" s="54" t="s">
        <v>234</v>
      </c>
      <c r="W372" s="132" t="str">
        <f>IFERROR(VLOOKUP(V372,TD!$N$33:$O$45,2,0)," ")</f>
        <v>Servicio de educación informal</v>
      </c>
      <c r="X372" s="54" t="str">
        <f t="shared" si="21"/>
        <v>002_Servicio de educación informal</v>
      </c>
      <c r="Y372" s="54" t="str">
        <f t="shared" si="22"/>
        <v>07-Servicio de formación en gestión del riesgo de incendios para el personal UAECOB 002_Servicio de educación informal</v>
      </c>
      <c r="Z372" s="132" t="str">
        <f t="shared" si="23"/>
        <v>O23011745032024025507002</v>
      </c>
      <c r="AA372" s="132" t="str">
        <f>IFERROR(VLOOKUP(Y372,TD!$K$46:$L$64,2,0)," ")</f>
        <v>PM/0131/0107/45030020255</v>
      </c>
      <c r="AB372" s="57" t="s">
        <v>139</v>
      </c>
      <c r="AC372" s="133" t="s">
        <v>205</v>
      </c>
    </row>
    <row r="373" spans="2:29" s="28" customFormat="1" ht="57">
      <c r="B373" s="85">
        <v>20241019</v>
      </c>
      <c r="C373" s="53" t="s">
        <v>210</v>
      </c>
      <c r="D373" s="130" t="s">
        <v>166</v>
      </c>
      <c r="E373" s="54" t="s">
        <v>857</v>
      </c>
      <c r="F373" s="130" t="s">
        <v>528</v>
      </c>
      <c r="G373" s="130" t="s">
        <v>156</v>
      </c>
      <c r="H373" s="117">
        <v>80111600</v>
      </c>
      <c r="I373" s="131">
        <v>7</v>
      </c>
      <c r="J373" s="131">
        <v>5</v>
      </c>
      <c r="K373" s="56">
        <v>0</v>
      </c>
      <c r="L373" s="57">
        <f>20350000-4052500</f>
        <v>16297500</v>
      </c>
      <c r="M373" s="130" t="s">
        <v>173</v>
      </c>
      <c r="N373" s="57" t="s">
        <v>114</v>
      </c>
      <c r="O373" s="54" t="s">
        <v>230</v>
      </c>
      <c r="P373" s="132" t="str">
        <f>IFERROR(VLOOKUP(C373,TD!$B$32:$F$36,2,0)," ")</f>
        <v>O230117</v>
      </c>
      <c r="Q373" s="132" t="str">
        <f>IFERROR(VLOOKUP(C373,TD!$B$32:$F$36,3,0)," ")</f>
        <v>4503</v>
      </c>
      <c r="R373" s="132">
        <f>IFERROR(VLOOKUP(C373,TD!$B$32:$F$36,4,0)," ")</f>
        <v>20240255</v>
      </c>
      <c r="S373" s="54" t="s">
        <v>184</v>
      </c>
      <c r="T373" s="132" t="str">
        <f>IFERROR(VLOOKUP(S373,TD!$J$33:$K$43,2,0)," ")</f>
        <v>Servicio de formación en gestión del riesgo de incendios para el personal UAECOB</v>
      </c>
      <c r="U373" s="54" t="str">
        <f t="shared" si="20"/>
        <v>07-Servicio de formación en gestión del riesgo de incendios para el personal UAECOB</v>
      </c>
      <c r="V373" s="54" t="s">
        <v>234</v>
      </c>
      <c r="W373" s="132" t="str">
        <f>IFERROR(VLOOKUP(V373,TD!$N$33:$O$45,2,0)," ")</f>
        <v>Servicio de educación informal</v>
      </c>
      <c r="X373" s="54" t="str">
        <f t="shared" si="21"/>
        <v>002_Servicio de educación informal</v>
      </c>
      <c r="Y373" s="54" t="str">
        <f t="shared" si="22"/>
        <v>07-Servicio de formación en gestión del riesgo de incendios para el personal UAECOB 002_Servicio de educación informal</v>
      </c>
      <c r="Z373" s="132" t="str">
        <f t="shared" si="23"/>
        <v>O23011745032024025507002</v>
      </c>
      <c r="AA373" s="132" t="str">
        <f>IFERROR(VLOOKUP(Y373,TD!$K$46:$L$64,2,0)," ")</f>
        <v>PM/0131/0107/45030020255</v>
      </c>
      <c r="AB373" s="57" t="s">
        <v>139</v>
      </c>
      <c r="AC373" s="133" t="s">
        <v>205</v>
      </c>
    </row>
    <row r="374" spans="2:29" s="28" customFormat="1" ht="57">
      <c r="B374" s="85">
        <v>20241020</v>
      </c>
      <c r="C374" s="53" t="s">
        <v>210</v>
      </c>
      <c r="D374" s="130" t="s">
        <v>166</v>
      </c>
      <c r="E374" s="54" t="s">
        <v>857</v>
      </c>
      <c r="F374" s="130" t="s">
        <v>529</v>
      </c>
      <c r="G374" s="130" t="s">
        <v>157</v>
      </c>
      <c r="H374" s="117">
        <v>80111600</v>
      </c>
      <c r="I374" s="131">
        <v>8</v>
      </c>
      <c r="J374" s="131">
        <v>5</v>
      </c>
      <c r="K374" s="56">
        <v>0</v>
      </c>
      <c r="L374" s="57">
        <v>17505000</v>
      </c>
      <c r="M374" s="130" t="s">
        <v>173</v>
      </c>
      <c r="N374" s="57" t="s">
        <v>114</v>
      </c>
      <c r="O374" s="54" t="s">
        <v>230</v>
      </c>
      <c r="P374" s="132" t="str">
        <f>IFERROR(VLOOKUP(C374,TD!$B$32:$F$36,2,0)," ")</f>
        <v>O230117</v>
      </c>
      <c r="Q374" s="132" t="str">
        <f>IFERROR(VLOOKUP(C374,TD!$B$32:$F$36,3,0)," ")</f>
        <v>4503</v>
      </c>
      <c r="R374" s="132">
        <f>IFERROR(VLOOKUP(C374,TD!$B$32:$F$36,4,0)," ")</f>
        <v>20240255</v>
      </c>
      <c r="S374" s="54" t="s">
        <v>184</v>
      </c>
      <c r="T374" s="132" t="str">
        <f>IFERROR(VLOOKUP(S374,TD!$J$33:$K$43,2,0)," ")</f>
        <v>Servicio de formación en gestión del riesgo de incendios para el personal UAECOB</v>
      </c>
      <c r="U374" s="54" t="str">
        <f t="shared" si="20"/>
        <v>07-Servicio de formación en gestión del riesgo de incendios para el personal UAECOB</v>
      </c>
      <c r="V374" s="54" t="s">
        <v>234</v>
      </c>
      <c r="W374" s="132" t="str">
        <f>IFERROR(VLOOKUP(V374,TD!$N$33:$O$45,2,0)," ")</f>
        <v>Servicio de educación informal</v>
      </c>
      <c r="X374" s="54" t="str">
        <f t="shared" si="21"/>
        <v>002_Servicio de educación informal</v>
      </c>
      <c r="Y374" s="54" t="str">
        <f t="shared" si="22"/>
        <v>07-Servicio de formación en gestión del riesgo de incendios para el personal UAECOB 002_Servicio de educación informal</v>
      </c>
      <c r="Z374" s="132" t="str">
        <f t="shared" si="23"/>
        <v>O23011745032024025507002</v>
      </c>
      <c r="AA374" s="132" t="str">
        <f>IFERROR(VLOOKUP(Y374,TD!$K$46:$L$64,2,0)," ")</f>
        <v>PM/0131/0107/45030020255</v>
      </c>
      <c r="AB374" s="57" t="s">
        <v>139</v>
      </c>
      <c r="AC374" s="133" t="s">
        <v>205</v>
      </c>
    </row>
    <row r="375" spans="2:29" s="28" customFormat="1" ht="57">
      <c r="B375" s="85">
        <v>20241022</v>
      </c>
      <c r="C375" s="53" t="s">
        <v>210</v>
      </c>
      <c r="D375" s="130" t="s">
        <v>166</v>
      </c>
      <c r="E375" s="54" t="s">
        <v>857</v>
      </c>
      <c r="F375" s="130" t="s">
        <v>531</v>
      </c>
      <c r="G375" s="130" t="s">
        <v>156</v>
      </c>
      <c r="H375" s="117">
        <v>80111600</v>
      </c>
      <c r="I375" s="131">
        <v>9</v>
      </c>
      <c r="J375" s="131">
        <v>2</v>
      </c>
      <c r="K375" s="56">
        <v>2</v>
      </c>
      <c r="L375" s="57">
        <v>13000000</v>
      </c>
      <c r="M375" s="130" t="s">
        <v>173</v>
      </c>
      <c r="N375" s="57" t="s">
        <v>114</v>
      </c>
      <c r="O375" s="54" t="s">
        <v>230</v>
      </c>
      <c r="P375" s="132" t="str">
        <f>IFERROR(VLOOKUP(C375,TD!$B$32:$F$36,2,0)," ")</f>
        <v>O230117</v>
      </c>
      <c r="Q375" s="132" t="str">
        <f>IFERROR(VLOOKUP(C375,TD!$B$32:$F$36,3,0)," ")</f>
        <v>4503</v>
      </c>
      <c r="R375" s="132">
        <f>IFERROR(VLOOKUP(C375,TD!$B$32:$F$36,4,0)," ")</f>
        <v>20240255</v>
      </c>
      <c r="S375" s="54" t="s">
        <v>184</v>
      </c>
      <c r="T375" s="132" t="str">
        <f>IFERROR(VLOOKUP(S375,TD!$J$33:$K$43,2,0)," ")</f>
        <v>Servicio de formación en gestión del riesgo de incendios para el personal UAECOB</v>
      </c>
      <c r="U375" s="54" t="str">
        <f t="shared" si="20"/>
        <v>07-Servicio de formación en gestión del riesgo de incendios para el personal UAECOB</v>
      </c>
      <c r="V375" s="54" t="s">
        <v>234</v>
      </c>
      <c r="W375" s="132" t="str">
        <f>IFERROR(VLOOKUP(V375,TD!$N$33:$O$45,2,0)," ")</f>
        <v>Servicio de educación informal</v>
      </c>
      <c r="X375" s="54" t="str">
        <f t="shared" si="21"/>
        <v>002_Servicio de educación informal</v>
      </c>
      <c r="Y375" s="54" t="str">
        <f t="shared" si="22"/>
        <v>07-Servicio de formación en gestión del riesgo de incendios para el personal UAECOB 002_Servicio de educación informal</v>
      </c>
      <c r="Z375" s="132" t="str">
        <f t="shared" si="23"/>
        <v>O23011745032024025507002</v>
      </c>
      <c r="AA375" s="132" t="str">
        <f>IFERROR(VLOOKUP(Y375,TD!$K$46:$L$64,2,0)," ")</f>
        <v>PM/0131/0107/45030020255</v>
      </c>
      <c r="AB375" s="57" t="s">
        <v>139</v>
      </c>
      <c r="AC375" s="133" t="s">
        <v>205</v>
      </c>
    </row>
    <row r="376" spans="2:29" s="28" customFormat="1" ht="57">
      <c r="B376" s="85">
        <v>20241024</v>
      </c>
      <c r="C376" s="53" t="s">
        <v>210</v>
      </c>
      <c r="D376" s="130" t="s">
        <v>166</v>
      </c>
      <c r="E376" s="54" t="s">
        <v>857</v>
      </c>
      <c r="F376" s="130" t="s">
        <v>533</v>
      </c>
      <c r="G376" s="130" t="s">
        <v>156</v>
      </c>
      <c r="H376" s="117">
        <v>80111600</v>
      </c>
      <c r="I376" s="131">
        <v>9</v>
      </c>
      <c r="J376" s="131">
        <v>3</v>
      </c>
      <c r="K376" s="56">
        <v>15</v>
      </c>
      <c r="L376" s="57">
        <v>21000000</v>
      </c>
      <c r="M376" s="130" t="s">
        <v>173</v>
      </c>
      <c r="N376" s="57" t="s">
        <v>114</v>
      </c>
      <c r="O376" s="54" t="s">
        <v>230</v>
      </c>
      <c r="P376" s="132" t="str">
        <f>IFERROR(VLOOKUP(C376,TD!$B$32:$F$36,2,0)," ")</f>
        <v>O230117</v>
      </c>
      <c r="Q376" s="132" t="str">
        <f>IFERROR(VLOOKUP(C376,TD!$B$32:$F$36,3,0)," ")</f>
        <v>4503</v>
      </c>
      <c r="R376" s="132">
        <f>IFERROR(VLOOKUP(C376,TD!$B$32:$F$36,4,0)," ")</f>
        <v>20240255</v>
      </c>
      <c r="S376" s="54" t="s">
        <v>184</v>
      </c>
      <c r="T376" s="132" t="str">
        <f>IFERROR(VLOOKUP(S376,TD!$J$33:$K$43,2,0)," ")</f>
        <v>Servicio de formación en gestión del riesgo de incendios para el personal UAECOB</v>
      </c>
      <c r="U376" s="54" t="str">
        <f t="shared" si="20"/>
        <v>07-Servicio de formación en gestión del riesgo de incendios para el personal UAECOB</v>
      </c>
      <c r="V376" s="54" t="s">
        <v>234</v>
      </c>
      <c r="W376" s="132" t="str">
        <f>IFERROR(VLOOKUP(V376,TD!$N$33:$O$45,2,0)," ")</f>
        <v>Servicio de educación informal</v>
      </c>
      <c r="X376" s="54" t="str">
        <f t="shared" si="21"/>
        <v>002_Servicio de educación informal</v>
      </c>
      <c r="Y376" s="54" t="str">
        <f t="shared" si="22"/>
        <v>07-Servicio de formación en gestión del riesgo de incendios para el personal UAECOB 002_Servicio de educación informal</v>
      </c>
      <c r="Z376" s="132" t="str">
        <f t="shared" si="23"/>
        <v>O23011745032024025507002</v>
      </c>
      <c r="AA376" s="132" t="str">
        <f>IFERROR(VLOOKUP(Y376,TD!$K$46:$L$64,2,0)," ")</f>
        <v>PM/0131/0107/45030020255</v>
      </c>
      <c r="AB376" s="57" t="s">
        <v>139</v>
      </c>
      <c r="AC376" s="133" t="s">
        <v>205</v>
      </c>
    </row>
    <row r="377" spans="2:29" s="28" customFormat="1" ht="57">
      <c r="B377" s="85">
        <v>20241025</v>
      </c>
      <c r="C377" s="53" t="s">
        <v>210</v>
      </c>
      <c r="D377" s="130" t="s">
        <v>166</v>
      </c>
      <c r="E377" s="54" t="s">
        <v>857</v>
      </c>
      <c r="F377" s="130" t="s">
        <v>534</v>
      </c>
      <c r="G377" s="130" t="s">
        <v>156</v>
      </c>
      <c r="H377" s="117">
        <v>80111600</v>
      </c>
      <c r="I377" s="131">
        <v>9</v>
      </c>
      <c r="J377" s="131">
        <v>3</v>
      </c>
      <c r="K377" s="56">
        <v>0</v>
      </c>
      <c r="L377" s="57">
        <v>12639000</v>
      </c>
      <c r="M377" s="130" t="s">
        <v>173</v>
      </c>
      <c r="N377" s="57" t="s">
        <v>114</v>
      </c>
      <c r="O377" s="54" t="s">
        <v>230</v>
      </c>
      <c r="P377" s="132" t="str">
        <f>IFERROR(VLOOKUP(C377,TD!$B$32:$F$36,2,0)," ")</f>
        <v>O230117</v>
      </c>
      <c r="Q377" s="132" t="str">
        <f>IFERROR(VLOOKUP(C377,TD!$B$32:$F$36,3,0)," ")</f>
        <v>4503</v>
      </c>
      <c r="R377" s="132">
        <f>IFERROR(VLOOKUP(C377,TD!$B$32:$F$36,4,0)," ")</f>
        <v>20240255</v>
      </c>
      <c r="S377" s="54" t="s">
        <v>184</v>
      </c>
      <c r="T377" s="132" t="str">
        <f>IFERROR(VLOOKUP(S377,TD!$J$33:$K$43,2,0)," ")</f>
        <v>Servicio de formación en gestión del riesgo de incendios para el personal UAECOB</v>
      </c>
      <c r="U377" s="54" t="str">
        <f t="shared" si="20"/>
        <v>07-Servicio de formación en gestión del riesgo de incendios para el personal UAECOB</v>
      </c>
      <c r="V377" s="54" t="s">
        <v>234</v>
      </c>
      <c r="W377" s="132" t="str">
        <f>IFERROR(VLOOKUP(V377,TD!$N$33:$O$45,2,0)," ")</f>
        <v>Servicio de educación informal</v>
      </c>
      <c r="X377" s="54" t="str">
        <f t="shared" si="21"/>
        <v>002_Servicio de educación informal</v>
      </c>
      <c r="Y377" s="54" t="str">
        <f t="shared" si="22"/>
        <v>07-Servicio de formación en gestión del riesgo de incendios para el personal UAECOB 002_Servicio de educación informal</v>
      </c>
      <c r="Z377" s="132" t="str">
        <f t="shared" si="23"/>
        <v>O23011745032024025507002</v>
      </c>
      <c r="AA377" s="132" t="str">
        <f>IFERROR(VLOOKUP(Y377,TD!$K$46:$L$64,2,0)," ")</f>
        <v>PM/0131/0107/45030020255</v>
      </c>
      <c r="AB377" s="57" t="s">
        <v>139</v>
      </c>
      <c r="AC377" s="133" t="s">
        <v>205</v>
      </c>
    </row>
    <row r="378" spans="2:29" s="28" customFormat="1" ht="57">
      <c r="B378" s="85">
        <v>20241026</v>
      </c>
      <c r="C378" s="53" t="s">
        <v>210</v>
      </c>
      <c r="D378" s="130" t="s">
        <v>166</v>
      </c>
      <c r="E378" s="54" t="s">
        <v>857</v>
      </c>
      <c r="F378" s="130" t="s">
        <v>525</v>
      </c>
      <c r="G378" s="130" t="s">
        <v>156</v>
      </c>
      <c r="H378" s="117">
        <v>80111600</v>
      </c>
      <c r="I378" s="131">
        <v>10</v>
      </c>
      <c r="J378" s="131">
        <v>2</v>
      </c>
      <c r="K378" s="56">
        <v>15</v>
      </c>
      <c r="L378" s="57">
        <v>13677500</v>
      </c>
      <c r="M378" s="130" t="s">
        <v>173</v>
      </c>
      <c r="N378" s="57" t="s">
        <v>114</v>
      </c>
      <c r="O378" s="54" t="s">
        <v>230</v>
      </c>
      <c r="P378" s="132" t="str">
        <f>IFERROR(VLOOKUP(C378,TD!$B$32:$F$36,2,0)," ")</f>
        <v>O230117</v>
      </c>
      <c r="Q378" s="132" t="str">
        <f>IFERROR(VLOOKUP(C378,TD!$B$32:$F$36,3,0)," ")</f>
        <v>4503</v>
      </c>
      <c r="R378" s="132">
        <f>IFERROR(VLOOKUP(C378,TD!$B$32:$F$36,4,0)," ")</f>
        <v>20240255</v>
      </c>
      <c r="S378" s="54" t="s">
        <v>184</v>
      </c>
      <c r="T378" s="132" t="str">
        <f>IFERROR(VLOOKUP(S378,TD!$J$33:$K$43,2,0)," ")</f>
        <v>Servicio de formación en gestión del riesgo de incendios para el personal UAECOB</v>
      </c>
      <c r="U378" s="54" t="str">
        <f t="shared" si="20"/>
        <v>07-Servicio de formación en gestión del riesgo de incendios para el personal UAECOB</v>
      </c>
      <c r="V378" s="54" t="s">
        <v>234</v>
      </c>
      <c r="W378" s="132" t="str">
        <f>IFERROR(VLOOKUP(V378,TD!$N$33:$O$45,2,0)," ")</f>
        <v>Servicio de educación informal</v>
      </c>
      <c r="X378" s="54" t="str">
        <f t="shared" si="21"/>
        <v>002_Servicio de educación informal</v>
      </c>
      <c r="Y378" s="54" t="str">
        <f t="shared" si="22"/>
        <v>07-Servicio de formación en gestión del riesgo de incendios para el personal UAECOB 002_Servicio de educación informal</v>
      </c>
      <c r="Z378" s="132" t="str">
        <f t="shared" si="23"/>
        <v>O23011745032024025507002</v>
      </c>
      <c r="AA378" s="132" t="str">
        <f>IFERROR(VLOOKUP(Y378,TD!$K$46:$L$64,2,0)," ")</f>
        <v>PM/0131/0107/45030020255</v>
      </c>
      <c r="AB378" s="57" t="s">
        <v>139</v>
      </c>
      <c r="AC378" s="133" t="s">
        <v>205</v>
      </c>
    </row>
    <row r="379" spans="2:29" s="28" customFormat="1" ht="57">
      <c r="B379" s="85">
        <v>20241027</v>
      </c>
      <c r="C379" s="53" t="s">
        <v>210</v>
      </c>
      <c r="D379" s="130" t="s">
        <v>166</v>
      </c>
      <c r="E379" s="54" t="s">
        <v>857</v>
      </c>
      <c r="F379" s="130" t="s">
        <v>535</v>
      </c>
      <c r="G379" s="130" t="s">
        <v>156</v>
      </c>
      <c r="H379" s="117">
        <v>80111600</v>
      </c>
      <c r="I379" s="131">
        <v>8</v>
      </c>
      <c r="J379" s="131">
        <v>4</v>
      </c>
      <c r="K379" s="56">
        <v>15</v>
      </c>
      <c r="L379" s="57">
        <v>20250000</v>
      </c>
      <c r="M379" s="130" t="s">
        <v>173</v>
      </c>
      <c r="N379" s="57" t="s">
        <v>114</v>
      </c>
      <c r="O379" s="54" t="s">
        <v>230</v>
      </c>
      <c r="P379" s="132" t="str">
        <f>IFERROR(VLOOKUP(C379,TD!$B$32:$F$36,2,0)," ")</f>
        <v>O230117</v>
      </c>
      <c r="Q379" s="132" t="str">
        <f>IFERROR(VLOOKUP(C379,TD!$B$32:$F$36,3,0)," ")</f>
        <v>4503</v>
      </c>
      <c r="R379" s="132">
        <f>IFERROR(VLOOKUP(C379,TD!$B$32:$F$36,4,0)," ")</f>
        <v>20240255</v>
      </c>
      <c r="S379" s="54" t="s">
        <v>184</v>
      </c>
      <c r="T379" s="132" t="str">
        <f>IFERROR(VLOOKUP(S379,TD!$J$33:$K$43,2,0)," ")</f>
        <v>Servicio de formación en gestión del riesgo de incendios para el personal UAECOB</v>
      </c>
      <c r="U379" s="54" t="str">
        <f t="shared" si="20"/>
        <v>07-Servicio de formación en gestión del riesgo de incendios para el personal UAECOB</v>
      </c>
      <c r="V379" s="54" t="s">
        <v>234</v>
      </c>
      <c r="W379" s="132" t="str">
        <f>IFERROR(VLOOKUP(V379,TD!$N$33:$O$45,2,0)," ")</f>
        <v>Servicio de educación informal</v>
      </c>
      <c r="X379" s="54" t="str">
        <f t="shared" si="21"/>
        <v>002_Servicio de educación informal</v>
      </c>
      <c r="Y379" s="54" t="str">
        <f t="shared" si="22"/>
        <v>07-Servicio de formación en gestión del riesgo de incendios para el personal UAECOB 002_Servicio de educación informal</v>
      </c>
      <c r="Z379" s="132" t="str">
        <f t="shared" si="23"/>
        <v>O23011745032024025507002</v>
      </c>
      <c r="AA379" s="132" t="str">
        <f>IFERROR(VLOOKUP(Y379,TD!$K$46:$L$64,2,0)," ")</f>
        <v>PM/0131/0107/45030020255</v>
      </c>
      <c r="AB379" s="57" t="s">
        <v>139</v>
      </c>
      <c r="AC379" s="133" t="s">
        <v>205</v>
      </c>
    </row>
    <row r="380" spans="2:29" s="28" customFormat="1" ht="57">
      <c r="B380" s="85">
        <v>20241028</v>
      </c>
      <c r="C380" s="53" t="s">
        <v>210</v>
      </c>
      <c r="D380" s="130" t="s">
        <v>166</v>
      </c>
      <c r="E380" s="54" t="s">
        <v>857</v>
      </c>
      <c r="F380" s="130" t="s">
        <v>536</v>
      </c>
      <c r="G380" s="130" t="s">
        <v>157</v>
      </c>
      <c r="H380" s="117">
        <v>80111600</v>
      </c>
      <c r="I380" s="131">
        <v>8</v>
      </c>
      <c r="J380" s="131">
        <v>4</v>
      </c>
      <c r="K380" s="56">
        <v>15</v>
      </c>
      <c r="L380" s="57">
        <v>14769000</v>
      </c>
      <c r="M380" s="130" t="s">
        <v>173</v>
      </c>
      <c r="N380" s="57" t="s">
        <v>114</v>
      </c>
      <c r="O380" s="54" t="s">
        <v>230</v>
      </c>
      <c r="P380" s="132" t="str">
        <f>IFERROR(VLOOKUP(C380,TD!$B$32:$F$36,2,0)," ")</f>
        <v>O230117</v>
      </c>
      <c r="Q380" s="132" t="str">
        <f>IFERROR(VLOOKUP(C380,TD!$B$32:$F$36,3,0)," ")</f>
        <v>4503</v>
      </c>
      <c r="R380" s="132">
        <f>IFERROR(VLOOKUP(C380,TD!$B$32:$F$36,4,0)," ")</f>
        <v>20240255</v>
      </c>
      <c r="S380" s="54" t="s">
        <v>184</v>
      </c>
      <c r="T380" s="132" t="str">
        <f>IFERROR(VLOOKUP(S380,TD!$J$33:$K$43,2,0)," ")</f>
        <v>Servicio de formación en gestión del riesgo de incendios para el personal UAECOB</v>
      </c>
      <c r="U380" s="54" t="str">
        <f t="shared" si="20"/>
        <v>07-Servicio de formación en gestión del riesgo de incendios para el personal UAECOB</v>
      </c>
      <c r="V380" s="54" t="s">
        <v>234</v>
      </c>
      <c r="W380" s="132" t="str">
        <f>IFERROR(VLOOKUP(V380,TD!$N$33:$O$45,2,0)," ")</f>
        <v>Servicio de educación informal</v>
      </c>
      <c r="X380" s="54" t="str">
        <f t="shared" si="21"/>
        <v>002_Servicio de educación informal</v>
      </c>
      <c r="Y380" s="54" t="str">
        <f t="shared" si="22"/>
        <v>07-Servicio de formación en gestión del riesgo de incendios para el personal UAECOB 002_Servicio de educación informal</v>
      </c>
      <c r="Z380" s="132" t="str">
        <f t="shared" si="23"/>
        <v>O23011745032024025507002</v>
      </c>
      <c r="AA380" s="132" t="str">
        <f>IFERROR(VLOOKUP(Y380,TD!$K$46:$L$64,2,0)," ")</f>
        <v>PM/0131/0107/45030020255</v>
      </c>
      <c r="AB380" s="57" t="s">
        <v>139</v>
      </c>
      <c r="AC380" s="133" t="s">
        <v>205</v>
      </c>
    </row>
    <row r="381" spans="2:29" s="28" customFormat="1" ht="57">
      <c r="B381" s="85">
        <v>20241029</v>
      </c>
      <c r="C381" s="53" t="s">
        <v>210</v>
      </c>
      <c r="D381" s="130" t="s">
        <v>166</v>
      </c>
      <c r="E381" s="54" t="s">
        <v>857</v>
      </c>
      <c r="F381" s="130" t="s">
        <v>537</v>
      </c>
      <c r="G381" s="130" t="s">
        <v>157</v>
      </c>
      <c r="H381" s="117">
        <v>80111600</v>
      </c>
      <c r="I381" s="131">
        <v>10</v>
      </c>
      <c r="J381" s="131">
        <v>2</v>
      </c>
      <c r="K381" s="56">
        <v>15</v>
      </c>
      <c r="L381" s="57">
        <v>7500000</v>
      </c>
      <c r="M381" s="130" t="s">
        <v>173</v>
      </c>
      <c r="N381" s="57" t="s">
        <v>114</v>
      </c>
      <c r="O381" s="54" t="s">
        <v>230</v>
      </c>
      <c r="P381" s="132" t="str">
        <f>IFERROR(VLOOKUP(C381,TD!$B$32:$F$36,2,0)," ")</f>
        <v>O230117</v>
      </c>
      <c r="Q381" s="132" t="str">
        <f>IFERROR(VLOOKUP(C381,TD!$B$32:$F$36,3,0)," ")</f>
        <v>4503</v>
      </c>
      <c r="R381" s="132">
        <f>IFERROR(VLOOKUP(C381,TD!$B$32:$F$36,4,0)," ")</f>
        <v>20240255</v>
      </c>
      <c r="S381" s="54" t="s">
        <v>184</v>
      </c>
      <c r="T381" s="132" t="str">
        <f>IFERROR(VLOOKUP(S381,TD!$J$33:$K$43,2,0)," ")</f>
        <v>Servicio de formación en gestión del riesgo de incendios para el personal UAECOB</v>
      </c>
      <c r="U381" s="54" t="str">
        <f t="shared" si="20"/>
        <v>07-Servicio de formación en gestión del riesgo de incendios para el personal UAECOB</v>
      </c>
      <c r="V381" s="54" t="s">
        <v>234</v>
      </c>
      <c r="W381" s="132" t="str">
        <f>IFERROR(VLOOKUP(V381,TD!$N$33:$O$45,2,0)," ")</f>
        <v>Servicio de educación informal</v>
      </c>
      <c r="X381" s="54" t="str">
        <f t="shared" si="21"/>
        <v>002_Servicio de educación informal</v>
      </c>
      <c r="Y381" s="54" t="str">
        <f t="shared" si="22"/>
        <v>07-Servicio de formación en gestión del riesgo de incendios para el personal UAECOB 002_Servicio de educación informal</v>
      </c>
      <c r="Z381" s="132" t="str">
        <f t="shared" si="23"/>
        <v>O23011745032024025507002</v>
      </c>
      <c r="AA381" s="132" t="str">
        <f>IFERROR(VLOOKUP(Y381,TD!$K$46:$L$64,2,0)," ")</f>
        <v>PM/0131/0107/45030020255</v>
      </c>
      <c r="AB381" s="57" t="s">
        <v>139</v>
      </c>
      <c r="AC381" s="133" t="s">
        <v>205</v>
      </c>
    </row>
    <row r="382" spans="2:29" s="28" customFormat="1" ht="57">
      <c r="B382" s="85">
        <v>20241030</v>
      </c>
      <c r="C382" s="53" t="s">
        <v>210</v>
      </c>
      <c r="D382" s="130" t="s">
        <v>166</v>
      </c>
      <c r="E382" s="54" t="s">
        <v>857</v>
      </c>
      <c r="F382" s="130" t="s">
        <v>538</v>
      </c>
      <c r="G382" s="130" t="s">
        <v>156</v>
      </c>
      <c r="H382" s="117">
        <v>80111600</v>
      </c>
      <c r="I382" s="131">
        <v>7</v>
      </c>
      <c r="J382" s="131">
        <v>5</v>
      </c>
      <c r="K382" s="56">
        <v>0</v>
      </c>
      <c r="L382" s="57">
        <v>26960000</v>
      </c>
      <c r="M382" s="130" t="s">
        <v>173</v>
      </c>
      <c r="N382" s="57" t="s">
        <v>114</v>
      </c>
      <c r="O382" s="54" t="s">
        <v>230</v>
      </c>
      <c r="P382" s="132" t="str">
        <f>IFERROR(VLOOKUP(C382,TD!$B$32:$F$36,2,0)," ")</f>
        <v>O230117</v>
      </c>
      <c r="Q382" s="132" t="str">
        <f>IFERROR(VLOOKUP(C382,TD!$B$32:$F$36,3,0)," ")</f>
        <v>4503</v>
      </c>
      <c r="R382" s="132">
        <f>IFERROR(VLOOKUP(C382,TD!$B$32:$F$36,4,0)," ")</f>
        <v>20240255</v>
      </c>
      <c r="S382" s="54" t="s">
        <v>184</v>
      </c>
      <c r="T382" s="132" t="str">
        <f>IFERROR(VLOOKUP(S382,TD!$J$33:$K$43,2,0)," ")</f>
        <v>Servicio de formación en gestión del riesgo de incendios para el personal UAECOB</v>
      </c>
      <c r="U382" s="54" t="str">
        <f t="shared" si="20"/>
        <v>07-Servicio de formación en gestión del riesgo de incendios para el personal UAECOB</v>
      </c>
      <c r="V382" s="54" t="s">
        <v>234</v>
      </c>
      <c r="W382" s="132" t="str">
        <f>IFERROR(VLOOKUP(V382,TD!$N$33:$O$45,2,0)," ")</f>
        <v>Servicio de educación informal</v>
      </c>
      <c r="X382" s="54" t="str">
        <f t="shared" si="21"/>
        <v>002_Servicio de educación informal</v>
      </c>
      <c r="Y382" s="54" t="str">
        <f t="shared" si="22"/>
        <v>07-Servicio de formación en gestión del riesgo de incendios para el personal UAECOB 002_Servicio de educación informal</v>
      </c>
      <c r="Z382" s="132" t="str">
        <f t="shared" si="23"/>
        <v>O23011745032024025507002</v>
      </c>
      <c r="AA382" s="132" t="str">
        <f>IFERROR(VLOOKUP(Y382,TD!$K$46:$L$64,2,0)," ")</f>
        <v>PM/0131/0107/45030020255</v>
      </c>
      <c r="AB382" s="57" t="s">
        <v>139</v>
      </c>
      <c r="AC382" s="133" t="s">
        <v>205</v>
      </c>
    </row>
    <row r="383" spans="2:29" s="28" customFormat="1" ht="57">
      <c r="B383" s="85">
        <v>20241031</v>
      </c>
      <c r="C383" s="53" t="s">
        <v>210</v>
      </c>
      <c r="D383" s="130" t="s">
        <v>166</v>
      </c>
      <c r="E383" s="54" t="s">
        <v>857</v>
      </c>
      <c r="F383" s="130" t="s">
        <v>539</v>
      </c>
      <c r="G383" s="130" t="s">
        <v>156</v>
      </c>
      <c r="H383" s="117">
        <v>80111600</v>
      </c>
      <c r="I383" s="131">
        <v>8</v>
      </c>
      <c r="J383" s="131">
        <v>3</v>
      </c>
      <c r="K383" s="56">
        <v>15</v>
      </c>
      <c r="L383" s="57">
        <v>16086000</v>
      </c>
      <c r="M383" s="130" t="s">
        <v>173</v>
      </c>
      <c r="N383" s="57" t="s">
        <v>114</v>
      </c>
      <c r="O383" s="54" t="s">
        <v>230</v>
      </c>
      <c r="P383" s="132" t="str">
        <f>IFERROR(VLOOKUP(C383,TD!$B$32:$F$36,2,0)," ")</f>
        <v>O230117</v>
      </c>
      <c r="Q383" s="132" t="str">
        <f>IFERROR(VLOOKUP(C383,TD!$B$32:$F$36,3,0)," ")</f>
        <v>4503</v>
      </c>
      <c r="R383" s="132">
        <f>IFERROR(VLOOKUP(C383,TD!$B$32:$F$36,4,0)," ")</f>
        <v>20240255</v>
      </c>
      <c r="S383" s="54" t="s">
        <v>184</v>
      </c>
      <c r="T383" s="132" t="str">
        <f>IFERROR(VLOOKUP(S383,TD!$J$33:$K$43,2,0)," ")</f>
        <v>Servicio de formación en gestión del riesgo de incendios para el personal UAECOB</v>
      </c>
      <c r="U383" s="54" t="str">
        <f t="shared" si="20"/>
        <v>07-Servicio de formación en gestión del riesgo de incendios para el personal UAECOB</v>
      </c>
      <c r="V383" s="54" t="s">
        <v>234</v>
      </c>
      <c r="W383" s="132" t="str">
        <f>IFERROR(VLOOKUP(V383,TD!$N$33:$O$45,2,0)," ")</f>
        <v>Servicio de educación informal</v>
      </c>
      <c r="X383" s="54" t="str">
        <f t="shared" si="21"/>
        <v>002_Servicio de educación informal</v>
      </c>
      <c r="Y383" s="54" t="str">
        <f t="shared" si="22"/>
        <v>07-Servicio de formación en gestión del riesgo de incendios para el personal UAECOB 002_Servicio de educación informal</v>
      </c>
      <c r="Z383" s="132" t="str">
        <f t="shared" si="23"/>
        <v>O23011745032024025507002</v>
      </c>
      <c r="AA383" s="132" t="str">
        <f>IFERROR(VLOOKUP(Y383,TD!$K$46:$L$64,2,0)," ")</f>
        <v>PM/0131/0107/45030020255</v>
      </c>
      <c r="AB383" s="57" t="s">
        <v>139</v>
      </c>
      <c r="AC383" s="133" t="s">
        <v>205</v>
      </c>
    </row>
    <row r="384" spans="2:29" s="28" customFormat="1" ht="57">
      <c r="B384" s="85">
        <v>20241032</v>
      </c>
      <c r="C384" s="53" t="s">
        <v>210</v>
      </c>
      <c r="D384" s="130" t="s">
        <v>166</v>
      </c>
      <c r="E384" s="54" t="s">
        <v>857</v>
      </c>
      <c r="F384" s="130" t="s">
        <v>534</v>
      </c>
      <c r="G384" s="130" t="s">
        <v>156</v>
      </c>
      <c r="H384" s="117">
        <v>80111600</v>
      </c>
      <c r="I384" s="131">
        <v>8</v>
      </c>
      <c r="J384" s="131">
        <v>4</v>
      </c>
      <c r="K384" s="56">
        <v>0</v>
      </c>
      <c r="L384" s="57">
        <v>16068000</v>
      </c>
      <c r="M384" s="130" t="s">
        <v>173</v>
      </c>
      <c r="N384" s="57" t="s">
        <v>114</v>
      </c>
      <c r="O384" s="54" t="s">
        <v>230</v>
      </c>
      <c r="P384" s="132" t="str">
        <f>IFERROR(VLOOKUP(C384,TD!$B$32:$F$36,2,0)," ")</f>
        <v>O230117</v>
      </c>
      <c r="Q384" s="132" t="str">
        <f>IFERROR(VLOOKUP(C384,TD!$B$32:$F$36,3,0)," ")</f>
        <v>4503</v>
      </c>
      <c r="R384" s="132">
        <f>IFERROR(VLOOKUP(C384,TD!$B$32:$F$36,4,0)," ")</f>
        <v>20240255</v>
      </c>
      <c r="S384" s="54" t="s">
        <v>184</v>
      </c>
      <c r="T384" s="132" t="str">
        <f>IFERROR(VLOOKUP(S384,TD!$J$33:$K$43,2,0)," ")</f>
        <v>Servicio de formación en gestión del riesgo de incendios para el personal UAECOB</v>
      </c>
      <c r="U384" s="54" t="str">
        <f t="shared" si="20"/>
        <v>07-Servicio de formación en gestión del riesgo de incendios para el personal UAECOB</v>
      </c>
      <c r="V384" s="54" t="s">
        <v>234</v>
      </c>
      <c r="W384" s="132" t="str">
        <f>IFERROR(VLOOKUP(V384,TD!$N$33:$O$45,2,0)," ")</f>
        <v>Servicio de educación informal</v>
      </c>
      <c r="X384" s="54" t="str">
        <f t="shared" si="21"/>
        <v>002_Servicio de educación informal</v>
      </c>
      <c r="Y384" s="54" t="str">
        <f t="shared" si="22"/>
        <v>07-Servicio de formación en gestión del riesgo de incendios para el personal UAECOB 002_Servicio de educación informal</v>
      </c>
      <c r="Z384" s="132" t="str">
        <f t="shared" si="23"/>
        <v>O23011745032024025507002</v>
      </c>
      <c r="AA384" s="132" t="str">
        <f>IFERROR(VLOOKUP(Y384,TD!$K$46:$L$64,2,0)," ")</f>
        <v>PM/0131/0107/45030020255</v>
      </c>
      <c r="AB384" s="57" t="s">
        <v>139</v>
      </c>
      <c r="AC384" s="133" t="s">
        <v>205</v>
      </c>
    </row>
    <row r="385" spans="2:29" s="28" customFormat="1" ht="57">
      <c r="B385" s="85">
        <v>20241034</v>
      </c>
      <c r="C385" s="53" t="s">
        <v>210</v>
      </c>
      <c r="D385" s="130" t="s">
        <v>166</v>
      </c>
      <c r="E385" s="54" t="s">
        <v>857</v>
      </c>
      <c r="F385" s="130" t="s">
        <v>540</v>
      </c>
      <c r="G385" s="130" t="s">
        <v>156</v>
      </c>
      <c r="H385" s="117">
        <v>80111600</v>
      </c>
      <c r="I385" s="131">
        <v>11</v>
      </c>
      <c r="J385" s="131">
        <v>4</v>
      </c>
      <c r="K385" s="56">
        <v>0</v>
      </c>
      <c r="L385" s="57">
        <v>26000000</v>
      </c>
      <c r="M385" s="130" t="s">
        <v>173</v>
      </c>
      <c r="N385" s="57" t="s">
        <v>114</v>
      </c>
      <c r="O385" s="54" t="s">
        <v>230</v>
      </c>
      <c r="P385" s="132" t="str">
        <f>IFERROR(VLOOKUP(C385,TD!$B$32:$F$36,2,0)," ")</f>
        <v>O230117</v>
      </c>
      <c r="Q385" s="132" t="str">
        <f>IFERROR(VLOOKUP(C385,TD!$B$32:$F$36,3,0)," ")</f>
        <v>4503</v>
      </c>
      <c r="R385" s="132">
        <f>IFERROR(VLOOKUP(C385,TD!$B$32:$F$36,4,0)," ")</f>
        <v>20240255</v>
      </c>
      <c r="S385" s="54" t="s">
        <v>184</v>
      </c>
      <c r="T385" s="132" t="str">
        <f>IFERROR(VLOOKUP(S385,TD!$J$33:$K$43,2,0)," ")</f>
        <v>Servicio de formación en gestión del riesgo de incendios para el personal UAECOB</v>
      </c>
      <c r="U385" s="54" t="str">
        <f t="shared" si="20"/>
        <v>07-Servicio de formación en gestión del riesgo de incendios para el personal UAECOB</v>
      </c>
      <c r="V385" s="54" t="s">
        <v>234</v>
      </c>
      <c r="W385" s="132" t="str">
        <f>IFERROR(VLOOKUP(V385,TD!$N$33:$O$45,2,0)," ")</f>
        <v>Servicio de educación informal</v>
      </c>
      <c r="X385" s="54" t="str">
        <f t="shared" si="21"/>
        <v>002_Servicio de educación informal</v>
      </c>
      <c r="Y385" s="54" t="str">
        <f t="shared" si="22"/>
        <v>07-Servicio de formación en gestión del riesgo de incendios para el personal UAECOB 002_Servicio de educación informal</v>
      </c>
      <c r="Z385" s="132" t="str">
        <f t="shared" si="23"/>
        <v>O23011745032024025507002</v>
      </c>
      <c r="AA385" s="132" t="str">
        <f>IFERROR(VLOOKUP(Y385,TD!$K$46:$L$64,2,0)," ")</f>
        <v>PM/0131/0107/45030020255</v>
      </c>
      <c r="AB385" s="57" t="s">
        <v>139</v>
      </c>
      <c r="AC385" s="133" t="s">
        <v>205</v>
      </c>
    </row>
    <row r="386" spans="2:29" s="28" customFormat="1" ht="57">
      <c r="B386" s="85">
        <v>20241035</v>
      </c>
      <c r="C386" s="53" t="s">
        <v>210</v>
      </c>
      <c r="D386" s="130" t="s">
        <v>166</v>
      </c>
      <c r="E386" s="54" t="s">
        <v>857</v>
      </c>
      <c r="F386" s="130" t="s">
        <v>541</v>
      </c>
      <c r="G386" s="130" t="s">
        <v>157</v>
      </c>
      <c r="H386" s="117">
        <v>80111600</v>
      </c>
      <c r="I386" s="131">
        <v>8</v>
      </c>
      <c r="J386" s="131">
        <v>5</v>
      </c>
      <c r="K386" s="56">
        <v>0</v>
      </c>
      <c r="L386" s="57">
        <v>12950000</v>
      </c>
      <c r="M386" s="130" t="s">
        <v>173</v>
      </c>
      <c r="N386" s="57" t="s">
        <v>114</v>
      </c>
      <c r="O386" s="54" t="s">
        <v>230</v>
      </c>
      <c r="P386" s="132" t="str">
        <f>IFERROR(VLOOKUP(C386,TD!$B$32:$F$36,2,0)," ")</f>
        <v>O230117</v>
      </c>
      <c r="Q386" s="132" t="str">
        <f>IFERROR(VLOOKUP(C386,TD!$B$32:$F$36,3,0)," ")</f>
        <v>4503</v>
      </c>
      <c r="R386" s="132">
        <f>IFERROR(VLOOKUP(C386,TD!$B$32:$F$36,4,0)," ")</f>
        <v>20240255</v>
      </c>
      <c r="S386" s="54" t="s">
        <v>184</v>
      </c>
      <c r="T386" s="132" t="str">
        <f>IFERROR(VLOOKUP(S386,TD!$J$33:$K$43,2,0)," ")</f>
        <v>Servicio de formación en gestión del riesgo de incendios para el personal UAECOB</v>
      </c>
      <c r="U386" s="54" t="str">
        <f t="shared" si="20"/>
        <v>07-Servicio de formación en gestión del riesgo de incendios para el personal UAECOB</v>
      </c>
      <c r="V386" s="54" t="s">
        <v>234</v>
      </c>
      <c r="W386" s="132" t="str">
        <f>IFERROR(VLOOKUP(V386,TD!$N$33:$O$45,2,0)," ")</f>
        <v>Servicio de educación informal</v>
      </c>
      <c r="X386" s="54" t="str">
        <f t="shared" si="21"/>
        <v>002_Servicio de educación informal</v>
      </c>
      <c r="Y386" s="54" t="str">
        <f t="shared" si="22"/>
        <v>07-Servicio de formación en gestión del riesgo de incendios para el personal UAECOB 002_Servicio de educación informal</v>
      </c>
      <c r="Z386" s="132" t="str">
        <f t="shared" si="23"/>
        <v>O23011745032024025507002</v>
      </c>
      <c r="AA386" s="132" t="str">
        <f>IFERROR(VLOOKUP(Y386,TD!$K$46:$L$64,2,0)," ")</f>
        <v>PM/0131/0107/45030020255</v>
      </c>
      <c r="AB386" s="57" t="s">
        <v>139</v>
      </c>
      <c r="AC386" s="133" t="s">
        <v>205</v>
      </c>
    </row>
    <row r="387" spans="2:29" s="28" customFormat="1" ht="57">
      <c r="B387" s="85">
        <v>20241036</v>
      </c>
      <c r="C387" s="53" t="s">
        <v>210</v>
      </c>
      <c r="D387" s="130" t="s">
        <v>166</v>
      </c>
      <c r="E387" s="54" t="s">
        <v>857</v>
      </c>
      <c r="F387" s="130" t="s">
        <v>542</v>
      </c>
      <c r="G387" s="130" t="s">
        <v>156</v>
      </c>
      <c r="H387" s="117">
        <v>80111600</v>
      </c>
      <c r="I387" s="131">
        <v>7</v>
      </c>
      <c r="J387" s="131">
        <v>5</v>
      </c>
      <c r="K387" s="56">
        <v>0</v>
      </c>
      <c r="L387" s="57">
        <v>20085000</v>
      </c>
      <c r="M387" s="130" t="s">
        <v>173</v>
      </c>
      <c r="N387" s="57" t="s">
        <v>114</v>
      </c>
      <c r="O387" s="54" t="s">
        <v>230</v>
      </c>
      <c r="P387" s="132" t="str">
        <f>IFERROR(VLOOKUP(C387,TD!$B$32:$F$36,2,0)," ")</f>
        <v>O230117</v>
      </c>
      <c r="Q387" s="132" t="str">
        <f>IFERROR(VLOOKUP(C387,TD!$B$32:$F$36,3,0)," ")</f>
        <v>4503</v>
      </c>
      <c r="R387" s="132">
        <f>IFERROR(VLOOKUP(C387,TD!$B$32:$F$36,4,0)," ")</f>
        <v>20240255</v>
      </c>
      <c r="S387" s="54" t="s">
        <v>184</v>
      </c>
      <c r="T387" s="132" t="str">
        <f>IFERROR(VLOOKUP(S387,TD!$J$33:$K$43,2,0)," ")</f>
        <v>Servicio de formación en gestión del riesgo de incendios para el personal UAECOB</v>
      </c>
      <c r="U387" s="54" t="str">
        <f t="shared" si="20"/>
        <v>07-Servicio de formación en gestión del riesgo de incendios para el personal UAECOB</v>
      </c>
      <c r="V387" s="54" t="s">
        <v>234</v>
      </c>
      <c r="W387" s="132" t="str">
        <f>IFERROR(VLOOKUP(V387,TD!$N$33:$O$45,2,0)," ")</f>
        <v>Servicio de educación informal</v>
      </c>
      <c r="X387" s="54" t="str">
        <f t="shared" si="21"/>
        <v>002_Servicio de educación informal</v>
      </c>
      <c r="Y387" s="54" t="str">
        <f t="shared" si="22"/>
        <v>07-Servicio de formación en gestión del riesgo de incendios para el personal UAECOB 002_Servicio de educación informal</v>
      </c>
      <c r="Z387" s="132" t="str">
        <f t="shared" si="23"/>
        <v>O23011745032024025507002</v>
      </c>
      <c r="AA387" s="132" t="str">
        <f>IFERROR(VLOOKUP(Y387,TD!$K$46:$L$64,2,0)," ")</f>
        <v>PM/0131/0107/45030020255</v>
      </c>
      <c r="AB387" s="57" t="s">
        <v>139</v>
      </c>
      <c r="AC387" s="133" t="s">
        <v>205</v>
      </c>
    </row>
    <row r="388" spans="2:29" s="28" customFormat="1" ht="57">
      <c r="B388" s="85">
        <v>20241037</v>
      </c>
      <c r="C388" s="53" t="s">
        <v>210</v>
      </c>
      <c r="D388" s="130" t="s">
        <v>166</v>
      </c>
      <c r="E388" s="54" t="s">
        <v>857</v>
      </c>
      <c r="F388" s="130" t="s">
        <v>710</v>
      </c>
      <c r="G388" s="130" t="s">
        <v>156</v>
      </c>
      <c r="H388" s="117">
        <v>80111600</v>
      </c>
      <c r="I388" s="131">
        <v>9</v>
      </c>
      <c r="J388" s="131">
        <v>5</v>
      </c>
      <c r="K388" s="56">
        <v>0</v>
      </c>
      <c r="L388" s="57">
        <v>25450000</v>
      </c>
      <c r="M388" s="130" t="s">
        <v>173</v>
      </c>
      <c r="N388" s="57" t="s">
        <v>114</v>
      </c>
      <c r="O388" s="54" t="s">
        <v>230</v>
      </c>
      <c r="P388" s="132" t="str">
        <f>IFERROR(VLOOKUP(C388,TD!$B$32:$F$36,2,0)," ")</f>
        <v>O230117</v>
      </c>
      <c r="Q388" s="132" t="str">
        <f>IFERROR(VLOOKUP(C388,TD!$B$32:$F$36,3,0)," ")</f>
        <v>4503</v>
      </c>
      <c r="R388" s="132">
        <f>IFERROR(VLOOKUP(C388,TD!$B$32:$F$36,4,0)," ")</f>
        <v>20240255</v>
      </c>
      <c r="S388" s="54" t="s">
        <v>184</v>
      </c>
      <c r="T388" s="132" t="str">
        <f>IFERROR(VLOOKUP(S388,TD!$J$33:$K$43,2,0)," ")</f>
        <v>Servicio de formación en gestión del riesgo de incendios para el personal UAECOB</v>
      </c>
      <c r="U388" s="54" t="str">
        <f t="shared" si="20"/>
        <v>07-Servicio de formación en gestión del riesgo de incendios para el personal UAECOB</v>
      </c>
      <c r="V388" s="54" t="s">
        <v>234</v>
      </c>
      <c r="W388" s="132" t="str">
        <f>IFERROR(VLOOKUP(V388,TD!$N$33:$O$45,2,0)," ")</f>
        <v>Servicio de educación informal</v>
      </c>
      <c r="X388" s="54" t="str">
        <f t="shared" si="21"/>
        <v>002_Servicio de educación informal</v>
      </c>
      <c r="Y388" s="54" t="str">
        <f t="shared" si="22"/>
        <v>07-Servicio de formación en gestión del riesgo de incendios para el personal UAECOB 002_Servicio de educación informal</v>
      </c>
      <c r="Z388" s="132" t="str">
        <f t="shared" si="23"/>
        <v>O23011745032024025507002</v>
      </c>
      <c r="AA388" s="132" t="str">
        <f>IFERROR(VLOOKUP(Y388,TD!$K$46:$L$64,2,0)," ")</f>
        <v>PM/0131/0107/45030020255</v>
      </c>
      <c r="AB388" s="57" t="s">
        <v>139</v>
      </c>
      <c r="AC388" s="133" t="s">
        <v>205</v>
      </c>
    </row>
    <row r="389" spans="2:29" s="28" customFormat="1" ht="57">
      <c r="B389" s="85">
        <v>20241038</v>
      </c>
      <c r="C389" s="53" t="s">
        <v>210</v>
      </c>
      <c r="D389" s="130" t="s">
        <v>166</v>
      </c>
      <c r="E389" s="54" t="s">
        <v>857</v>
      </c>
      <c r="F389" s="130" t="s">
        <v>543</v>
      </c>
      <c r="G389" s="130" t="s">
        <v>157</v>
      </c>
      <c r="H389" s="117">
        <v>80111600</v>
      </c>
      <c r="I389" s="131">
        <v>9</v>
      </c>
      <c r="J389" s="131">
        <v>3</v>
      </c>
      <c r="K389" s="56">
        <v>15</v>
      </c>
      <c r="L389" s="57">
        <v>13125000</v>
      </c>
      <c r="M389" s="130" t="s">
        <v>173</v>
      </c>
      <c r="N389" s="57" t="s">
        <v>114</v>
      </c>
      <c r="O389" s="54" t="s">
        <v>230</v>
      </c>
      <c r="P389" s="132" t="str">
        <f>IFERROR(VLOOKUP(C389,TD!$B$32:$F$36,2,0)," ")</f>
        <v>O230117</v>
      </c>
      <c r="Q389" s="132" t="str">
        <f>IFERROR(VLOOKUP(C389,TD!$B$32:$F$36,3,0)," ")</f>
        <v>4503</v>
      </c>
      <c r="R389" s="132">
        <f>IFERROR(VLOOKUP(C389,TD!$B$32:$F$36,4,0)," ")</f>
        <v>20240255</v>
      </c>
      <c r="S389" s="54" t="s">
        <v>184</v>
      </c>
      <c r="T389" s="132" t="str">
        <f>IFERROR(VLOOKUP(S389,TD!$J$33:$K$43,2,0)," ")</f>
        <v>Servicio de formación en gestión del riesgo de incendios para el personal UAECOB</v>
      </c>
      <c r="U389" s="54" t="str">
        <f t="shared" si="20"/>
        <v>07-Servicio de formación en gestión del riesgo de incendios para el personal UAECOB</v>
      </c>
      <c r="V389" s="54" t="s">
        <v>234</v>
      </c>
      <c r="W389" s="132" t="str">
        <f>IFERROR(VLOOKUP(V389,TD!$N$33:$O$45,2,0)," ")</f>
        <v>Servicio de educación informal</v>
      </c>
      <c r="X389" s="54" t="str">
        <f t="shared" si="21"/>
        <v>002_Servicio de educación informal</v>
      </c>
      <c r="Y389" s="54" t="str">
        <f t="shared" si="22"/>
        <v>07-Servicio de formación en gestión del riesgo de incendios para el personal UAECOB 002_Servicio de educación informal</v>
      </c>
      <c r="Z389" s="132" t="str">
        <f t="shared" si="23"/>
        <v>O23011745032024025507002</v>
      </c>
      <c r="AA389" s="132" t="str">
        <f>IFERROR(VLOOKUP(Y389,TD!$K$46:$L$64,2,0)," ")</f>
        <v>PM/0131/0107/45030020255</v>
      </c>
      <c r="AB389" s="57" t="s">
        <v>139</v>
      </c>
      <c r="AC389" s="133" t="s">
        <v>205</v>
      </c>
    </row>
    <row r="390" spans="2:29" s="28" customFormat="1" ht="57">
      <c r="B390" s="85">
        <v>20241042</v>
      </c>
      <c r="C390" s="53" t="s">
        <v>209</v>
      </c>
      <c r="D390" s="130" t="s">
        <v>167</v>
      </c>
      <c r="E390" s="54" t="s">
        <v>839</v>
      </c>
      <c r="F390" s="130" t="s">
        <v>548</v>
      </c>
      <c r="G390" s="130" t="s">
        <v>87</v>
      </c>
      <c r="H390" s="118" t="s">
        <v>586</v>
      </c>
      <c r="I390" s="131">
        <v>8</v>
      </c>
      <c r="J390" s="131">
        <v>4</v>
      </c>
      <c r="K390" s="56">
        <v>0</v>
      </c>
      <c r="L390" s="57">
        <v>220000000</v>
      </c>
      <c r="M390" s="130" t="s">
        <v>173</v>
      </c>
      <c r="N390" s="57" t="s">
        <v>124</v>
      </c>
      <c r="O390" s="54" t="s">
        <v>219</v>
      </c>
      <c r="P390" s="132" t="str">
        <f>IFERROR(VLOOKUP(C390,TD!$B$32:$F$36,2,0)," ")</f>
        <v>O230117</v>
      </c>
      <c r="Q390" s="132" t="str">
        <f>IFERROR(VLOOKUP(C390,TD!$B$32:$F$36,3,0)," ")</f>
        <v>4599</v>
      </c>
      <c r="R390" s="132">
        <f>IFERROR(VLOOKUP(C390,TD!$B$32:$F$36,4,0)," ")</f>
        <v>20240207</v>
      </c>
      <c r="S390" s="54" t="s">
        <v>186</v>
      </c>
      <c r="T390" s="132" t="str">
        <f>IFERROR(VLOOKUP(S390,TD!$J$33:$K$43,2,0)," ")</f>
        <v>Infraestructura física, mantenimiento y dotación (Sedes construidas, mantenidas reforzadas)</v>
      </c>
      <c r="U390" s="54" t="str">
        <f t="shared" si="20"/>
        <v>08-Infraestructura física, mantenimiento y dotación (Sedes construidas, mantenidas reforzadas)</v>
      </c>
      <c r="V390" s="54" t="s">
        <v>239</v>
      </c>
      <c r="W390" s="132" t="str">
        <f>IFERROR(VLOOKUP(V390,TD!$N$33:$O$45,2,0)," ")</f>
        <v>Sedes mantenidas</v>
      </c>
      <c r="X390" s="54" t="str">
        <f t="shared" si="21"/>
        <v>016_Sedes mantenidas</v>
      </c>
      <c r="Y390" s="54" t="str">
        <f t="shared" si="22"/>
        <v>08-Infraestructura física, mantenimiento y dotación (Sedes construidas, mantenidas reforzadas) 016_Sedes mantenidas</v>
      </c>
      <c r="Z390" s="132" t="str">
        <f t="shared" si="23"/>
        <v>O23011745992024020708016</v>
      </c>
      <c r="AA390" s="132" t="str">
        <f>IFERROR(VLOOKUP(Y390,TD!$K$46:$L$64,2,0)," ")</f>
        <v>PM/0131/0108/45990160207</v>
      </c>
      <c r="AB390" s="57" t="s">
        <v>144</v>
      </c>
      <c r="AC390" s="133" t="s">
        <v>206</v>
      </c>
    </row>
    <row r="391" spans="2:29" s="28" customFormat="1" ht="57">
      <c r="B391" s="85">
        <v>20241045</v>
      </c>
      <c r="C391" s="53" t="s">
        <v>210</v>
      </c>
      <c r="D391" s="130" t="s">
        <v>167</v>
      </c>
      <c r="E391" s="54" t="s">
        <v>839</v>
      </c>
      <c r="F391" s="130" t="s">
        <v>549</v>
      </c>
      <c r="G391" s="130" t="s">
        <v>138</v>
      </c>
      <c r="H391" s="118" t="s">
        <v>546</v>
      </c>
      <c r="I391" s="131">
        <v>0</v>
      </c>
      <c r="J391" s="131">
        <v>0</v>
      </c>
      <c r="K391" s="56">
        <v>0</v>
      </c>
      <c r="L391" s="57">
        <v>14385153</v>
      </c>
      <c r="M391" s="130" t="s">
        <v>174</v>
      </c>
      <c r="N391" s="57" t="s">
        <v>129</v>
      </c>
      <c r="O391" s="54" t="s">
        <v>228</v>
      </c>
      <c r="P391" s="132" t="str">
        <f>IFERROR(VLOOKUP(C391,TD!$B$32:$F$36,2,0)," ")</f>
        <v>O230117</v>
      </c>
      <c r="Q391" s="132" t="str">
        <f>IFERROR(VLOOKUP(C391,TD!$B$32:$F$36,3,0)," ")</f>
        <v>4503</v>
      </c>
      <c r="R391" s="132">
        <f>IFERROR(VLOOKUP(C391,TD!$B$32:$F$36,4,0)," ")</f>
        <v>20240255</v>
      </c>
      <c r="S391" s="54" t="s">
        <v>186</v>
      </c>
      <c r="T391" s="132" t="str">
        <f>IFERROR(VLOOKUP(S391,TD!$J$33:$K$43,2,0)," ")</f>
        <v>Infraestructura física, mantenimiento y dotación (Sedes construidas, mantenidas reforzadas)</v>
      </c>
      <c r="U391" s="54" t="str">
        <f t="shared" si="20"/>
        <v>08-Infraestructura física, mantenimiento y dotación (Sedes construidas, mantenidas reforzadas)</v>
      </c>
      <c r="V391" s="54" t="s">
        <v>237</v>
      </c>
      <c r="W391" s="132" t="str">
        <f>IFERROR(VLOOKUP(V391,TD!$N$33:$O$45,2,0)," ")</f>
        <v>Estaciones de bomberos adecuadas</v>
      </c>
      <c r="X391" s="54" t="str">
        <f t="shared" si="21"/>
        <v>014_Estaciones de bomberos adecuadas</v>
      </c>
      <c r="Y391" s="54" t="str">
        <f t="shared" si="22"/>
        <v>08-Infraestructura física, mantenimiento y dotación (Sedes construidas, mantenidas reforzadas) 014_Estaciones de bomberos adecuadas</v>
      </c>
      <c r="Z391" s="132" t="str">
        <f t="shared" si="23"/>
        <v>O23011745032024025508014</v>
      </c>
      <c r="AA391" s="132" t="str">
        <f>IFERROR(VLOOKUP(Y391,TD!$K$46:$L$64,2,0)," ")</f>
        <v>PM/0131/0108/45030140255</v>
      </c>
      <c r="AB391" s="57" t="s">
        <v>103</v>
      </c>
      <c r="AC391" s="133" t="s">
        <v>206</v>
      </c>
    </row>
    <row r="392" spans="2:29" s="28" customFormat="1" ht="57">
      <c r="B392" s="85">
        <v>20241046</v>
      </c>
      <c r="C392" s="53" t="s">
        <v>209</v>
      </c>
      <c r="D392" s="130" t="s">
        <v>167</v>
      </c>
      <c r="E392" s="54" t="s">
        <v>839</v>
      </c>
      <c r="F392" s="130" t="s">
        <v>550</v>
      </c>
      <c r="G392" s="130" t="s">
        <v>157</v>
      </c>
      <c r="H392" s="118" t="s">
        <v>587</v>
      </c>
      <c r="I392" s="131">
        <v>10</v>
      </c>
      <c r="J392" s="131">
        <v>1</v>
      </c>
      <c r="K392" s="56">
        <v>0</v>
      </c>
      <c r="L392" s="57">
        <v>2771440</v>
      </c>
      <c r="M392" s="130" t="s">
        <v>173</v>
      </c>
      <c r="N392" s="57" t="s">
        <v>114</v>
      </c>
      <c r="O392" s="54" t="s">
        <v>220</v>
      </c>
      <c r="P392" s="132" t="str">
        <f>IFERROR(VLOOKUP(C392,TD!$B$32:$F$36,2,0)," ")</f>
        <v>O230117</v>
      </c>
      <c r="Q392" s="132" t="str">
        <f>IFERROR(VLOOKUP(C392,TD!$B$32:$F$36,3,0)," ")</f>
        <v>4599</v>
      </c>
      <c r="R392" s="132">
        <f>IFERROR(VLOOKUP(C392,TD!$B$32:$F$36,4,0)," ")</f>
        <v>20240207</v>
      </c>
      <c r="S392" s="54" t="s">
        <v>186</v>
      </c>
      <c r="T392" s="132" t="str">
        <f>IFERROR(VLOOKUP(S392,TD!$J$33:$K$43,2,0)," ")</f>
        <v>Infraestructura física, mantenimiento y dotación (Sedes construidas, mantenidas reforzadas)</v>
      </c>
      <c r="U392" s="54" t="str">
        <f t="shared" si="20"/>
        <v>08-Infraestructura física, mantenimiento y dotación (Sedes construidas, mantenidas reforzadas)</v>
      </c>
      <c r="V392" s="54" t="s">
        <v>239</v>
      </c>
      <c r="W392" s="132" t="str">
        <f>IFERROR(VLOOKUP(V392,TD!$N$33:$O$45,2,0)," ")</f>
        <v>Sedes mantenidas</v>
      </c>
      <c r="X392" s="54" t="str">
        <f t="shared" si="21"/>
        <v>016_Sedes mantenidas</v>
      </c>
      <c r="Y392" s="54" t="str">
        <f t="shared" si="22"/>
        <v>08-Infraestructura física, mantenimiento y dotación (Sedes construidas, mantenidas reforzadas) 016_Sedes mantenidas</v>
      </c>
      <c r="Z392" s="132" t="str">
        <f t="shared" si="23"/>
        <v>O23011745992024020708016</v>
      </c>
      <c r="AA392" s="132" t="str">
        <f>IFERROR(VLOOKUP(Y392,TD!$K$46:$L$64,2,0)," ")</f>
        <v>PM/0131/0108/45990160207</v>
      </c>
      <c r="AB392" s="57" t="s">
        <v>139</v>
      </c>
      <c r="AC392" s="133" t="s">
        <v>206</v>
      </c>
    </row>
    <row r="393" spans="2:29" s="28" customFormat="1" ht="57">
      <c r="B393" s="85">
        <v>20241047</v>
      </c>
      <c r="C393" s="53" t="s">
        <v>209</v>
      </c>
      <c r="D393" s="130" t="s">
        <v>167</v>
      </c>
      <c r="E393" s="54" t="s">
        <v>839</v>
      </c>
      <c r="F393" s="130" t="s">
        <v>551</v>
      </c>
      <c r="G393" s="130" t="s">
        <v>156</v>
      </c>
      <c r="H393" s="118" t="s">
        <v>587</v>
      </c>
      <c r="I393" s="131">
        <v>8</v>
      </c>
      <c r="J393" s="131">
        <v>2</v>
      </c>
      <c r="K393" s="56">
        <v>15</v>
      </c>
      <c r="L393" s="57">
        <v>20644400</v>
      </c>
      <c r="M393" s="130" t="s">
        <v>173</v>
      </c>
      <c r="N393" s="57" t="s">
        <v>114</v>
      </c>
      <c r="O393" s="54" t="s">
        <v>220</v>
      </c>
      <c r="P393" s="132" t="str">
        <f>IFERROR(VLOOKUP(C393,TD!$B$32:$F$36,2,0)," ")</f>
        <v>O230117</v>
      </c>
      <c r="Q393" s="132" t="str">
        <f>IFERROR(VLOOKUP(C393,TD!$B$32:$F$36,3,0)," ")</f>
        <v>4599</v>
      </c>
      <c r="R393" s="132">
        <f>IFERROR(VLOOKUP(C393,TD!$B$32:$F$36,4,0)," ")</f>
        <v>20240207</v>
      </c>
      <c r="S393" s="54" t="s">
        <v>186</v>
      </c>
      <c r="T393" s="132" t="str">
        <f>IFERROR(VLOOKUP(S393,TD!$J$33:$K$43,2,0)," ")</f>
        <v>Infraestructura física, mantenimiento y dotación (Sedes construidas, mantenidas reforzadas)</v>
      </c>
      <c r="U393" s="54" t="str">
        <f t="shared" si="20"/>
        <v>08-Infraestructura física, mantenimiento y dotación (Sedes construidas, mantenidas reforzadas)</v>
      </c>
      <c r="V393" s="54" t="s">
        <v>239</v>
      </c>
      <c r="W393" s="132" t="str">
        <f>IFERROR(VLOOKUP(V393,TD!$N$33:$O$45,2,0)," ")</f>
        <v>Sedes mantenidas</v>
      </c>
      <c r="X393" s="54" t="str">
        <f t="shared" si="21"/>
        <v>016_Sedes mantenidas</v>
      </c>
      <c r="Y393" s="54" t="str">
        <f t="shared" si="22"/>
        <v>08-Infraestructura física, mantenimiento y dotación (Sedes construidas, mantenidas reforzadas) 016_Sedes mantenidas</v>
      </c>
      <c r="Z393" s="132" t="str">
        <f t="shared" si="23"/>
        <v>O23011745992024020708016</v>
      </c>
      <c r="AA393" s="132" t="str">
        <f>IFERROR(VLOOKUP(Y393,TD!$K$46:$L$64,2,0)," ")</f>
        <v>PM/0131/0108/45990160207</v>
      </c>
      <c r="AB393" s="57" t="s">
        <v>139</v>
      </c>
      <c r="AC393" s="133" t="s">
        <v>206</v>
      </c>
    </row>
    <row r="394" spans="2:29" s="28" customFormat="1" ht="57">
      <c r="B394" s="85">
        <v>20241048</v>
      </c>
      <c r="C394" s="53" t="s">
        <v>209</v>
      </c>
      <c r="D394" s="130" t="s">
        <v>167</v>
      </c>
      <c r="E394" s="54" t="s">
        <v>839</v>
      </c>
      <c r="F394" s="130" t="s">
        <v>552</v>
      </c>
      <c r="G394" s="130" t="s">
        <v>157</v>
      </c>
      <c r="H394" s="118" t="s">
        <v>587</v>
      </c>
      <c r="I394" s="131">
        <v>10</v>
      </c>
      <c r="J394" s="131">
        <v>1</v>
      </c>
      <c r="K394" s="56">
        <v>0</v>
      </c>
      <c r="L394" s="57">
        <v>2771440</v>
      </c>
      <c r="M394" s="130" t="s">
        <v>173</v>
      </c>
      <c r="N394" s="57" t="s">
        <v>114</v>
      </c>
      <c r="O394" s="54" t="s">
        <v>220</v>
      </c>
      <c r="P394" s="132" t="str">
        <f>IFERROR(VLOOKUP(C394,TD!$B$32:$F$36,2,0)," ")</f>
        <v>O230117</v>
      </c>
      <c r="Q394" s="132" t="str">
        <f>IFERROR(VLOOKUP(C394,TD!$B$32:$F$36,3,0)," ")</f>
        <v>4599</v>
      </c>
      <c r="R394" s="132">
        <f>IFERROR(VLOOKUP(C394,TD!$B$32:$F$36,4,0)," ")</f>
        <v>20240207</v>
      </c>
      <c r="S394" s="54" t="s">
        <v>186</v>
      </c>
      <c r="T394" s="132" t="str">
        <f>IFERROR(VLOOKUP(S394,TD!$J$33:$K$43,2,0)," ")</f>
        <v>Infraestructura física, mantenimiento y dotación (Sedes construidas, mantenidas reforzadas)</v>
      </c>
      <c r="U394" s="54" t="str">
        <f t="shared" si="20"/>
        <v>08-Infraestructura física, mantenimiento y dotación (Sedes construidas, mantenidas reforzadas)</v>
      </c>
      <c r="V394" s="54" t="s">
        <v>239</v>
      </c>
      <c r="W394" s="132" t="str">
        <f>IFERROR(VLOOKUP(V394,TD!$N$33:$O$45,2,0)," ")</f>
        <v>Sedes mantenidas</v>
      </c>
      <c r="X394" s="54" t="str">
        <f t="shared" si="21"/>
        <v>016_Sedes mantenidas</v>
      </c>
      <c r="Y394" s="54" t="str">
        <f t="shared" si="22"/>
        <v>08-Infraestructura física, mantenimiento y dotación (Sedes construidas, mantenidas reforzadas) 016_Sedes mantenidas</v>
      </c>
      <c r="Z394" s="132" t="str">
        <f t="shared" si="23"/>
        <v>O23011745992024020708016</v>
      </c>
      <c r="AA394" s="132" t="str">
        <f>IFERROR(VLOOKUP(Y394,TD!$K$46:$L$64,2,0)," ")</f>
        <v>PM/0131/0108/45990160207</v>
      </c>
      <c r="AB394" s="57" t="s">
        <v>139</v>
      </c>
      <c r="AC394" s="133" t="s">
        <v>206</v>
      </c>
    </row>
    <row r="395" spans="2:29" s="28" customFormat="1" ht="57">
      <c r="B395" s="85">
        <v>20241049</v>
      </c>
      <c r="C395" s="53" t="s">
        <v>209</v>
      </c>
      <c r="D395" s="130" t="s">
        <v>167</v>
      </c>
      <c r="E395" s="54" t="s">
        <v>839</v>
      </c>
      <c r="F395" s="130" t="s">
        <v>553</v>
      </c>
      <c r="G395" s="130" t="s">
        <v>157</v>
      </c>
      <c r="H395" s="118" t="s">
        <v>587</v>
      </c>
      <c r="I395" s="131">
        <v>10</v>
      </c>
      <c r="J395" s="131">
        <v>1</v>
      </c>
      <c r="K395" s="56">
        <v>0</v>
      </c>
      <c r="L395" s="57">
        <v>2771440</v>
      </c>
      <c r="M395" s="130" t="s">
        <v>173</v>
      </c>
      <c r="N395" s="57" t="s">
        <v>114</v>
      </c>
      <c r="O395" s="54" t="s">
        <v>220</v>
      </c>
      <c r="P395" s="132" t="str">
        <f>IFERROR(VLOOKUP(C395,TD!$B$32:$F$36,2,0)," ")</f>
        <v>O230117</v>
      </c>
      <c r="Q395" s="132" t="str">
        <f>IFERROR(VLOOKUP(C395,TD!$B$32:$F$36,3,0)," ")</f>
        <v>4599</v>
      </c>
      <c r="R395" s="132">
        <f>IFERROR(VLOOKUP(C395,TD!$B$32:$F$36,4,0)," ")</f>
        <v>20240207</v>
      </c>
      <c r="S395" s="54" t="s">
        <v>186</v>
      </c>
      <c r="T395" s="132" t="str">
        <f>IFERROR(VLOOKUP(S395,TD!$J$33:$K$43,2,0)," ")</f>
        <v>Infraestructura física, mantenimiento y dotación (Sedes construidas, mantenidas reforzadas)</v>
      </c>
      <c r="U395" s="54" t="str">
        <f t="shared" ref="U395:U458" si="24">CONCATENATE(S395,"-",T395)</f>
        <v>08-Infraestructura física, mantenimiento y dotación (Sedes construidas, mantenidas reforzadas)</v>
      </c>
      <c r="V395" s="54" t="s">
        <v>239</v>
      </c>
      <c r="W395" s="132" t="str">
        <f>IFERROR(VLOOKUP(V395,TD!$N$33:$O$45,2,0)," ")</f>
        <v>Sedes mantenidas</v>
      </c>
      <c r="X395" s="54" t="str">
        <f t="shared" ref="X395:X458" si="25">CONCATENATE(V395,"_",W395)</f>
        <v>016_Sedes mantenidas</v>
      </c>
      <c r="Y395" s="54" t="str">
        <f t="shared" ref="Y395:Y458" si="26">CONCATENATE(U395," ",X395)</f>
        <v>08-Infraestructura física, mantenimiento y dotación (Sedes construidas, mantenidas reforzadas) 016_Sedes mantenidas</v>
      </c>
      <c r="Z395" s="132" t="str">
        <f t="shared" ref="Z395:Z458" si="27">CONCATENATE(P395,Q395,R395,S395,V395)</f>
        <v>O23011745992024020708016</v>
      </c>
      <c r="AA395" s="132" t="str">
        <f>IFERROR(VLOOKUP(Y395,TD!$K$46:$L$64,2,0)," ")</f>
        <v>PM/0131/0108/45990160207</v>
      </c>
      <c r="AB395" s="57" t="s">
        <v>139</v>
      </c>
      <c r="AC395" s="133" t="s">
        <v>206</v>
      </c>
    </row>
    <row r="396" spans="2:29" s="28" customFormat="1" ht="57">
      <c r="B396" s="85">
        <v>20241050</v>
      </c>
      <c r="C396" s="53" t="s">
        <v>209</v>
      </c>
      <c r="D396" s="130" t="s">
        <v>167</v>
      </c>
      <c r="E396" s="54" t="s">
        <v>839</v>
      </c>
      <c r="F396" s="130" t="s">
        <v>554</v>
      </c>
      <c r="G396" s="130" t="s">
        <v>157</v>
      </c>
      <c r="H396" s="118" t="s">
        <v>587</v>
      </c>
      <c r="I396" s="131">
        <v>10</v>
      </c>
      <c r="J396" s="131">
        <v>1</v>
      </c>
      <c r="K396" s="56">
        <v>0</v>
      </c>
      <c r="L396" s="57">
        <v>2771440</v>
      </c>
      <c r="M396" s="130" t="s">
        <v>173</v>
      </c>
      <c r="N396" s="57" t="s">
        <v>114</v>
      </c>
      <c r="O396" s="54" t="s">
        <v>220</v>
      </c>
      <c r="P396" s="132" t="str">
        <f>IFERROR(VLOOKUP(C396,TD!$B$32:$F$36,2,0)," ")</f>
        <v>O230117</v>
      </c>
      <c r="Q396" s="132" t="str">
        <f>IFERROR(VLOOKUP(C396,TD!$B$32:$F$36,3,0)," ")</f>
        <v>4599</v>
      </c>
      <c r="R396" s="132">
        <f>IFERROR(VLOOKUP(C396,TD!$B$32:$F$36,4,0)," ")</f>
        <v>20240207</v>
      </c>
      <c r="S396" s="54" t="s">
        <v>186</v>
      </c>
      <c r="T396" s="132" t="str">
        <f>IFERROR(VLOOKUP(S396,TD!$J$33:$K$43,2,0)," ")</f>
        <v>Infraestructura física, mantenimiento y dotación (Sedes construidas, mantenidas reforzadas)</v>
      </c>
      <c r="U396" s="54" t="str">
        <f t="shared" si="24"/>
        <v>08-Infraestructura física, mantenimiento y dotación (Sedes construidas, mantenidas reforzadas)</v>
      </c>
      <c r="V396" s="54" t="s">
        <v>239</v>
      </c>
      <c r="W396" s="132" t="str">
        <f>IFERROR(VLOOKUP(V396,TD!$N$33:$O$45,2,0)," ")</f>
        <v>Sedes mantenidas</v>
      </c>
      <c r="X396" s="54" t="str">
        <f t="shared" si="25"/>
        <v>016_Sedes mantenidas</v>
      </c>
      <c r="Y396" s="54" t="str">
        <f t="shared" si="26"/>
        <v>08-Infraestructura física, mantenimiento y dotación (Sedes construidas, mantenidas reforzadas) 016_Sedes mantenidas</v>
      </c>
      <c r="Z396" s="132" t="str">
        <f t="shared" si="27"/>
        <v>O23011745992024020708016</v>
      </c>
      <c r="AA396" s="132" t="str">
        <f>IFERROR(VLOOKUP(Y396,TD!$K$46:$L$64,2,0)," ")</f>
        <v>PM/0131/0108/45990160207</v>
      </c>
      <c r="AB396" s="57" t="s">
        <v>139</v>
      </c>
      <c r="AC396" s="133" t="s">
        <v>206</v>
      </c>
    </row>
    <row r="397" spans="2:29" s="28" customFormat="1" ht="57">
      <c r="B397" s="85">
        <v>20241051</v>
      </c>
      <c r="C397" s="53" t="s">
        <v>209</v>
      </c>
      <c r="D397" s="130" t="s">
        <v>167</v>
      </c>
      <c r="E397" s="54" t="s">
        <v>839</v>
      </c>
      <c r="F397" s="130" t="s">
        <v>555</v>
      </c>
      <c r="G397" s="130" t="s">
        <v>157</v>
      </c>
      <c r="H397" s="118" t="s">
        <v>587</v>
      </c>
      <c r="I397" s="131">
        <v>10</v>
      </c>
      <c r="J397" s="131">
        <v>1</v>
      </c>
      <c r="K397" s="56">
        <v>0</v>
      </c>
      <c r="L397" s="57">
        <v>2771440</v>
      </c>
      <c r="M397" s="130" t="s">
        <v>173</v>
      </c>
      <c r="N397" s="57" t="s">
        <v>114</v>
      </c>
      <c r="O397" s="54" t="s">
        <v>220</v>
      </c>
      <c r="P397" s="132" t="str">
        <f>IFERROR(VLOOKUP(C397,TD!$B$32:$F$36,2,0)," ")</f>
        <v>O230117</v>
      </c>
      <c r="Q397" s="132" t="str">
        <f>IFERROR(VLOOKUP(C397,TD!$B$32:$F$36,3,0)," ")</f>
        <v>4599</v>
      </c>
      <c r="R397" s="132">
        <f>IFERROR(VLOOKUP(C397,TD!$B$32:$F$36,4,0)," ")</f>
        <v>20240207</v>
      </c>
      <c r="S397" s="54" t="s">
        <v>186</v>
      </c>
      <c r="T397" s="132" t="str">
        <f>IFERROR(VLOOKUP(S397,TD!$J$33:$K$43,2,0)," ")</f>
        <v>Infraestructura física, mantenimiento y dotación (Sedes construidas, mantenidas reforzadas)</v>
      </c>
      <c r="U397" s="54" t="str">
        <f t="shared" si="24"/>
        <v>08-Infraestructura física, mantenimiento y dotación (Sedes construidas, mantenidas reforzadas)</v>
      </c>
      <c r="V397" s="54" t="s">
        <v>239</v>
      </c>
      <c r="W397" s="132" t="str">
        <f>IFERROR(VLOOKUP(V397,TD!$N$33:$O$45,2,0)," ")</f>
        <v>Sedes mantenidas</v>
      </c>
      <c r="X397" s="54" t="str">
        <f t="shared" si="25"/>
        <v>016_Sedes mantenidas</v>
      </c>
      <c r="Y397" s="54" t="str">
        <f t="shared" si="26"/>
        <v>08-Infraestructura física, mantenimiento y dotación (Sedes construidas, mantenidas reforzadas) 016_Sedes mantenidas</v>
      </c>
      <c r="Z397" s="132" t="str">
        <f t="shared" si="27"/>
        <v>O23011745992024020708016</v>
      </c>
      <c r="AA397" s="132" t="str">
        <f>IFERROR(VLOOKUP(Y397,TD!$K$46:$L$64,2,0)," ")</f>
        <v>PM/0131/0108/45990160207</v>
      </c>
      <c r="AB397" s="57" t="s">
        <v>139</v>
      </c>
      <c r="AC397" s="133" t="s">
        <v>206</v>
      </c>
    </row>
    <row r="398" spans="2:29" s="28" customFormat="1" ht="57">
      <c r="B398" s="85">
        <v>20241052</v>
      </c>
      <c r="C398" s="53" t="s">
        <v>209</v>
      </c>
      <c r="D398" s="130" t="s">
        <v>167</v>
      </c>
      <c r="E398" s="54" t="s">
        <v>839</v>
      </c>
      <c r="F398" s="130" t="s">
        <v>556</v>
      </c>
      <c r="G398" s="130" t="s">
        <v>157</v>
      </c>
      <c r="H398" s="118" t="s">
        <v>587</v>
      </c>
      <c r="I398" s="131">
        <v>10</v>
      </c>
      <c r="J398" s="131">
        <v>1</v>
      </c>
      <c r="K398" s="56">
        <v>0</v>
      </c>
      <c r="L398" s="57">
        <v>2771440</v>
      </c>
      <c r="M398" s="130" t="s">
        <v>173</v>
      </c>
      <c r="N398" s="57" t="s">
        <v>114</v>
      </c>
      <c r="O398" s="54" t="s">
        <v>220</v>
      </c>
      <c r="P398" s="132" t="str">
        <f>IFERROR(VLOOKUP(C398,TD!$B$32:$F$36,2,0)," ")</f>
        <v>O230117</v>
      </c>
      <c r="Q398" s="132" t="str">
        <f>IFERROR(VLOOKUP(C398,TD!$B$32:$F$36,3,0)," ")</f>
        <v>4599</v>
      </c>
      <c r="R398" s="132">
        <f>IFERROR(VLOOKUP(C398,TD!$B$32:$F$36,4,0)," ")</f>
        <v>20240207</v>
      </c>
      <c r="S398" s="54" t="s">
        <v>186</v>
      </c>
      <c r="T398" s="132" t="str">
        <f>IFERROR(VLOOKUP(S398,TD!$J$33:$K$43,2,0)," ")</f>
        <v>Infraestructura física, mantenimiento y dotación (Sedes construidas, mantenidas reforzadas)</v>
      </c>
      <c r="U398" s="54" t="str">
        <f t="shared" si="24"/>
        <v>08-Infraestructura física, mantenimiento y dotación (Sedes construidas, mantenidas reforzadas)</v>
      </c>
      <c r="V398" s="54" t="s">
        <v>239</v>
      </c>
      <c r="W398" s="132" t="str">
        <f>IFERROR(VLOOKUP(V398,TD!$N$33:$O$45,2,0)," ")</f>
        <v>Sedes mantenidas</v>
      </c>
      <c r="X398" s="54" t="str">
        <f t="shared" si="25"/>
        <v>016_Sedes mantenidas</v>
      </c>
      <c r="Y398" s="54" t="str">
        <f t="shared" si="26"/>
        <v>08-Infraestructura física, mantenimiento y dotación (Sedes construidas, mantenidas reforzadas) 016_Sedes mantenidas</v>
      </c>
      <c r="Z398" s="132" t="str">
        <f t="shared" si="27"/>
        <v>O23011745992024020708016</v>
      </c>
      <c r="AA398" s="132" t="str">
        <f>IFERROR(VLOOKUP(Y398,TD!$K$46:$L$64,2,0)," ")</f>
        <v>PM/0131/0108/45990160207</v>
      </c>
      <c r="AB398" s="57" t="s">
        <v>139</v>
      </c>
      <c r="AC398" s="133" t="s">
        <v>206</v>
      </c>
    </row>
    <row r="399" spans="2:29" s="28" customFormat="1" ht="57">
      <c r="B399" s="85">
        <v>20241053</v>
      </c>
      <c r="C399" s="53" t="s">
        <v>209</v>
      </c>
      <c r="D399" s="130" t="s">
        <v>167</v>
      </c>
      <c r="E399" s="54" t="s">
        <v>839</v>
      </c>
      <c r="F399" s="130" t="s">
        <v>557</v>
      </c>
      <c r="G399" s="130" t="s">
        <v>157</v>
      </c>
      <c r="H399" s="118" t="s">
        <v>587</v>
      </c>
      <c r="I399" s="131">
        <v>10</v>
      </c>
      <c r="J399" s="131">
        <v>1</v>
      </c>
      <c r="K399" s="56">
        <v>0</v>
      </c>
      <c r="L399" s="57">
        <v>2771440</v>
      </c>
      <c r="M399" s="130" t="s">
        <v>173</v>
      </c>
      <c r="N399" s="57" t="s">
        <v>114</v>
      </c>
      <c r="O399" s="54" t="s">
        <v>220</v>
      </c>
      <c r="P399" s="132" t="str">
        <f>IFERROR(VLOOKUP(C399,TD!$B$32:$F$36,2,0)," ")</f>
        <v>O230117</v>
      </c>
      <c r="Q399" s="132" t="str">
        <f>IFERROR(VLOOKUP(C399,TD!$B$32:$F$36,3,0)," ")</f>
        <v>4599</v>
      </c>
      <c r="R399" s="132">
        <f>IFERROR(VLOOKUP(C399,TD!$B$32:$F$36,4,0)," ")</f>
        <v>20240207</v>
      </c>
      <c r="S399" s="54" t="s">
        <v>186</v>
      </c>
      <c r="T399" s="132" t="str">
        <f>IFERROR(VLOOKUP(S399,TD!$J$33:$K$43,2,0)," ")</f>
        <v>Infraestructura física, mantenimiento y dotación (Sedes construidas, mantenidas reforzadas)</v>
      </c>
      <c r="U399" s="54" t="str">
        <f t="shared" si="24"/>
        <v>08-Infraestructura física, mantenimiento y dotación (Sedes construidas, mantenidas reforzadas)</v>
      </c>
      <c r="V399" s="54" t="s">
        <v>239</v>
      </c>
      <c r="W399" s="132" t="str">
        <f>IFERROR(VLOOKUP(V399,TD!$N$33:$O$45,2,0)," ")</f>
        <v>Sedes mantenidas</v>
      </c>
      <c r="X399" s="54" t="str">
        <f t="shared" si="25"/>
        <v>016_Sedes mantenidas</v>
      </c>
      <c r="Y399" s="54" t="str">
        <f t="shared" si="26"/>
        <v>08-Infraestructura física, mantenimiento y dotación (Sedes construidas, mantenidas reforzadas) 016_Sedes mantenidas</v>
      </c>
      <c r="Z399" s="132" t="str">
        <f t="shared" si="27"/>
        <v>O23011745992024020708016</v>
      </c>
      <c r="AA399" s="132" t="str">
        <f>IFERROR(VLOOKUP(Y399,TD!$K$46:$L$64,2,0)," ")</f>
        <v>PM/0131/0108/45990160207</v>
      </c>
      <c r="AB399" s="57" t="s">
        <v>139</v>
      </c>
      <c r="AC399" s="133" t="s">
        <v>206</v>
      </c>
    </row>
    <row r="400" spans="2:29" s="28" customFormat="1" ht="57">
      <c r="B400" s="85">
        <v>20241054</v>
      </c>
      <c r="C400" s="53" t="s">
        <v>209</v>
      </c>
      <c r="D400" s="130" t="s">
        <v>167</v>
      </c>
      <c r="E400" s="54" t="s">
        <v>839</v>
      </c>
      <c r="F400" s="130" t="s">
        <v>558</v>
      </c>
      <c r="G400" s="130" t="s">
        <v>157</v>
      </c>
      <c r="H400" s="118" t="s">
        <v>587</v>
      </c>
      <c r="I400" s="131">
        <v>10</v>
      </c>
      <c r="J400" s="131">
        <v>1</v>
      </c>
      <c r="K400" s="56">
        <v>0</v>
      </c>
      <c r="L400" s="57">
        <v>2771440</v>
      </c>
      <c r="M400" s="130" t="s">
        <v>173</v>
      </c>
      <c r="N400" s="57" t="s">
        <v>114</v>
      </c>
      <c r="O400" s="54" t="s">
        <v>220</v>
      </c>
      <c r="P400" s="132" t="str">
        <f>IFERROR(VLOOKUP(C400,TD!$B$32:$F$36,2,0)," ")</f>
        <v>O230117</v>
      </c>
      <c r="Q400" s="132" t="str">
        <f>IFERROR(VLOOKUP(C400,TD!$B$32:$F$36,3,0)," ")</f>
        <v>4599</v>
      </c>
      <c r="R400" s="132">
        <f>IFERROR(VLOOKUP(C400,TD!$B$32:$F$36,4,0)," ")</f>
        <v>20240207</v>
      </c>
      <c r="S400" s="54" t="s">
        <v>186</v>
      </c>
      <c r="T400" s="132" t="str">
        <f>IFERROR(VLOOKUP(S400,TD!$J$33:$K$43,2,0)," ")</f>
        <v>Infraestructura física, mantenimiento y dotación (Sedes construidas, mantenidas reforzadas)</v>
      </c>
      <c r="U400" s="54" t="str">
        <f t="shared" si="24"/>
        <v>08-Infraestructura física, mantenimiento y dotación (Sedes construidas, mantenidas reforzadas)</v>
      </c>
      <c r="V400" s="54" t="s">
        <v>239</v>
      </c>
      <c r="W400" s="132" t="str">
        <f>IFERROR(VLOOKUP(V400,TD!$N$33:$O$45,2,0)," ")</f>
        <v>Sedes mantenidas</v>
      </c>
      <c r="X400" s="54" t="str">
        <f t="shared" si="25"/>
        <v>016_Sedes mantenidas</v>
      </c>
      <c r="Y400" s="54" t="str">
        <f t="shared" si="26"/>
        <v>08-Infraestructura física, mantenimiento y dotación (Sedes construidas, mantenidas reforzadas) 016_Sedes mantenidas</v>
      </c>
      <c r="Z400" s="132" t="str">
        <f t="shared" si="27"/>
        <v>O23011745992024020708016</v>
      </c>
      <c r="AA400" s="132" t="str">
        <f>IFERROR(VLOOKUP(Y400,TD!$K$46:$L$64,2,0)," ")</f>
        <v>PM/0131/0108/45990160207</v>
      </c>
      <c r="AB400" s="57" t="s">
        <v>139</v>
      </c>
      <c r="AC400" s="133" t="s">
        <v>206</v>
      </c>
    </row>
    <row r="401" spans="2:29" s="28" customFormat="1" ht="57">
      <c r="B401" s="85">
        <v>20241055</v>
      </c>
      <c r="C401" s="53" t="s">
        <v>209</v>
      </c>
      <c r="D401" s="130" t="s">
        <v>167</v>
      </c>
      <c r="E401" s="54" t="s">
        <v>839</v>
      </c>
      <c r="F401" s="130" t="s">
        <v>559</v>
      </c>
      <c r="G401" s="130" t="s">
        <v>157</v>
      </c>
      <c r="H401" s="118" t="s">
        <v>587</v>
      </c>
      <c r="I401" s="131">
        <v>10</v>
      </c>
      <c r="J401" s="131">
        <v>1</v>
      </c>
      <c r="K401" s="56">
        <v>0</v>
      </c>
      <c r="L401" s="57">
        <v>2771440</v>
      </c>
      <c r="M401" s="130" t="s">
        <v>173</v>
      </c>
      <c r="N401" s="57" t="s">
        <v>114</v>
      </c>
      <c r="O401" s="54" t="s">
        <v>220</v>
      </c>
      <c r="P401" s="132" t="str">
        <f>IFERROR(VLOOKUP(C401,TD!$B$32:$F$36,2,0)," ")</f>
        <v>O230117</v>
      </c>
      <c r="Q401" s="132" t="str">
        <f>IFERROR(VLOOKUP(C401,TD!$B$32:$F$36,3,0)," ")</f>
        <v>4599</v>
      </c>
      <c r="R401" s="132">
        <f>IFERROR(VLOOKUP(C401,TD!$B$32:$F$36,4,0)," ")</f>
        <v>20240207</v>
      </c>
      <c r="S401" s="54" t="s">
        <v>186</v>
      </c>
      <c r="T401" s="132" t="str">
        <f>IFERROR(VLOOKUP(S401,TD!$J$33:$K$43,2,0)," ")</f>
        <v>Infraestructura física, mantenimiento y dotación (Sedes construidas, mantenidas reforzadas)</v>
      </c>
      <c r="U401" s="54" t="str">
        <f t="shared" si="24"/>
        <v>08-Infraestructura física, mantenimiento y dotación (Sedes construidas, mantenidas reforzadas)</v>
      </c>
      <c r="V401" s="54" t="s">
        <v>239</v>
      </c>
      <c r="W401" s="132" t="str">
        <f>IFERROR(VLOOKUP(V401,TD!$N$33:$O$45,2,0)," ")</f>
        <v>Sedes mantenidas</v>
      </c>
      <c r="X401" s="54" t="str">
        <f t="shared" si="25"/>
        <v>016_Sedes mantenidas</v>
      </c>
      <c r="Y401" s="54" t="str">
        <f t="shared" si="26"/>
        <v>08-Infraestructura física, mantenimiento y dotación (Sedes construidas, mantenidas reforzadas) 016_Sedes mantenidas</v>
      </c>
      <c r="Z401" s="132" t="str">
        <f t="shared" si="27"/>
        <v>O23011745992024020708016</v>
      </c>
      <c r="AA401" s="132" t="str">
        <f>IFERROR(VLOOKUP(Y401,TD!$K$46:$L$64,2,0)," ")</f>
        <v>PM/0131/0108/45990160207</v>
      </c>
      <c r="AB401" s="57" t="s">
        <v>139</v>
      </c>
      <c r="AC401" s="133" t="s">
        <v>206</v>
      </c>
    </row>
    <row r="402" spans="2:29" s="28" customFormat="1" ht="57">
      <c r="B402" s="85">
        <v>20241056</v>
      </c>
      <c r="C402" s="53" t="s">
        <v>209</v>
      </c>
      <c r="D402" s="130" t="s">
        <v>167</v>
      </c>
      <c r="E402" s="54" t="s">
        <v>839</v>
      </c>
      <c r="F402" s="130" t="s">
        <v>560</v>
      </c>
      <c r="G402" s="130" t="s">
        <v>157</v>
      </c>
      <c r="H402" s="118" t="s">
        <v>587</v>
      </c>
      <c r="I402" s="131">
        <v>10</v>
      </c>
      <c r="J402" s="131">
        <v>1</v>
      </c>
      <c r="K402" s="56">
        <v>0</v>
      </c>
      <c r="L402" s="57">
        <v>2771440</v>
      </c>
      <c r="M402" s="130" t="s">
        <v>173</v>
      </c>
      <c r="N402" s="57" t="s">
        <v>114</v>
      </c>
      <c r="O402" s="54" t="s">
        <v>220</v>
      </c>
      <c r="P402" s="132" t="str">
        <f>IFERROR(VLOOKUP(C402,TD!$B$32:$F$36,2,0)," ")</f>
        <v>O230117</v>
      </c>
      <c r="Q402" s="132" t="str">
        <f>IFERROR(VLOOKUP(C402,TD!$B$32:$F$36,3,0)," ")</f>
        <v>4599</v>
      </c>
      <c r="R402" s="132">
        <f>IFERROR(VLOOKUP(C402,TD!$B$32:$F$36,4,0)," ")</f>
        <v>20240207</v>
      </c>
      <c r="S402" s="54" t="s">
        <v>186</v>
      </c>
      <c r="T402" s="132" t="str">
        <f>IFERROR(VLOOKUP(S402,TD!$J$33:$K$43,2,0)," ")</f>
        <v>Infraestructura física, mantenimiento y dotación (Sedes construidas, mantenidas reforzadas)</v>
      </c>
      <c r="U402" s="54" t="str">
        <f t="shared" si="24"/>
        <v>08-Infraestructura física, mantenimiento y dotación (Sedes construidas, mantenidas reforzadas)</v>
      </c>
      <c r="V402" s="54" t="s">
        <v>239</v>
      </c>
      <c r="W402" s="132" t="str">
        <f>IFERROR(VLOOKUP(V402,TD!$N$33:$O$45,2,0)," ")</f>
        <v>Sedes mantenidas</v>
      </c>
      <c r="X402" s="54" t="str">
        <f t="shared" si="25"/>
        <v>016_Sedes mantenidas</v>
      </c>
      <c r="Y402" s="54" t="str">
        <f t="shared" si="26"/>
        <v>08-Infraestructura física, mantenimiento y dotación (Sedes construidas, mantenidas reforzadas) 016_Sedes mantenidas</v>
      </c>
      <c r="Z402" s="132" t="str">
        <f t="shared" si="27"/>
        <v>O23011745992024020708016</v>
      </c>
      <c r="AA402" s="132" t="str">
        <f>IFERROR(VLOOKUP(Y402,TD!$K$46:$L$64,2,0)," ")</f>
        <v>PM/0131/0108/45990160207</v>
      </c>
      <c r="AB402" s="57" t="s">
        <v>139</v>
      </c>
      <c r="AC402" s="133" t="s">
        <v>206</v>
      </c>
    </row>
    <row r="403" spans="2:29" s="28" customFormat="1" ht="57">
      <c r="B403" s="85">
        <v>20241057</v>
      </c>
      <c r="C403" s="53" t="s">
        <v>209</v>
      </c>
      <c r="D403" s="130" t="s">
        <v>167</v>
      </c>
      <c r="E403" s="54" t="s">
        <v>839</v>
      </c>
      <c r="F403" s="130" t="s">
        <v>561</v>
      </c>
      <c r="G403" s="130" t="s">
        <v>157</v>
      </c>
      <c r="H403" s="118" t="s">
        <v>587</v>
      </c>
      <c r="I403" s="131">
        <v>10</v>
      </c>
      <c r="J403" s="131">
        <v>1</v>
      </c>
      <c r="K403" s="56">
        <v>0</v>
      </c>
      <c r="L403" s="57">
        <v>2771440</v>
      </c>
      <c r="M403" s="130" t="s">
        <v>173</v>
      </c>
      <c r="N403" s="57" t="s">
        <v>114</v>
      </c>
      <c r="O403" s="54" t="s">
        <v>220</v>
      </c>
      <c r="P403" s="132" t="str">
        <f>IFERROR(VLOOKUP(C403,TD!$B$32:$F$36,2,0)," ")</f>
        <v>O230117</v>
      </c>
      <c r="Q403" s="132" t="str">
        <f>IFERROR(VLOOKUP(C403,TD!$B$32:$F$36,3,0)," ")</f>
        <v>4599</v>
      </c>
      <c r="R403" s="132">
        <f>IFERROR(VLOOKUP(C403,TD!$B$32:$F$36,4,0)," ")</f>
        <v>20240207</v>
      </c>
      <c r="S403" s="54" t="s">
        <v>186</v>
      </c>
      <c r="T403" s="132" t="str">
        <f>IFERROR(VLOOKUP(S403,TD!$J$33:$K$43,2,0)," ")</f>
        <v>Infraestructura física, mantenimiento y dotación (Sedes construidas, mantenidas reforzadas)</v>
      </c>
      <c r="U403" s="54" t="str">
        <f t="shared" si="24"/>
        <v>08-Infraestructura física, mantenimiento y dotación (Sedes construidas, mantenidas reforzadas)</v>
      </c>
      <c r="V403" s="54" t="s">
        <v>239</v>
      </c>
      <c r="W403" s="132" t="str">
        <f>IFERROR(VLOOKUP(V403,TD!$N$33:$O$45,2,0)," ")</f>
        <v>Sedes mantenidas</v>
      </c>
      <c r="X403" s="54" t="str">
        <f t="shared" si="25"/>
        <v>016_Sedes mantenidas</v>
      </c>
      <c r="Y403" s="54" t="str">
        <f t="shared" si="26"/>
        <v>08-Infraestructura física, mantenimiento y dotación (Sedes construidas, mantenidas reforzadas) 016_Sedes mantenidas</v>
      </c>
      <c r="Z403" s="132" t="str">
        <f t="shared" si="27"/>
        <v>O23011745992024020708016</v>
      </c>
      <c r="AA403" s="132" t="str">
        <f>IFERROR(VLOOKUP(Y403,TD!$K$46:$L$64,2,0)," ")</f>
        <v>PM/0131/0108/45990160207</v>
      </c>
      <c r="AB403" s="57" t="s">
        <v>139</v>
      </c>
      <c r="AC403" s="133" t="s">
        <v>206</v>
      </c>
    </row>
    <row r="404" spans="2:29" s="28" customFormat="1" ht="57">
      <c r="B404" s="85">
        <v>20241058</v>
      </c>
      <c r="C404" s="53" t="s">
        <v>209</v>
      </c>
      <c r="D404" s="130" t="s">
        <v>167</v>
      </c>
      <c r="E404" s="54" t="s">
        <v>839</v>
      </c>
      <c r="F404" s="130" t="s">
        <v>666</v>
      </c>
      <c r="G404" s="130" t="s">
        <v>156</v>
      </c>
      <c r="H404" s="118" t="s">
        <v>587</v>
      </c>
      <c r="I404" s="131">
        <v>8</v>
      </c>
      <c r="J404" s="131">
        <v>4</v>
      </c>
      <c r="K404" s="56">
        <v>15</v>
      </c>
      <c r="L404" s="57">
        <v>31297500</v>
      </c>
      <c r="M404" s="130" t="s">
        <v>173</v>
      </c>
      <c r="N404" s="57" t="s">
        <v>114</v>
      </c>
      <c r="O404" s="54" t="s">
        <v>220</v>
      </c>
      <c r="P404" s="132" t="str">
        <f>IFERROR(VLOOKUP(C404,TD!$B$32:$F$36,2,0)," ")</f>
        <v>O230117</v>
      </c>
      <c r="Q404" s="132" t="str">
        <f>IFERROR(VLOOKUP(C404,TD!$B$32:$F$36,3,0)," ")</f>
        <v>4599</v>
      </c>
      <c r="R404" s="132">
        <f>IFERROR(VLOOKUP(C404,TD!$B$32:$F$36,4,0)," ")</f>
        <v>20240207</v>
      </c>
      <c r="S404" s="54" t="s">
        <v>186</v>
      </c>
      <c r="T404" s="132" t="str">
        <f>IFERROR(VLOOKUP(S404,TD!$J$33:$K$43,2,0)," ")</f>
        <v>Infraestructura física, mantenimiento y dotación (Sedes construidas, mantenidas reforzadas)</v>
      </c>
      <c r="U404" s="54" t="str">
        <f t="shared" si="24"/>
        <v>08-Infraestructura física, mantenimiento y dotación (Sedes construidas, mantenidas reforzadas)</v>
      </c>
      <c r="V404" s="54" t="s">
        <v>239</v>
      </c>
      <c r="W404" s="132" t="str">
        <f>IFERROR(VLOOKUP(V404,TD!$N$33:$O$45,2,0)," ")</f>
        <v>Sedes mantenidas</v>
      </c>
      <c r="X404" s="54" t="str">
        <f t="shared" si="25"/>
        <v>016_Sedes mantenidas</v>
      </c>
      <c r="Y404" s="54" t="str">
        <f t="shared" si="26"/>
        <v>08-Infraestructura física, mantenimiento y dotación (Sedes construidas, mantenidas reforzadas) 016_Sedes mantenidas</v>
      </c>
      <c r="Z404" s="132" t="str">
        <f t="shared" si="27"/>
        <v>O23011745992024020708016</v>
      </c>
      <c r="AA404" s="132" t="str">
        <f>IFERROR(VLOOKUP(Y404,TD!$K$46:$L$64,2,0)," ")</f>
        <v>PM/0131/0108/45990160207</v>
      </c>
      <c r="AB404" s="57" t="s">
        <v>139</v>
      </c>
      <c r="AC404" s="133" t="s">
        <v>205</v>
      </c>
    </row>
    <row r="405" spans="2:29" s="28" customFormat="1" ht="57">
      <c r="B405" s="85">
        <v>20241059</v>
      </c>
      <c r="C405" s="53" t="s">
        <v>209</v>
      </c>
      <c r="D405" s="130" t="s">
        <v>167</v>
      </c>
      <c r="E405" s="54" t="s">
        <v>839</v>
      </c>
      <c r="F405" s="130" t="s">
        <v>667</v>
      </c>
      <c r="G405" s="130" t="s">
        <v>157</v>
      </c>
      <c r="H405" s="118" t="s">
        <v>587</v>
      </c>
      <c r="I405" s="131">
        <v>8</v>
      </c>
      <c r="J405" s="131">
        <v>4</v>
      </c>
      <c r="K405" s="56">
        <v>0</v>
      </c>
      <c r="L405" s="57">
        <v>11085760</v>
      </c>
      <c r="M405" s="130" t="s">
        <v>173</v>
      </c>
      <c r="N405" s="57" t="s">
        <v>114</v>
      </c>
      <c r="O405" s="54" t="s">
        <v>220</v>
      </c>
      <c r="P405" s="132" t="str">
        <f>IFERROR(VLOOKUP(C405,TD!$B$32:$F$36,2,0)," ")</f>
        <v>O230117</v>
      </c>
      <c r="Q405" s="132" t="str">
        <f>IFERROR(VLOOKUP(C405,TD!$B$32:$F$36,3,0)," ")</f>
        <v>4599</v>
      </c>
      <c r="R405" s="132">
        <f>IFERROR(VLOOKUP(C405,TD!$B$32:$F$36,4,0)," ")</f>
        <v>20240207</v>
      </c>
      <c r="S405" s="54" t="s">
        <v>186</v>
      </c>
      <c r="T405" s="132" t="str">
        <f>IFERROR(VLOOKUP(S405,TD!$J$33:$K$43,2,0)," ")</f>
        <v>Infraestructura física, mantenimiento y dotación (Sedes construidas, mantenidas reforzadas)</v>
      </c>
      <c r="U405" s="54" t="str">
        <f t="shared" si="24"/>
        <v>08-Infraestructura física, mantenimiento y dotación (Sedes construidas, mantenidas reforzadas)</v>
      </c>
      <c r="V405" s="54" t="s">
        <v>239</v>
      </c>
      <c r="W405" s="132" t="str">
        <f>IFERROR(VLOOKUP(V405,TD!$N$33:$O$45,2,0)," ")</f>
        <v>Sedes mantenidas</v>
      </c>
      <c r="X405" s="54" t="str">
        <f t="shared" si="25"/>
        <v>016_Sedes mantenidas</v>
      </c>
      <c r="Y405" s="54" t="str">
        <f t="shared" si="26"/>
        <v>08-Infraestructura física, mantenimiento y dotación (Sedes construidas, mantenidas reforzadas) 016_Sedes mantenidas</v>
      </c>
      <c r="Z405" s="132" t="str">
        <f t="shared" si="27"/>
        <v>O23011745992024020708016</v>
      </c>
      <c r="AA405" s="132" t="str">
        <f>IFERROR(VLOOKUP(Y405,TD!$K$46:$L$64,2,0)," ")</f>
        <v>PM/0131/0108/45990160207</v>
      </c>
      <c r="AB405" s="57" t="s">
        <v>139</v>
      </c>
      <c r="AC405" s="133" t="s">
        <v>205</v>
      </c>
    </row>
    <row r="406" spans="2:29" s="28" customFormat="1" ht="57">
      <c r="B406" s="85">
        <v>20241060</v>
      </c>
      <c r="C406" s="53" t="s">
        <v>209</v>
      </c>
      <c r="D406" s="130" t="s">
        <v>167</v>
      </c>
      <c r="E406" s="54" t="s">
        <v>839</v>
      </c>
      <c r="F406" s="130" t="s">
        <v>668</v>
      </c>
      <c r="G406" s="130" t="s">
        <v>156</v>
      </c>
      <c r="H406" s="118" t="s">
        <v>587</v>
      </c>
      <c r="I406" s="131">
        <v>8</v>
      </c>
      <c r="J406" s="131">
        <v>4</v>
      </c>
      <c r="K406" s="56">
        <v>0</v>
      </c>
      <c r="L406" s="57">
        <v>16000000</v>
      </c>
      <c r="M406" s="130" t="s">
        <v>173</v>
      </c>
      <c r="N406" s="57" t="s">
        <v>114</v>
      </c>
      <c r="O406" s="54" t="s">
        <v>220</v>
      </c>
      <c r="P406" s="132" t="str">
        <f>IFERROR(VLOOKUP(C406,TD!$B$32:$F$36,2,0)," ")</f>
        <v>O230117</v>
      </c>
      <c r="Q406" s="132" t="str">
        <f>IFERROR(VLOOKUP(C406,TD!$B$32:$F$36,3,0)," ")</f>
        <v>4599</v>
      </c>
      <c r="R406" s="132">
        <f>IFERROR(VLOOKUP(C406,TD!$B$32:$F$36,4,0)," ")</f>
        <v>20240207</v>
      </c>
      <c r="S406" s="54" t="s">
        <v>186</v>
      </c>
      <c r="T406" s="132" t="str">
        <f>IFERROR(VLOOKUP(S406,TD!$J$33:$K$43,2,0)," ")</f>
        <v>Infraestructura física, mantenimiento y dotación (Sedes construidas, mantenidas reforzadas)</v>
      </c>
      <c r="U406" s="54" t="str">
        <f t="shared" si="24"/>
        <v>08-Infraestructura física, mantenimiento y dotación (Sedes construidas, mantenidas reforzadas)</v>
      </c>
      <c r="V406" s="54" t="s">
        <v>239</v>
      </c>
      <c r="W406" s="132" t="str">
        <f>IFERROR(VLOOKUP(V406,TD!$N$33:$O$45,2,0)," ")</f>
        <v>Sedes mantenidas</v>
      </c>
      <c r="X406" s="54" t="str">
        <f t="shared" si="25"/>
        <v>016_Sedes mantenidas</v>
      </c>
      <c r="Y406" s="54" t="str">
        <f t="shared" si="26"/>
        <v>08-Infraestructura física, mantenimiento y dotación (Sedes construidas, mantenidas reforzadas) 016_Sedes mantenidas</v>
      </c>
      <c r="Z406" s="132" t="str">
        <f t="shared" si="27"/>
        <v>O23011745992024020708016</v>
      </c>
      <c r="AA406" s="132" t="str">
        <f>IFERROR(VLOOKUP(Y406,TD!$K$46:$L$64,2,0)," ")</f>
        <v>PM/0131/0108/45990160207</v>
      </c>
      <c r="AB406" s="57" t="s">
        <v>139</v>
      </c>
      <c r="AC406" s="133" t="s">
        <v>205</v>
      </c>
    </row>
    <row r="407" spans="2:29" s="28" customFormat="1" ht="57">
      <c r="B407" s="85">
        <v>20241061</v>
      </c>
      <c r="C407" s="53" t="s">
        <v>209</v>
      </c>
      <c r="D407" s="130" t="s">
        <v>167</v>
      </c>
      <c r="E407" s="54" t="s">
        <v>839</v>
      </c>
      <c r="F407" s="130" t="s">
        <v>669</v>
      </c>
      <c r="G407" s="130" t="s">
        <v>157</v>
      </c>
      <c r="H407" s="118" t="s">
        <v>587</v>
      </c>
      <c r="I407" s="131">
        <v>8</v>
      </c>
      <c r="J407" s="131">
        <v>3</v>
      </c>
      <c r="K407" s="56">
        <v>10</v>
      </c>
      <c r="L407" s="57">
        <v>9700040</v>
      </c>
      <c r="M407" s="130" t="s">
        <v>173</v>
      </c>
      <c r="N407" s="57" t="s">
        <v>114</v>
      </c>
      <c r="O407" s="54" t="s">
        <v>220</v>
      </c>
      <c r="P407" s="132" t="str">
        <f>IFERROR(VLOOKUP(C407,TD!$B$32:$F$36,2,0)," ")</f>
        <v>O230117</v>
      </c>
      <c r="Q407" s="132" t="str">
        <f>IFERROR(VLOOKUP(C407,TD!$B$32:$F$36,3,0)," ")</f>
        <v>4599</v>
      </c>
      <c r="R407" s="132">
        <f>IFERROR(VLOOKUP(C407,TD!$B$32:$F$36,4,0)," ")</f>
        <v>20240207</v>
      </c>
      <c r="S407" s="54" t="s">
        <v>186</v>
      </c>
      <c r="T407" s="132" t="str">
        <f>IFERROR(VLOOKUP(S407,TD!$J$33:$K$43,2,0)," ")</f>
        <v>Infraestructura física, mantenimiento y dotación (Sedes construidas, mantenidas reforzadas)</v>
      </c>
      <c r="U407" s="54" t="str">
        <f t="shared" si="24"/>
        <v>08-Infraestructura física, mantenimiento y dotación (Sedes construidas, mantenidas reforzadas)</v>
      </c>
      <c r="V407" s="54" t="s">
        <v>239</v>
      </c>
      <c r="W407" s="132" t="str">
        <f>IFERROR(VLOOKUP(V407,TD!$N$33:$O$45,2,0)," ")</f>
        <v>Sedes mantenidas</v>
      </c>
      <c r="X407" s="54" t="str">
        <f t="shared" si="25"/>
        <v>016_Sedes mantenidas</v>
      </c>
      <c r="Y407" s="54" t="str">
        <f t="shared" si="26"/>
        <v>08-Infraestructura física, mantenimiento y dotación (Sedes construidas, mantenidas reforzadas) 016_Sedes mantenidas</v>
      </c>
      <c r="Z407" s="132" t="str">
        <f t="shared" si="27"/>
        <v>O23011745992024020708016</v>
      </c>
      <c r="AA407" s="132" t="str">
        <f>IFERROR(VLOOKUP(Y407,TD!$K$46:$L$64,2,0)," ")</f>
        <v>PM/0131/0108/45990160207</v>
      </c>
      <c r="AB407" s="57" t="s">
        <v>139</v>
      </c>
      <c r="AC407" s="133" t="s">
        <v>205</v>
      </c>
    </row>
    <row r="408" spans="2:29" s="28" customFormat="1" ht="57">
      <c r="B408" s="85">
        <v>20241062</v>
      </c>
      <c r="C408" s="53" t="s">
        <v>209</v>
      </c>
      <c r="D408" s="130" t="s">
        <v>167</v>
      </c>
      <c r="E408" s="54" t="s">
        <v>839</v>
      </c>
      <c r="F408" s="130" t="s">
        <v>562</v>
      </c>
      <c r="G408" s="130" t="s">
        <v>156</v>
      </c>
      <c r="H408" s="118" t="s">
        <v>587</v>
      </c>
      <c r="I408" s="131">
        <v>8</v>
      </c>
      <c r="J408" s="131">
        <v>5</v>
      </c>
      <c r="K408" s="56">
        <v>0</v>
      </c>
      <c r="L408" s="57">
        <v>38460800</v>
      </c>
      <c r="M408" s="130" t="s">
        <v>173</v>
      </c>
      <c r="N408" s="57" t="s">
        <v>114</v>
      </c>
      <c r="O408" s="54" t="s">
        <v>220</v>
      </c>
      <c r="P408" s="132" t="str">
        <f>IFERROR(VLOOKUP(C408,TD!$B$32:$F$36,2,0)," ")</f>
        <v>O230117</v>
      </c>
      <c r="Q408" s="132" t="str">
        <f>IFERROR(VLOOKUP(C408,TD!$B$32:$F$36,3,0)," ")</f>
        <v>4599</v>
      </c>
      <c r="R408" s="132">
        <f>IFERROR(VLOOKUP(C408,TD!$B$32:$F$36,4,0)," ")</f>
        <v>20240207</v>
      </c>
      <c r="S408" s="54" t="s">
        <v>186</v>
      </c>
      <c r="T408" s="132" t="str">
        <f>IFERROR(VLOOKUP(S408,TD!$J$33:$K$43,2,0)," ")</f>
        <v>Infraestructura física, mantenimiento y dotación (Sedes construidas, mantenidas reforzadas)</v>
      </c>
      <c r="U408" s="54" t="str">
        <f t="shared" si="24"/>
        <v>08-Infraestructura física, mantenimiento y dotación (Sedes construidas, mantenidas reforzadas)</v>
      </c>
      <c r="V408" s="54" t="s">
        <v>239</v>
      </c>
      <c r="W408" s="132" t="str">
        <f>IFERROR(VLOOKUP(V408,TD!$N$33:$O$45,2,0)," ")</f>
        <v>Sedes mantenidas</v>
      </c>
      <c r="X408" s="54" t="str">
        <f t="shared" si="25"/>
        <v>016_Sedes mantenidas</v>
      </c>
      <c r="Y408" s="54" t="str">
        <f t="shared" si="26"/>
        <v>08-Infraestructura física, mantenimiento y dotación (Sedes construidas, mantenidas reforzadas) 016_Sedes mantenidas</v>
      </c>
      <c r="Z408" s="132" t="str">
        <f t="shared" si="27"/>
        <v>O23011745992024020708016</v>
      </c>
      <c r="AA408" s="132" t="str">
        <f>IFERROR(VLOOKUP(Y408,TD!$K$46:$L$64,2,0)," ")</f>
        <v>PM/0131/0108/45990160207</v>
      </c>
      <c r="AB408" s="57" t="s">
        <v>139</v>
      </c>
      <c r="AC408" s="133" t="s">
        <v>205</v>
      </c>
    </row>
    <row r="409" spans="2:29" s="28" customFormat="1" ht="57">
      <c r="B409" s="85">
        <v>20241063</v>
      </c>
      <c r="C409" s="53" t="s">
        <v>209</v>
      </c>
      <c r="D409" s="130" t="s">
        <v>167</v>
      </c>
      <c r="E409" s="54" t="s">
        <v>839</v>
      </c>
      <c r="F409" s="130" t="s">
        <v>563</v>
      </c>
      <c r="G409" s="130" t="s">
        <v>156</v>
      </c>
      <c r="H409" s="118" t="s">
        <v>587</v>
      </c>
      <c r="I409" s="131">
        <v>8</v>
      </c>
      <c r="J409" s="131">
        <v>4</v>
      </c>
      <c r="K409" s="56">
        <v>0</v>
      </c>
      <c r="L409" s="57">
        <v>22000000</v>
      </c>
      <c r="M409" s="130" t="s">
        <v>173</v>
      </c>
      <c r="N409" s="57" t="s">
        <v>114</v>
      </c>
      <c r="O409" s="54" t="s">
        <v>220</v>
      </c>
      <c r="P409" s="132" t="str">
        <f>IFERROR(VLOOKUP(C409,TD!$B$32:$F$36,2,0)," ")</f>
        <v>O230117</v>
      </c>
      <c r="Q409" s="132" t="str">
        <f>IFERROR(VLOOKUP(C409,TD!$B$32:$F$36,3,0)," ")</f>
        <v>4599</v>
      </c>
      <c r="R409" s="132">
        <f>IFERROR(VLOOKUP(C409,TD!$B$32:$F$36,4,0)," ")</f>
        <v>20240207</v>
      </c>
      <c r="S409" s="54" t="s">
        <v>186</v>
      </c>
      <c r="T409" s="132" t="str">
        <f>IFERROR(VLOOKUP(S409,TD!$J$33:$K$43,2,0)," ")</f>
        <v>Infraestructura física, mantenimiento y dotación (Sedes construidas, mantenidas reforzadas)</v>
      </c>
      <c r="U409" s="54" t="str">
        <f t="shared" si="24"/>
        <v>08-Infraestructura física, mantenimiento y dotación (Sedes construidas, mantenidas reforzadas)</v>
      </c>
      <c r="V409" s="54" t="s">
        <v>239</v>
      </c>
      <c r="W409" s="132" t="str">
        <f>IFERROR(VLOOKUP(V409,TD!$N$33:$O$45,2,0)," ")</f>
        <v>Sedes mantenidas</v>
      </c>
      <c r="X409" s="54" t="str">
        <f t="shared" si="25"/>
        <v>016_Sedes mantenidas</v>
      </c>
      <c r="Y409" s="54" t="str">
        <f t="shared" si="26"/>
        <v>08-Infraestructura física, mantenimiento y dotación (Sedes construidas, mantenidas reforzadas) 016_Sedes mantenidas</v>
      </c>
      <c r="Z409" s="132" t="str">
        <f t="shared" si="27"/>
        <v>O23011745992024020708016</v>
      </c>
      <c r="AA409" s="132" t="str">
        <f>IFERROR(VLOOKUP(Y409,TD!$K$46:$L$64,2,0)," ")</f>
        <v>PM/0131/0108/45990160207</v>
      </c>
      <c r="AB409" s="57" t="s">
        <v>121</v>
      </c>
      <c r="AC409" s="133" t="s">
        <v>205</v>
      </c>
    </row>
    <row r="410" spans="2:29" s="28" customFormat="1" ht="57">
      <c r="B410" s="85">
        <v>20241064</v>
      </c>
      <c r="C410" s="53" t="s">
        <v>209</v>
      </c>
      <c r="D410" s="130" t="s">
        <v>167</v>
      </c>
      <c r="E410" s="54" t="s">
        <v>839</v>
      </c>
      <c r="F410" s="130" t="s">
        <v>564</v>
      </c>
      <c r="G410" s="130" t="s">
        <v>157</v>
      </c>
      <c r="H410" s="118" t="s">
        <v>587</v>
      </c>
      <c r="I410" s="131">
        <v>8</v>
      </c>
      <c r="J410" s="131">
        <v>5</v>
      </c>
      <c r="K410" s="56">
        <v>0</v>
      </c>
      <c r="L410" s="57">
        <f>2195489+11661711</f>
        <v>13857200</v>
      </c>
      <c r="M410" s="130" t="s">
        <v>173</v>
      </c>
      <c r="N410" s="57" t="s">
        <v>114</v>
      </c>
      <c r="O410" s="54" t="s">
        <v>220</v>
      </c>
      <c r="P410" s="132" t="str">
        <f>IFERROR(VLOOKUP(C410,TD!$B$32:$F$36,2,0)," ")</f>
        <v>O230117</v>
      </c>
      <c r="Q410" s="132" t="str">
        <f>IFERROR(VLOOKUP(C410,TD!$B$32:$F$36,3,0)," ")</f>
        <v>4599</v>
      </c>
      <c r="R410" s="132">
        <f>IFERROR(VLOOKUP(C410,TD!$B$32:$F$36,4,0)," ")</f>
        <v>20240207</v>
      </c>
      <c r="S410" s="54" t="s">
        <v>186</v>
      </c>
      <c r="T410" s="132" t="str">
        <f>IFERROR(VLOOKUP(S410,TD!$J$33:$K$43,2,0)," ")</f>
        <v>Infraestructura física, mantenimiento y dotación (Sedes construidas, mantenidas reforzadas)</v>
      </c>
      <c r="U410" s="54" t="str">
        <f t="shared" si="24"/>
        <v>08-Infraestructura física, mantenimiento y dotación (Sedes construidas, mantenidas reforzadas)</v>
      </c>
      <c r="V410" s="54" t="s">
        <v>239</v>
      </c>
      <c r="W410" s="132" t="str">
        <f>IFERROR(VLOOKUP(V410,TD!$N$33:$O$45,2,0)," ")</f>
        <v>Sedes mantenidas</v>
      </c>
      <c r="X410" s="54" t="str">
        <f t="shared" si="25"/>
        <v>016_Sedes mantenidas</v>
      </c>
      <c r="Y410" s="54" t="str">
        <f t="shared" si="26"/>
        <v>08-Infraestructura física, mantenimiento y dotación (Sedes construidas, mantenidas reforzadas) 016_Sedes mantenidas</v>
      </c>
      <c r="Z410" s="132" t="str">
        <f t="shared" si="27"/>
        <v>O23011745992024020708016</v>
      </c>
      <c r="AA410" s="132" t="str">
        <f>IFERROR(VLOOKUP(Y410,TD!$K$46:$L$64,2,0)," ")</f>
        <v>PM/0131/0108/45990160207</v>
      </c>
      <c r="AB410" s="57" t="s">
        <v>139</v>
      </c>
      <c r="AC410" s="133" t="s">
        <v>205</v>
      </c>
    </row>
    <row r="411" spans="2:29" s="28" customFormat="1" ht="57">
      <c r="B411" s="85">
        <v>20241065</v>
      </c>
      <c r="C411" s="53" t="s">
        <v>209</v>
      </c>
      <c r="D411" s="130" t="s">
        <v>167</v>
      </c>
      <c r="E411" s="54" t="s">
        <v>839</v>
      </c>
      <c r="F411" s="130" t="s">
        <v>566</v>
      </c>
      <c r="G411" s="130" t="s">
        <v>157</v>
      </c>
      <c r="H411" s="118" t="s">
        <v>587</v>
      </c>
      <c r="I411" s="131">
        <v>8</v>
      </c>
      <c r="J411" s="131">
        <v>5</v>
      </c>
      <c r="K411" s="56">
        <v>0</v>
      </c>
      <c r="L411" s="57">
        <v>15836800</v>
      </c>
      <c r="M411" s="130" t="s">
        <v>173</v>
      </c>
      <c r="N411" s="57" t="s">
        <v>114</v>
      </c>
      <c r="O411" s="54" t="s">
        <v>220</v>
      </c>
      <c r="P411" s="132" t="str">
        <f>IFERROR(VLOOKUP(C411,TD!$B$32:$F$36,2,0)," ")</f>
        <v>O230117</v>
      </c>
      <c r="Q411" s="132" t="str">
        <f>IFERROR(VLOOKUP(C411,TD!$B$32:$F$36,3,0)," ")</f>
        <v>4599</v>
      </c>
      <c r="R411" s="132">
        <f>IFERROR(VLOOKUP(C411,TD!$B$32:$F$36,4,0)," ")</f>
        <v>20240207</v>
      </c>
      <c r="S411" s="54" t="s">
        <v>186</v>
      </c>
      <c r="T411" s="132" t="str">
        <f>IFERROR(VLOOKUP(S411,TD!$J$33:$K$43,2,0)," ")</f>
        <v>Infraestructura física, mantenimiento y dotación (Sedes construidas, mantenidas reforzadas)</v>
      </c>
      <c r="U411" s="54" t="str">
        <f t="shared" si="24"/>
        <v>08-Infraestructura física, mantenimiento y dotación (Sedes construidas, mantenidas reforzadas)</v>
      </c>
      <c r="V411" s="54" t="s">
        <v>239</v>
      </c>
      <c r="W411" s="132" t="str">
        <f>IFERROR(VLOOKUP(V411,TD!$N$33:$O$45,2,0)," ")</f>
        <v>Sedes mantenidas</v>
      </c>
      <c r="X411" s="54" t="str">
        <f t="shared" si="25"/>
        <v>016_Sedes mantenidas</v>
      </c>
      <c r="Y411" s="54" t="str">
        <f t="shared" si="26"/>
        <v>08-Infraestructura física, mantenimiento y dotación (Sedes construidas, mantenidas reforzadas) 016_Sedes mantenidas</v>
      </c>
      <c r="Z411" s="132" t="str">
        <f t="shared" si="27"/>
        <v>O23011745992024020708016</v>
      </c>
      <c r="AA411" s="132" t="str">
        <f>IFERROR(VLOOKUP(Y411,TD!$K$46:$L$64,2,0)," ")</f>
        <v>PM/0131/0108/45990160207</v>
      </c>
      <c r="AB411" s="57" t="s">
        <v>139</v>
      </c>
      <c r="AC411" s="133" t="s">
        <v>205</v>
      </c>
    </row>
    <row r="412" spans="2:29" s="28" customFormat="1" ht="57">
      <c r="B412" s="85">
        <v>20241066</v>
      </c>
      <c r="C412" s="53" t="s">
        <v>209</v>
      </c>
      <c r="D412" s="130" t="s">
        <v>167</v>
      </c>
      <c r="E412" s="54" t="s">
        <v>839</v>
      </c>
      <c r="F412" s="130" t="s">
        <v>567</v>
      </c>
      <c r="G412" s="130" t="s">
        <v>157</v>
      </c>
      <c r="H412" s="118" t="s">
        <v>587</v>
      </c>
      <c r="I412" s="131">
        <v>8</v>
      </c>
      <c r="J412" s="131">
        <v>4</v>
      </c>
      <c r="K412" s="56">
        <v>0</v>
      </c>
      <c r="L412" s="57">
        <v>14000000</v>
      </c>
      <c r="M412" s="130" t="s">
        <v>173</v>
      </c>
      <c r="N412" s="57" t="s">
        <v>114</v>
      </c>
      <c r="O412" s="54" t="s">
        <v>220</v>
      </c>
      <c r="P412" s="132" t="str">
        <f>IFERROR(VLOOKUP(C412,TD!$B$32:$F$36,2,0)," ")</f>
        <v>O230117</v>
      </c>
      <c r="Q412" s="132" t="str">
        <f>IFERROR(VLOOKUP(C412,TD!$B$32:$F$36,3,0)," ")</f>
        <v>4599</v>
      </c>
      <c r="R412" s="132">
        <f>IFERROR(VLOOKUP(C412,TD!$B$32:$F$36,4,0)," ")</f>
        <v>20240207</v>
      </c>
      <c r="S412" s="54" t="s">
        <v>186</v>
      </c>
      <c r="T412" s="132" t="str">
        <f>IFERROR(VLOOKUP(S412,TD!$J$33:$K$43,2,0)," ")</f>
        <v>Infraestructura física, mantenimiento y dotación (Sedes construidas, mantenidas reforzadas)</v>
      </c>
      <c r="U412" s="54" t="str">
        <f t="shared" si="24"/>
        <v>08-Infraestructura física, mantenimiento y dotación (Sedes construidas, mantenidas reforzadas)</v>
      </c>
      <c r="V412" s="54" t="s">
        <v>239</v>
      </c>
      <c r="W412" s="132" t="str">
        <f>IFERROR(VLOOKUP(V412,TD!$N$33:$O$45,2,0)," ")</f>
        <v>Sedes mantenidas</v>
      </c>
      <c r="X412" s="54" t="str">
        <f t="shared" si="25"/>
        <v>016_Sedes mantenidas</v>
      </c>
      <c r="Y412" s="54" t="str">
        <f t="shared" si="26"/>
        <v>08-Infraestructura física, mantenimiento y dotación (Sedes construidas, mantenidas reforzadas) 016_Sedes mantenidas</v>
      </c>
      <c r="Z412" s="132" t="str">
        <f t="shared" si="27"/>
        <v>O23011745992024020708016</v>
      </c>
      <c r="AA412" s="132" t="str">
        <f>IFERROR(VLOOKUP(Y412,TD!$K$46:$L$64,2,0)," ")</f>
        <v>PM/0131/0108/45990160207</v>
      </c>
      <c r="AB412" s="57" t="s">
        <v>139</v>
      </c>
      <c r="AC412" s="133" t="s">
        <v>205</v>
      </c>
    </row>
    <row r="413" spans="2:29" s="28" customFormat="1" ht="57">
      <c r="B413" s="85">
        <v>20241067</v>
      </c>
      <c r="C413" s="53" t="s">
        <v>209</v>
      </c>
      <c r="D413" s="130" t="s">
        <v>167</v>
      </c>
      <c r="E413" s="54" t="s">
        <v>839</v>
      </c>
      <c r="F413" s="130" t="s">
        <v>829</v>
      </c>
      <c r="G413" s="130" t="s">
        <v>156</v>
      </c>
      <c r="H413" s="118" t="s">
        <v>587</v>
      </c>
      <c r="I413" s="131">
        <v>10</v>
      </c>
      <c r="J413" s="131">
        <v>3</v>
      </c>
      <c r="K413" s="56">
        <v>0</v>
      </c>
      <c r="L413" s="57">
        <v>18664800</v>
      </c>
      <c r="M413" s="130" t="s">
        <v>173</v>
      </c>
      <c r="N413" s="57" t="s">
        <v>114</v>
      </c>
      <c r="O413" s="54" t="s">
        <v>220</v>
      </c>
      <c r="P413" s="132" t="str">
        <f>IFERROR(VLOOKUP(C413,TD!$B$32:$F$36,2,0)," ")</f>
        <v>O230117</v>
      </c>
      <c r="Q413" s="132" t="str">
        <f>IFERROR(VLOOKUP(C413,TD!$B$32:$F$36,3,0)," ")</f>
        <v>4599</v>
      </c>
      <c r="R413" s="132">
        <f>IFERROR(VLOOKUP(C413,TD!$B$32:$F$36,4,0)," ")</f>
        <v>20240207</v>
      </c>
      <c r="S413" s="54" t="s">
        <v>186</v>
      </c>
      <c r="T413" s="132" t="str">
        <f>IFERROR(VLOOKUP(S413,TD!$J$33:$K$43,2,0)," ")</f>
        <v>Infraestructura física, mantenimiento y dotación (Sedes construidas, mantenidas reforzadas)</v>
      </c>
      <c r="U413" s="54" t="str">
        <f t="shared" si="24"/>
        <v>08-Infraestructura física, mantenimiento y dotación (Sedes construidas, mantenidas reforzadas)</v>
      </c>
      <c r="V413" s="54" t="s">
        <v>239</v>
      </c>
      <c r="W413" s="132" t="str">
        <f>IFERROR(VLOOKUP(V413,TD!$N$33:$O$45,2,0)," ")</f>
        <v>Sedes mantenidas</v>
      </c>
      <c r="X413" s="54" t="str">
        <f t="shared" si="25"/>
        <v>016_Sedes mantenidas</v>
      </c>
      <c r="Y413" s="54" t="str">
        <f t="shared" si="26"/>
        <v>08-Infraestructura física, mantenimiento y dotación (Sedes construidas, mantenidas reforzadas) 016_Sedes mantenidas</v>
      </c>
      <c r="Z413" s="132" t="str">
        <f t="shared" si="27"/>
        <v>O23011745992024020708016</v>
      </c>
      <c r="AA413" s="132" t="str">
        <f>IFERROR(VLOOKUP(Y413,TD!$K$46:$L$64,2,0)," ")</f>
        <v>PM/0131/0108/45990160207</v>
      </c>
      <c r="AB413" s="57" t="s">
        <v>139</v>
      </c>
      <c r="AC413" s="133" t="s">
        <v>206</v>
      </c>
    </row>
    <row r="414" spans="2:29" s="28" customFormat="1" ht="57">
      <c r="B414" s="85">
        <v>20241068</v>
      </c>
      <c r="C414" s="53" t="s">
        <v>209</v>
      </c>
      <c r="D414" s="130" t="s">
        <v>167</v>
      </c>
      <c r="E414" s="54" t="s">
        <v>839</v>
      </c>
      <c r="F414" s="130" t="s">
        <v>568</v>
      </c>
      <c r="G414" s="130" t="s">
        <v>156</v>
      </c>
      <c r="H414" s="118" t="s">
        <v>587</v>
      </c>
      <c r="I414" s="131">
        <v>10</v>
      </c>
      <c r="J414" s="131">
        <v>3</v>
      </c>
      <c r="K414" s="56">
        <v>0</v>
      </c>
      <c r="L414" s="57">
        <v>18000000</v>
      </c>
      <c r="M414" s="130" t="s">
        <v>173</v>
      </c>
      <c r="N414" s="57" t="s">
        <v>114</v>
      </c>
      <c r="O414" s="54" t="s">
        <v>220</v>
      </c>
      <c r="P414" s="132" t="str">
        <f>IFERROR(VLOOKUP(C414,TD!$B$32:$F$36,2,0)," ")</f>
        <v>O230117</v>
      </c>
      <c r="Q414" s="132" t="str">
        <f>IFERROR(VLOOKUP(C414,TD!$B$32:$F$36,3,0)," ")</f>
        <v>4599</v>
      </c>
      <c r="R414" s="132">
        <f>IFERROR(VLOOKUP(C414,TD!$B$32:$F$36,4,0)," ")</f>
        <v>20240207</v>
      </c>
      <c r="S414" s="54" t="s">
        <v>186</v>
      </c>
      <c r="T414" s="132" t="str">
        <f>IFERROR(VLOOKUP(S414,TD!$J$33:$K$43,2,0)," ")</f>
        <v>Infraestructura física, mantenimiento y dotación (Sedes construidas, mantenidas reforzadas)</v>
      </c>
      <c r="U414" s="54" t="str">
        <f t="shared" si="24"/>
        <v>08-Infraestructura física, mantenimiento y dotación (Sedes construidas, mantenidas reforzadas)</v>
      </c>
      <c r="V414" s="54" t="s">
        <v>239</v>
      </c>
      <c r="W414" s="132" t="str">
        <f>IFERROR(VLOOKUP(V414,TD!$N$33:$O$45,2,0)," ")</f>
        <v>Sedes mantenidas</v>
      </c>
      <c r="X414" s="54" t="str">
        <f t="shared" si="25"/>
        <v>016_Sedes mantenidas</v>
      </c>
      <c r="Y414" s="54" t="str">
        <f t="shared" si="26"/>
        <v>08-Infraestructura física, mantenimiento y dotación (Sedes construidas, mantenidas reforzadas) 016_Sedes mantenidas</v>
      </c>
      <c r="Z414" s="132" t="str">
        <f t="shared" si="27"/>
        <v>O23011745992024020708016</v>
      </c>
      <c r="AA414" s="132" t="str">
        <f>IFERROR(VLOOKUP(Y414,TD!$K$46:$L$64,2,0)," ")</f>
        <v>PM/0131/0108/45990160207</v>
      </c>
      <c r="AB414" s="57" t="s">
        <v>121</v>
      </c>
      <c r="AC414" s="133" t="s">
        <v>205</v>
      </c>
    </row>
    <row r="415" spans="2:29" s="28" customFormat="1" ht="71.25">
      <c r="B415" s="85">
        <v>20241070</v>
      </c>
      <c r="C415" s="53" t="s">
        <v>210</v>
      </c>
      <c r="D415" s="130" t="s">
        <v>167</v>
      </c>
      <c r="E415" s="54" t="s">
        <v>839</v>
      </c>
      <c r="F415" s="130" t="s">
        <v>570</v>
      </c>
      <c r="G415" s="130" t="s">
        <v>102</v>
      </c>
      <c r="H415" s="118" t="s">
        <v>588</v>
      </c>
      <c r="I415" s="131">
        <v>8</v>
      </c>
      <c r="J415" s="131">
        <v>10</v>
      </c>
      <c r="K415" s="56">
        <v>0</v>
      </c>
      <c r="L415" s="57">
        <v>450000000</v>
      </c>
      <c r="M415" s="130" t="s">
        <v>173</v>
      </c>
      <c r="N415" s="57" t="s">
        <v>109</v>
      </c>
      <c r="O415" s="54" t="s">
        <v>231</v>
      </c>
      <c r="P415" s="132" t="str">
        <f>IFERROR(VLOOKUP(C415,TD!$B$32:$F$36,2,0)," ")</f>
        <v>O230117</v>
      </c>
      <c r="Q415" s="132" t="str">
        <f>IFERROR(VLOOKUP(C415,TD!$B$32:$F$36,3,0)," ")</f>
        <v>4503</v>
      </c>
      <c r="R415" s="132">
        <f>IFERROR(VLOOKUP(C415,TD!$B$32:$F$36,4,0)," ")</f>
        <v>20240255</v>
      </c>
      <c r="S415" s="54" t="s">
        <v>186</v>
      </c>
      <c r="T415" s="132" t="str">
        <f>IFERROR(VLOOKUP(S415,TD!$J$33:$K$43,2,0)," ")</f>
        <v>Infraestructura física, mantenimiento y dotación (Sedes construidas, mantenidas reforzadas)</v>
      </c>
      <c r="U415" s="54" t="str">
        <f t="shared" si="24"/>
        <v>08-Infraestructura física, mantenimiento y dotación (Sedes construidas, mantenidas reforzadas)</v>
      </c>
      <c r="V415" s="54" t="s">
        <v>295</v>
      </c>
      <c r="W415" s="132" t="str">
        <f>IFERROR(VLOOKUP(V415,TD!$N$33:$O$45,2,0)," ")</f>
        <v>Documentos de lineamientos técnicos</v>
      </c>
      <c r="X415" s="54" t="str">
        <f t="shared" si="25"/>
        <v>031__Documentos de lineamientos técnicos</v>
      </c>
      <c r="Y415" s="54" t="str">
        <f t="shared" si="26"/>
        <v>08-Infraestructura física, mantenimiento y dotación (Sedes construidas, mantenidas reforzadas) 031__Documentos de lineamientos técnicos</v>
      </c>
      <c r="Z415" s="132" t="str">
        <f t="shared" si="27"/>
        <v>O23011745032024025508031_</v>
      </c>
      <c r="AA415" s="132" t="str">
        <f>IFERROR(VLOOKUP(Y415,TD!$K$46:$L$64,2,0)," ")</f>
        <v>PM/0131/0108/45030310255</v>
      </c>
      <c r="AB415" s="57" t="s">
        <v>103</v>
      </c>
      <c r="AC415" s="133" t="s">
        <v>205</v>
      </c>
    </row>
    <row r="416" spans="2:29" s="28" customFormat="1" ht="71.25">
      <c r="B416" s="85">
        <v>20241071</v>
      </c>
      <c r="C416" s="53" t="s">
        <v>210</v>
      </c>
      <c r="D416" s="130" t="s">
        <v>167</v>
      </c>
      <c r="E416" s="54" t="s">
        <v>839</v>
      </c>
      <c r="F416" s="130" t="s">
        <v>571</v>
      </c>
      <c r="G416" s="130" t="s">
        <v>102</v>
      </c>
      <c r="H416" s="118" t="s">
        <v>589</v>
      </c>
      <c r="I416" s="131">
        <v>8</v>
      </c>
      <c r="J416" s="131">
        <v>10</v>
      </c>
      <c r="K416" s="56">
        <v>0</v>
      </c>
      <c r="L416" s="57">
        <v>135350633</v>
      </c>
      <c r="M416" s="130" t="s">
        <v>173</v>
      </c>
      <c r="N416" s="57" t="s">
        <v>109</v>
      </c>
      <c r="O416" s="54" t="s">
        <v>231</v>
      </c>
      <c r="P416" s="132" t="str">
        <f>IFERROR(VLOOKUP(C416,TD!$B$32:$F$36,2,0)," ")</f>
        <v>O230117</v>
      </c>
      <c r="Q416" s="132" t="str">
        <f>IFERROR(VLOOKUP(C416,TD!$B$32:$F$36,3,0)," ")</f>
        <v>4503</v>
      </c>
      <c r="R416" s="132">
        <f>IFERROR(VLOOKUP(C416,TD!$B$32:$F$36,4,0)," ")</f>
        <v>20240255</v>
      </c>
      <c r="S416" s="54" t="s">
        <v>186</v>
      </c>
      <c r="T416" s="132" t="str">
        <f>IFERROR(VLOOKUP(S416,TD!$J$33:$K$43,2,0)," ")</f>
        <v>Infraestructura física, mantenimiento y dotación (Sedes construidas, mantenidas reforzadas)</v>
      </c>
      <c r="U416" s="54" t="str">
        <f t="shared" si="24"/>
        <v>08-Infraestructura física, mantenimiento y dotación (Sedes construidas, mantenidas reforzadas)</v>
      </c>
      <c r="V416" s="54" t="s">
        <v>295</v>
      </c>
      <c r="W416" s="132" t="str">
        <f>IFERROR(VLOOKUP(V416,TD!$N$33:$O$45,2,0)," ")</f>
        <v>Documentos de lineamientos técnicos</v>
      </c>
      <c r="X416" s="54" t="str">
        <f t="shared" si="25"/>
        <v>031__Documentos de lineamientos técnicos</v>
      </c>
      <c r="Y416" s="54" t="str">
        <f t="shared" si="26"/>
        <v>08-Infraestructura física, mantenimiento y dotación (Sedes construidas, mantenidas reforzadas) 031__Documentos de lineamientos técnicos</v>
      </c>
      <c r="Z416" s="132" t="str">
        <f t="shared" si="27"/>
        <v>O23011745032024025508031_</v>
      </c>
      <c r="AA416" s="132" t="str">
        <f>IFERROR(VLOOKUP(Y416,TD!$K$46:$L$64,2,0)," ")</f>
        <v>PM/0131/0108/45030310255</v>
      </c>
      <c r="AB416" s="57" t="s">
        <v>103</v>
      </c>
      <c r="AC416" s="133" t="s">
        <v>205</v>
      </c>
    </row>
    <row r="417" spans="2:29" s="28" customFormat="1" ht="57">
      <c r="B417" s="85">
        <v>20241072</v>
      </c>
      <c r="C417" s="53" t="s">
        <v>209</v>
      </c>
      <c r="D417" s="130" t="s">
        <v>167</v>
      </c>
      <c r="E417" s="54" t="s">
        <v>839</v>
      </c>
      <c r="F417" s="130" t="s">
        <v>722</v>
      </c>
      <c r="G417" s="130" t="s">
        <v>138</v>
      </c>
      <c r="H417" s="118" t="s">
        <v>546</v>
      </c>
      <c r="I417" s="131">
        <v>0</v>
      </c>
      <c r="J417" s="131">
        <v>0</v>
      </c>
      <c r="K417" s="56">
        <v>0</v>
      </c>
      <c r="L417" s="57">
        <f>469553260-434736911</f>
        <v>34816349</v>
      </c>
      <c r="M417" s="130" t="s">
        <v>174</v>
      </c>
      <c r="N417" s="57" t="s">
        <v>129</v>
      </c>
      <c r="O417" s="54" t="s">
        <v>219</v>
      </c>
      <c r="P417" s="132" t="str">
        <f>IFERROR(VLOOKUP(C417,TD!$B$32:$F$36,2,0)," ")</f>
        <v>O230117</v>
      </c>
      <c r="Q417" s="132" t="str">
        <f>IFERROR(VLOOKUP(C417,TD!$B$32:$F$36,3,0)," ")</f>
        <v>4599</v>
      </c>
      <c r="R417" s="132">
        <f>IFERROR(VLOOKUP(C417,TD!$B$32:$F$36,4,0)," ")</f>
        <v>20240207</v>
      </c>
      <c r="S417" s="54" t="s">
        <v>186</v>
      </c>
      <c r="T417" s="132" t="str">
        <f>IFERROR(VLOOKUP(S417,TD!$J$33:$K$43,2,0)," ")</f>
        <v>Infraestructura física, mantenimiento y dotación (Sedes construidas, mantenidas reforzadas)</v>
      </c>
      <c r="U417" s="54" t="str">
        <f t="shared" si="24"/>
        <v>08-Infraestructura física, mantenimiento y dotación (Sedes construidas, mantenidas reforzadas)</v>
      </c>
      <c r="V417" s="54" t="s">
        <v>239</v>
      </c>
      <c r="W417" s="132" t="str">
        <f>IFERROR(VLOOKUP(V417,TD!$N$33:$O$45,2,0)," ")</f>
        <v>Sedes mantenidas</v>
      </c>
      <c r="X417" s="54" t="str">
        <f t="shared" si="25"/>
        <v>016_Sedes mantenidas</v>
      </c>
      <c r="Y417" s="54" t="str">
        <f t="shared" si="26"/>
        <v>08-Infraestructura física, mantenimiento y dotación (Sedes construidas, mantenidas reforzadas) 016_Sedes mantenidas</v>
      </c>
      <c r="Z417" s="132" t="str">
        <f t="shared" si="27"/>
        <v>O23011745992024020708016</v>
      </c>
      <c r="AA417" s="132" t="str">
        <f>IFERROR(VLOOKUP(Y417,TD!$K$46:$L$64,2,0)," ")</f>
        <v>PM/0131/0108/45990160207</v>
      </c>
      <c r="AB417" s="57" t="s">
        <v>88</v>
      </c>
      <c r="AC417" s="133" t="s">
        <v>206</v>
      </c>
    </row>
    <row r="418" spans="2:29" s="28" customFormat="1" ht="71.25">
      <c r="B418" s="85">
        <v>20241073</v>
      </c>
      <c r="C418" s="53" t="s">
        <v>210</v>
      </c>
      <c r="D418" s="130" t="s">
        <v>169</v>
      </c>
      <c r="E418" s="54" t="s">
        <v>804</v>
      </c>
      <c r="F418" s="130" t="s">
        <v>683</v>
      </c>
      <c r="G418" s="130" t="s">
        <v>158</v>
      </c>
      <c r="H418" s="117">
        <v>78181500</v>
      </c>
      <c r="I418" s="131">
        <v>7</v>
      </c>
      <c r="J418" s="131">
        <v>12</v>
      </c>
      <c r="K418" s="56">
        <v>0</v>
      </c>
      <c r="L418" s="57">
        <v>515000000</v>
      </c>
      <c r="M418" s="130" t="s">
        <v>173</v>
      </c>
      <c r="N418" s="57" t="s">
        <v>91</v>
      </c>
      <c r="O418" s="54" t="s">
        <v>225</v>
      </c>
      <c r="P418" s="132" t="str">
        <f>IFERROR(VLOOKUP(C418,TD!$B$32:$F$36,2,0)," ")</f>
        <v>O230117</v>
      </c>
      <c r="Q418" s="132" t="str">
        <f>IFERROR(VLOOKUP(C418,TD!$B$32:$F$36,3,0)," ")</f>
        <v>4503</v>
      </c>
      <c r="R418" s="132">
        <f>IFERROR(VLOOKUP(C418,TD!$B$32:$F$36,4,0)," ")</f>
        <v>20240255</v>
      </c>
      <c r="S418" s="54" t="s">
        <v>188</v>
      </c>
      <c r="T418" s="132" t="str">
        <f>IFERROR(VLOOKUP(S418,TD!$J$33:$K$43,2,0)," ")</f>
        <v>Servicio de mantenimiento, dotación (HEA´s y equipo menor) y adquisición de vehiculos   especializados para la atención de emergencias.</v>
      </c>
      <c r="U418" s="54" t="str">
        <f t="shared" si="24"/>
        <v>09-Servicio de mantenimiento, dotación (HEA´s y equipo menor) y adquisición de vehiculos   especializados para la atención de emergencias.</v>
      </c>
      <c r="V418" s="54" t="s">
        <v>233</v>
      </c>
      <c r="W418" s="132" t="str">
        <f>IFERROR(VLOOKUP(V418,TD!$N$33:$O$45,2,0)," ")</f>
        <v>Servicio de atención a emergencias y desastres</v>
      </c>
      <c r="X418" s="54" t="str">
        <f t="shared" si="25"/>
        <v>004_Servicio de atención a emergencias y desastres</v>
      </c>
      <c r="Y418" s="54" t="str">
        <f t="shared" si="26"/>
        <v>09-Servicio de mantenimiento, dotación (HEA´s y equipo menor) y adquisición de vehiculos   especializados para la atención de emergencias. 004_Servicio de atención a emergencias y desastres</v>
      </c>
      <c r="Z418" s="132" t="str">
        <f t="shared" si="27"/>
        <v>O23011745032024025509004</v>
      </c>
      <c r="AA418" s="132" t="str">
        <f>IFERROR(VLOOKUP(Y418,TD!$K$46:$L$64,2,0)," ")</f>
        <v>PM/0131/0109/45030040255</v>
      </c>
      <c r="AB418" s="57" t="s">
        <v>146</v>
      </c>
      <c r="AC418" s="133" t="s">
        <v>205</v>
      </c>
    </row>
    <row r="419" spans="2:29" s="28" customFormat="1" ht="57">
      <c r="B419" s="85">
        <v>20241074</v>
      </c>
      <c r="C419" s="53" t="s">
        <v>209</v>
      </c>
      <c r="D419" s="130" t="s">
        <v>167</v>
      </c>
      <c r="E419" s="54" t="s">
        <v>839</v>
      </c>
      <c r="F419" s="130" t="s">
        <v>744</v>
      </c>
      <c r="G419" s="130" t="s">
        <v>147</v>
      </c>
      <c r="H419" s="118" t="s">
        <v>591</v>
      </c>
      <c r="I419" s="131">
        <v>8</v>
      </c>
      <c r="J419" s="131">
        <v>8</v>
      </c>
      <c r="K419" s="56">
        <v>0</v>
      </c>
      <c r="L419" s="57">
        <v>40000000</v>
      </c>
      <c r="M419" s="130" t="s">
        <v>173</v>
      </c>
      <c r="N419" s="57" t="s">
        <v>101</v>
      </c>
      <c r="O419" s="54" t="s">
        <v>219</v>
      </c>
      <c r="P419" s="132" t="str">
        <f>IFERROR(VLOOKUP(C419,TD!$B$32:$F$36,2,0)," ")</f>
        <v>O230117</v>
      </c>
      <c r="Q419" s="132" t="str">
        <f>IFERROR(VLOOKUP(C419,TD!$B$32:$F$36,3,0)," ")</f>
        <v>4599</v>
      </c>
      <c r="R419" s="132">
        <f>IFERROR(VLOOKUP(C419,TD!$B$32:$F$36,4,0)," ")</f>
        <v>20240207</v>
      </c>
      <c r="S419" s="54" t="s">
        <v>186</v>
      </c>
      <c r="T419" s="132" t="str">
        <f>IFERROR(VLOOKUP(S419,TD!$J$33:$K$43,2,0)," ")</f>
        <v>Infraestructura física, mantenimiento y dotación (Sedes construidas, mantenidas reforzadas)</v>
      </c>
      <c r="U419" s="54" t="str">
        <f t="shared" si="24"/>
        <v>08-Infraestructura física, mantenimiento y dotación (Sedes construidas, mantenidas reforzadas)</v>
      </c>
      <c r="V419" s="54" t="s">
        <v>239</v>
      </c>
      <c r="W419" s="132" t="str">
        <f>IFERROR(VLOOKUP(V419,TD!$N$33:$O$45,2,0)," ")</f>
        <v>Sedes mantenidas</v>
      </c>
      <c r="X419" s="54" t="str">
        <f t="shared" si="25"/>
        <v>016_Sedes mantenidas</v>
      </c>
      <c r="Y419" s="54" t="str">
        <f t="shared" si="26"/>
        <v>08-Infraestructura física, mantenimiento y dotación (Sedes construidas, mantenidas reforzadas) 016_Sedes mantenidas</v>
      </c>
      <c r="Z419" s="132" t="str">
        <f t="shared" si="27"/>
        <v>O23011745992024020708016</v>
      </c>
      <c r="AA419" s="132" t="str">
        <f>IFERROR(VLOOKUP(Y419,TD!$K$46:$L$64,2,0)," ")</f>
        <v>PM/0131/0108/45990160207</v>
      </c>
      <c r="AB419" s="57" t="s">
        <v>148</v>
      </c>
      <c r="AC419" s="133" t="s">
        <v>205</v>
      </c>
    </row>
    <row r="420" spans="2:29" s="28" customFormat="1" ht="57">
      <c r="B420" s="85">
        <v>20241075</v>
      </c>
      <c r="C420" s="53" t="s">
        <v>209</v>
      </c>
      <c r="D420" s="130" t="s">
        <v>167</v>
      </c>
      <c r="E420" s="54" t="s">
        <v>839</v>
      </c>
      <c r="F420" s="130" t="s">
        <v>745</v>
      </c>
      <c r="G420" s="130" t="s">
        <v>147</v>
      </c>
      <c r="H420" s="118" t="s">
        <v>592</v>
      </c>
      <c r="I420" s="131">
        <v>8</v>
      </c>
      <c r="J420" s="131">
        <v>8</v>
      </c>
      <c r="K420" s="56">
        <v>0</v>
      </c>
      <c r="L420" s="57">
        <v>52000000</v>
      </c>
      <c r="M420" s="130" t="s">
        <v>173</v>
      </c>
      <c r="N420" s="57" t="s">
        <v>101</v>
      </c>
      <c r="O420" s="54" t="s">
        <v>219</v>
      </c>
      <c r="P420" s="132" t="str">
        <f>IFERROR(VLOOKUP(C420,TD!$B$32:$F$36,2,0)," ")</f>
        <v>O230117</v>
      </c>
      <c r="Q420" s="132" t="str">
        <f>IFERROR(VLOOKUP(C420,TD!$B$32:$F$36,3,0)," ")</f>
        <v>4599</v>
      </c>
      <c r="R420" s="132">
        <f>IFERROR(VLOOKUP(C420,TD!$B$32:$F$36,4,0)," ")</f>
        <v>20240207</v>
      </c>
      <c r="S420" s="54" t="s">
        <v>186</v>
      </c>
      <c r="T420" s="132" t="str">
        <f>IFERROR(VLOOKUP(S420,TD!$J$33:$K$43,2,0)," ")</f>
        <v>Infraestructura física, mantenimiento y dotación (Sedes construidas, mantenidas reforzadas)</v>
      </c>
      <c r="U420" s="54" t="str">
        <f t="shared" si="24"/>
        <v>08-Infraestructura física, mantenimiento y dotación (Sedes construidas, mantenidas reforzadas)</v>
      </c>
      <c r="V420" s="54" t="s">
        <v>239</v>
      </c>
      <c r="W420" s="132" t="str">
        <f>IFERROR(VLOOKUP(V420,TD!$N$33:$O$45,2,0)," ")</f>
        <v>Sedes mantenidas</v>
      </c>
      <c r="X420" s="54" t="str">
        <f t="shared" si="25"/>
        <v>016_Sedes mantenidas</v>
      </c>
      <c r="Y420" s="54" t="str">
        <f t="shared" si="26"/>
        <v>08-Infraestructura física, mantenimiento y dotación (Sedes construidas, mantenidas reforzadas) 016_Sedes mantenidas</v>
      </c>
      <c r="Z420" s="132" t="str">
        <f t="shared" si="27"/>
        <v>O23011745992024020708016</v>
      </c>
      <c r="AA420" s="132" t="str">
        <f>IFERROR(VLOOKUP(Y420,TD!$K$46:$L$64,2,0)," ")</f>
        <v>PM/0131/0108/45990160207</v>
      </c>
      <c r="AB420" s="57" t="s">
        <v>148</v>
      </c>
      <c r="AC420" s="133" t="s">
        <v>205</v>
      </c>
    </row>
    <row r="421" spans="2:29" s="28" customFormat="1" ht="57">
      <c r="B421" s="85">
        <v>20241076</v>
      </c>
      <c r="C421" s="53" t="s">
        <v>209</v>
      </c>
      <c r="D421" s="130" t="s">
        <v>167</v>
      </c>
      <c r="E421" s="54" t="s">
        <v>839</v>
      </c>
      <c r="F421" s="130" t="s">
        <v>746</v>
      </c>
      <c r="G421" s="130" t="s">
        <v>147</v>
      </c>
      <c r="H421" s="118" t="s">
        <v>593</v>
      </c>
      <c r="I421" s="131">
        <v>8</v>
      </c>
      <c r="J421" s="131">
        <v>8</v>
      </c>
      <c r="K421" s="56">
        <v>0</v>
      </c>
      <c r="L421" s="57">
        <v>45000000</v>
      </c>
      <c r="M421" s="130" t="s">
        <v>173</v>
      </c>
      <c r="N421" s="57" t="s">
        <v>101</v>
      </c>
      <c r="O421" s="54" t="s">
        <v>219</v>
      </c>
      <c r="P421" s="132" t="str">
        <f>IFERROR(VLOOKUP(C421,TD!$B$32:$F$36,2,0)," ")</f>
        <v>O230117</v>
      </c>
      <c r="Q421" s="132" t="str">
        <f>IFERROR(VLOOKUP(C421,TD!$B$32:$F$36,3,0)," ")</f>
        <v>4599</v>
      </c>
      <c r="R421" s="132">
        <f>IFERROR(VLOOKUP(C421,TD!$B$32:$F$36,4,0)," ")</f>
        <v>20240207</v>
      </c>
      <c r="S421" s="54" t="s">
        <v>186</v>
      </c>
      <c r="T421" s="132" t="str">
        <f>IFERROR(VLOOKUP(S421,TD!$J$33:$K$43,2,0)," ")</f>
        <v>Infraestructura física, mantenimiento y dotación (Sedes construidas, mantenidas reforzadas)</v>
      </c>
      <c r="U421" s="54" t="str">
        <f t="shared" si="24"/>
        <v>08-Infraestructura física, mantenimiento y dotación (Sedes construidas, mantenidas reforzadas)</v>
      </c>
      <c r="V421" s="54" t="s">
        <v>239</v>
      </c>
      <c r="W421" s="132" t="str">
        <f>IFERROR(VLOOKUP(V421,TD!$N$33:$O$45,2,0)," ")</f>
        <v>Sedes mantenidas</v>
      </c>
      <c r="X421" s="54" t="str">
        <f t="shared" si="25"/>
        <v>016_Sedes mantenidas</v>
      </c>
      <c r="Y421" s="54" t="str">
        <f t="shared" si="26"/>
        <v>08-Infraestructura física, mantenimiento y dotación (Sedes construidas, mantenidas reforzadas) 016_Sedes mantenidas</v>
      </c>
      <c r="Z421" s="132" t="str">
        <f t="shared" si="27"/>
        <v>O23011745992024020708016</v>
      </c>
      <c r="AA421" s="132" t="str">
        <f>IFERROR(VLOOKUP(Y421,TD!$K$46:$L$64,2,0)," ")</f>
        <v>PM/0131/0108/45990160207</v>
      </c>
      <c r="AB421" s="57" t="s">
        <v>148</v>
      </c>
      <c r="AC421" s="133" t="s">
        <v>205</v>
      </c>
    </row>
    <row r="422" spans="2:29" s="28" customFormat="1" ht="57">
      <c r="B422" s="85">
        <v>20241078</v>
      </c>
      <c r="C422" s="53" t="s">
        <v>209</v>
      </c>
      <c r="D422" s="130" t="s">
        <v>167</v>
      </c>
      <c r="E422" s="54" t="s">
        <v>839</v>
      </c>
      <c r="F422" s="130" t="s">
        <v>747</v>
      </c>
      <c r="G422" s="130" t="s">
        <v>147</v>
      </c>
      <c r="H422" s="118" t="s">
        <v>594</v>
      </c>
      <c r="I422" s="131">
        <v>8</v>
      </c>
      <c r="J422" s="131">
        <v>8</v>
      </c>
      <c r="K422" s="56">
        <v>0</v>
      </c>
      <c r="L422" s="57">
        <v>50000000</v>
      </c>
      <c r="M422" s="130" t="s">
        <v>173</v>
      </c>
      <c r="N422" s="57" t="s">
        <v>91</v>
      </c>
      <c r="O422" s="54" t="s">
        <v>219</v>
      </c>
      <c r="P422" s="132" t="str">
        <f>IFERROR(VLOOKUP(C422,TD!$B$32:$F$36,2,0)," ")</f>
        <v>O230117</v>
      </c>
      <c r="Q422" s="132" t="str">
        <f>IFERROR(VLOOKUP(C422,TD!$B$32:$F$36,3,0)," ")</f>
        <v>4599</v>
      </c>
      <c r="R422" s="132">
        <f>IFERROR(VLOOKUP(C422,TD!$B$32:$F$36,4,0)," ")</f>
        <v>20240207</v>
      </c>
      <c r="S422" s="54" t="s">
        <v>186</v>
      </c>
      <c r="T422" s="132" t="str">
        <f>IFERROR(VLOOKUP(S422,TD!$J$33:$K$43,2,0)," ")</f>
        <v>Infraestructura física, mantenimiento y dotación (Sedes construidas, mantenidas reforzadas)</v>
      </c>
      <c r="U422" s="54" t="str">
        <f t="shared" si="24"/>
        <v>08-Infraestructura física, mantenimiento y dotación (Sedes construidas, mantenidas reforzadas)</v>
      </c>
      <c r="V422" s="54" t="s">
        <v>239</v>
      </c>
      <c r="W422" s="132" t="str">
        <f>IFERROR(VLOOKUP(V422,TD!$N$33:$O$45,2,0)," ")</f>
        <v>Sedes mantenidas</v>
      </c>
      <c r="X422" s="54" t="str">
        <f t="shared" si="25"/>
        <v>016_Sedes mantenidas</v>
      </c>
      <c r="Y422" s="54" t="str">
        <f t="shared" si="26"/>
        <v>08-Infraestructura física, mantenimiento y dotación (Sedes construidas, mantenidas reforzadas) 016_Sedes mantenidas</v>
      </c>
      <c r="Z422" s="132" t="str">
        <f t="shared" si="27"/>
        <v>O23011745992024020708016</v>
      </c>
      <c r="AA422" s="132" t="str">
        <f>IFERROR(VLOOKUP(Y422,TD!$K$46:$L$64,2,0)," ")</f>
        <v>PM/0131/0108/45990160207</v>
      </c>
      <c r="AB422" s="57" t="s">
        <v>148</v>
      </c>
      <c r="AC422" s="133" t="s">
        <v>206</v>
      </c>
    </row>
    <row r="423" spans="2:29" s="28" customFormat="1" ht="57">
      <c r="B423" s="85">
        <v>20241081</v>
      </c>
      <c r="C423" s="53" t="s">
        <v>209</v>
      </c>
      <c r="D423" s="130" t="s">
        <v>167</v>
      </c>
      <c r="E423" s="54" t="s">
        <v>839</v>
      </c>
      <c r="F423" s="130" t="s">
        <v>748</v>
      </c>
      <c r="G423" s="130" t="s">
        <v>156</v>
      </c>
      <c r="H423" s="117">
        <v>80111600</v>
      </c>
      <c r="I423" s="131">
        <v>10</v>
      </c>
      <c r="J423" s="131">
        <v>1</v>
      </c>
      <c r="K423" s="56">
        <v>0</v>
      </c>
      <c r="L423" s="57">
        <v>9275840</v>
      </c>
      <c r="M423" s="130" t="s">
        <v>173</v>
      </c>
      <c r="N423" s="57" t="s">
        <v>114</v>
      </c>
      <c r="O423" s="54" t="s">
        <v>219</v>
      </c>
      <c r="P423" s="132" t="str">
        <f>IFERROR(VLOOKUP(C423,TD!$B$32:$F$36,2,0)," ")</f>
        <v>O230117</v>
      </c>
      <c r="Q423" s="132" t="str">
        <f>IFERROR(VLOOKUP(C423,TD!$B$32:$F$36,3,0)," ")</f>
        <v>4599</v>
      </c>
      <c r="R423" s="132">
        <f>IFERROR(VLOOKUP(C423,TD!$B$32:$F$36,4,0)," ")</f>
        <v>20240207</v>
      </c>
      <c r="S423" s="54" t="s">
        <v>186</v>
      </c>
      <c r="T423" s="132" t="str">
        <f>IFERROR(VLOOKUP(S423,TD!$J$33:$K$43,2,0)," ")</f>
        <v>Infraestructura física, mantenimiento y dotación (Sedes construidas, mantenidas reforzadas)</v>
      </c>
      <c r="U423" s="54" t="str">
        <f t="shared" si="24"/>
        <v>08-Infraestructura física, mantenimiento y dotación (Sedes construidas, mantenidas reforzadas)</v>
      </c>
      <c r="V423" s="54" t="s">
        <v>239</v>
      </c>
      <c r="W423" s="132" t="str">
        <f>IFERROR(VLOOKUP(V423,TD!$N$33:$O$45,2,0)," ")</f>
        <v>Sedes mantenidas</v>
      </c>
      <c r="X423" s="54" t="str">
        <f t="shared" si="25"/>
        <v>016_Sedes mantenidas</v>
      </c>
      <c r="Y423" s="54" t="str">
        <f t="shared" si="26"/>
        <v>08-Infraestructura física, mantenimiento y dotación (Sedes construidas, mantenidas reforzadas) 016_Sedes mantenidas</v>
      </c>
      <c r="Z423" s="132" t="str">
        <f t="shared" si="27"/>
        <v>O23011745992024020708016</v>
      </c>
      <c r="AA423" s="132" t="str">
        <f>IFERROR(VLOOKUP(Y423,TD!$K$46:$L$64,2,0)," ")</f>
        <v>PM/0131/0108/45990160207</v>
      </c>
      <c r="AB423" s="57" t="s">
        <v>139</v>
      </c>
      <c r="AC423" s="133" t="s">
        <v>206</v>
      </c>
    </row>
    <row r="424" spans="2:29" s="28" customFormat="1" ht="57">
      <c r="B424" s="85">
        <v>20241082</v>
      </c>
      <c r="C424" s="53" t="s">
        <v>210</v>
      </c>
      <c r="D424" s="130" t="s">
        <v>167</v>
      </c>
      <c r="E424" s="54" t="s">
        <v>839</v>
      </c>
      <c r="F424" s="130" t="s">
        <v>750</v>
      </c>
      <c r="G424" s="130" t="s">
        <v>156</v>
      </c>
      <c r="H424" s="117">
        <v>80111600</v>
      </c>
      <c r="I424" s="131">
        <v>8</v>
      </c>
      <c r="J424" s="131">
        <v>5</v>
      </c>
      <c r="K424" s="56">
        <v>0</v>
      </c>
      <c r="L424" s="57">
        <v>38460800</v>
      </c>
      <c r="M424" s="130" t="s">
        <v>173</v>
      </c>
      <c r="N424" s="57" t="s">
        <v>114</v>
      </c>
      <c r="O424" s="54" t="s">
        <v>228</v>
      </c>
      <c r="P424" s="132" t="str">
        <f>IFERROR(VLOOKUP(C424,TD!$B$32:$F$36,2,0)," ")</f>
        <v>O230117</v>
      </c>
      <c r="Q424" s="132" t="str">
        <f>IFERROR(VLOOKUP(C424,TD!$B$32:$F$36,3,0)," ")</f>
        <v>4503</v>
      </c>
      <c r="R424" s="132">
        <f>IFERROR(VLOOKUP(C424,TD!$B$32:$F$36,4,0)," ")</f>
        <v>20240255</v>
      </c>
      <c r="S424" s="54" t="s">
        <v>186</v>
      </c>
      <c r="T424" s="132" t="str">
        <f>IFERROR(VLOOKUP(S424,TD!$J$33:$K$43,2,0)," ")</f>
        <v>Infraestructura física, mantenimiento y dotación (Sedes construidas, mantenidas reforzadas)</v>
      </c>
      <c r="U424" s="54" t="str">
        <f t="shared" si="24"/>
        <v>08-Infraestructura física, mantenimiento y dotación (Sedes construidas, mantenidas reforzadas)</v>
      </c>
      <c r="V424" s="54" t="s">
        <v>237</v>
      </c>
      <c r="W424" s="132" t="str">
        <f>IFERROR(VLOOKUP(V424,TD!$N$33:$O$45,2,0)," ")</f>
        <v>Estaciones de bomberos adecuadas</v>
      </c>
      <c r="X424" s="54" t="str">
        <f t="shared" si="25"/>
        <v>014_Estaciones de bomberos adecuadas</v>
      </c>
      <c r="Y424" s="54" t="str">
        <f t="shared" si="26"/>
        <v>08-Infraestructura física, mantenimiento y dotación (Sedes construidas, mantenidas reforzadas) 014_Estaciones de bomberos adecuadas</v>
      </c>
      <c r="Z424" s="132" t="str">
        <f t="shared" si="27"/>
        <v>O23011745032024025508014</v>
      </c>
      <c r="AA424" s="132" t="str">
        <f>IFERROR(VLOOKUP(Y424,TD!$K$46:$L$64,2,0)," ")</f>
        <v>PM/0131/0108/45030140255</v>
      </c>
      <c r="AB424" s="57" t="s">
        <v>139</v>
      </c>
      <c r="AC424" s="133" t="s">
        <v>205</v>
      </c>
    </row>
    <row r="425" spans="2:29" s="28" customFormat="1" ht="57">
      <c r="B425" s="85">
        <v>20241083</v>
      </c>
      <c r="C425" s="53" t="s">
        <v>210</v>
      </c>
      <c r="D425" s="130" t="s">
        <v>167</v>
      </c>
      <c r="E425" s="54" t="s">
        <v>839</v>
      </c>
      <c r="F425" s="130" t="s">
        <v>750</v>
      </c>
      <c r="G425" s="130" t="s">
        <v>156</v>
      </c>
      <c r="H425" s="117">
        <v>80111600</v>
      </c>
      <c r="I425" s="131">
        <v>8</v>
      </c>
      <c r="J425" s="131">
        <v>5</v>
      </c>
      <c r="K425" s="56">
        <v>0</v>
      </c>
      <c r="L425" s="57">
        <v>41288800</v>
      </c>
      <c r="M425" s="130" t="s">
        <v>173</v>
      </c>
      <c r="N425" s="57" t="s">
        <v>114</v>
      </c>
      <c r="O425" s="54" t="s">
        <v>228</v>
      </c>
      <c r="P425" s="132" t="str">
        <f>IFERROR(VLOOKUP(C425,TD!$B$32:$F$36,2,0)," ")</f>
        <v>O230117</v>
      </c>
      <c r="Q425" s="132" t="str">
        <f>IFERROR(VLOOKUP(C425,TD!$B$32:$F$36,3,0)," ")</f>
        <v>4503</v>
      </c>
      <c r="R425" s="132">
        <f>IFERROR(VLOOKUP(C425,TD!$B$32:$F$36,4,0)," ")</f>
        <v>20240255</v>
      </c>
      <c r="S425" s="54" t="s">
        <v>186</v>
      </c>
      <c r="T425" s="132" t="str">
        <f>IFERROR(VLOOKUP(S425,TD!$J$33:$K$43,2,0)," ")</f>
        <v>Infraestructura física, mantenimiento y dotación (Sedes construidas, mantenidas reforzadas)</v>
      </c>
      <c r="U425" s="54" t="str">
        <f t="shared" si="24"/>
        <v>08-Infraestructura física, mantenimiento y dotación (Sedes construidas, mantenidas reforzadas)</v>
      </c>
      <c r="V425" s="54" t="s">
        <v>237</v>
      </c>
      <c r="W425" s="132" t="str">
        <f>IFERROR(VLOOKUP(V425,TD!$N$33:$O$45,2,0)," ")</f>
        <v>Estaciones de bomberos adecuadas</v>
      </c>
      <c r="X425" s="54" t="str">
        <f t="shared" si="25"/>
        <v>014_Estaciones de bomberos adecuadas</v>
      </c>
      <c r="Y425" s="54" t="str">
        <f t="shared" si="26"/>
        <v>08-Infraestructura física, mantenimiento y dotación (Sedes construidas, mantenidas reforzadas) 014_Estaciones de bomberos adecuadas</v>
      </c>
      <c r="Z425" s="132" t="str">
        <f t="shared" si="27"/>
        <v>O23011745032024025508014</v>
      </c>
      <c r="AA425" s="132" t="str">
        <f>IFERROR(VLOOKUP(Y425,TD!$K$46:$L$64,2,0)," ")</f>
        <v>PM/0131/0108/45030140255</v>
      </c>
      <c r="AB425" s="57" t="s">
        <v>139</v>
      </c>
      <c r="AC425" s="133" t="s">
        <v>205</v>
      </c>
    </row>
    <row r="426" spans="2:29" s="28" customFormat="1" ht="57">
      <c r="B426" s="85">
        <v>20241084</v>
      </c>
      <c r="C426" s="53" t="s">
        <v>210</v>
      </c>
      <c r="D426" s="130" t="s">
        <v>167</v>
      </c>
      <c r="E426" s="54" t="s">
        <v>839</v>
      </c>
      <c r="F426" s="130" t="s">
        <v>670</v>
      </c>
      <c r="G426" s="130" t="s">
        <v>156</v>
      </c>
      <c r="H426" s="117">
        <v>80111600</v>
      </c>
      <c r="I426" s="131">
        <v>8</v>
      </c>
      <c r="J426" s="131">
        <v>5</v>
      </c>
      <c r="K426" s="56">
        <v>0</v>
      </c>
      <c r="L426" s="57">
        <v>38460800</v>
      </c>
      <c r="M426" s="130" t="s">
        <v>173</v>
      </c>
      <c r="N426" s="57" t="s">
        <v>114</v>
      </c>
      <c r="O426" s="54" t="s">
        <v>228</v>
      </c>
      <c r="P426" s="132" t="str">
        <f>IFERROR(VLOOKUP(C426,TD!$B$32:$F$36,2,0)," ")</f>
        <v>O230117</v>
      </c>
      <c r="Q426" s="132" t="str">
        <f>IFERROR(VLOOKUP(C426,TD!$B$32:$F$36,3,0)," ")</f>
        <v>4503</v>
      </c>
      <c r="R426" s="132">
        <f>IFERROR(VLOOKUP(C426,TD!$B$32:$F$36,4,0)," ")</f>
        <v>20240255</v>
      </c>
      <c r="S426" s="54" t="s">
        <v>186</v>
      </c>
      <c r="T426" s="132" t="str">
        <f>IFERROR(VLOOKUP(S426,TD!$J$33:$K$43,2,0)," ")</f>
        <v>Infraestructura física, mantenimiento y dotación (Sedes construidas, mantenidas reforzadas)</v>
      </c>
      <c r="U426" s="54" t="str">
        <f t="shared" si="24"/>
        <v>08-Infraestructura física, mantenimiento y dotación (Sedes construidas, mantenidas reforzadas)</v>
      </c>
      <c r="V426" s="54" t="s">
        <v>237</v>
      </c>
      <c r="W426" s="132" t="str">
        <f>IFERROR(VLOOKUP(V426,TD!$N$33:$O$45,2,0)," ")</f>
        <v>Estaciones de bomberos adecuadas</v>
      </c>
      <c r="X426" s="54" t="str">
        <f t="shared" si="25"/>
        <v>014_Estaciones de bomberos adecuadas</v>
      </c>
      <c r="Y426" s="54" t="str">
        <f t="shared" si="26"/>
        <v>08-Infraestructura física, mantenimiento y dotación (Sedes construidas, mantenidas reforzadas) 014_Estaciones de bomberos adecuadas</v>
      </c>
      <c r="Z426" s="132" t="str">
        <f t="shared" si="27"/>
        <v>O23011745032024025508014</v>
      </c>
      <c r="AA426" s="132" t="str">
        <f>IFERROR(VLOOKUP(Y426,TD!$K$46:$L$64,2,0)," ")</f>
        <v>PM/0131/0108/45030140255</v>
      </c>
      <c r="AB426" s="57" t="s">
        <v>139</v>
      </c>
      <c r="AC426" s="133" t="s">
        <v>205</v>
      </c>
    </row>
    <row r="427" spans="2:29" s="28" customFormat="1" ht="57">
      <c r="B427" s="85">
        <v>20241085</v>
      </c>
      <c r="C427" s="53" t="s">
        <v>210</v>
      </c>
      <c r="D427" s="130" t="s">
        <v>167</v>
      </c>
      <c r="E427" s="54" t="s">
        <v>839</v>
      </c>
      <c r="F427" s="130" t="s">
        <v>670</v>
      </c>
      <c r="G427" s="130" t="s">
        <v>156</v>
      </c>
      <c r="H427" s="117">
        <v>80111600</v>
      </c>
      <c r="I427" s="131">
        <v>7</v>
      </c>
      <c r="J427" s="131">
        <v>5</v>
      </c>
      <c r="K427" s="56">
        <v>0</v>
      </c>
      <c r="L427" s="57">
        <v>38460800</v>
      </c>
      <c r="M427" s="130" t="s">
        <v>173</v>
      </c>
      <c r="N427" s="57" t="s">
        <v>114</v>
      </c>
      <c r="O427" s="54" t="s">
        <v>228</v>
      </c>
      <c r="P427" s="132" t="str">
        <f>IFERROR(VLOOKUP(C427,TD!$B$32:$F$36,2,0)," ")</f>
        <v>O230117</v>
      </c>
      <c r="Q427" s="132" t="str">
        <f>IFERROR(VLOOKUP(C427,TD!$B$32:$F$36,3,0)," ")</f>
        <v>4503</v>
      </c>
      <c r="R427" s="132">
        <f>IFERROR(VLOOKUP(C427,TD!$B$32:$F$36,4,0)," ")</f>
        <v>20240255</v>
      </c>
      <c r="S427" s="54" t="s">
        <v>186</v>
      </c>
      <c r="T427" s="132" t="str">
        <f>IFERROR(VLOOKUP(S427,TD!$J$33:$K$43,2,0)," ")</f>
        <v>Infraestructura física, mantenimiento y dotación (Sedes construidas, mantenidas reforzadas)</v>
      </c>
      <c r="U427" s="54" t="str">
        <f t="shared" si="24"/>
        <v>08-Infraestructura física, mantenimiento y dotación (Sedes construidas, mantenidas reforzadas)</v>
      </c>
      <c r="V427" s="54" t="s">
        <v>237</v>
      </c>
      <c r="W427" s="132" t="str">
        <f>IFERROR(VLOOKUP(V427,TD!$N$33:$O$45,2,0)," ")</f>
        <v>Estaciones de bomberos adecuadas</v>
      </c>
      <c r="X427" s="54" t="str">
        <f t="shared" si="25"/>
        <v>014_Estaciones de bomberos adecuadas</v>
      </c>
      <c r="Y427" s="54" t="str">
        <f t="shared" si="26"/>
        <v>08-Infraestructura física, mantenimiento y dotación (Sedes construidas, mantenidas reforzadas) 014_Estaciones de bomberos adecuadas</v>
      </c>
      <c r="Z427" s="132" t="str">
        <f t="shared" si="27"/>
        <v>O23011745032024025508014</v>
      </c>
      <c r="AA427" s="132" t="str">
        <f>IFERROR(VLOOKUP(Y427,TD!$K$46:$L$64,2,0)," ")</f>
        <v>PM/0131/0108/45030140255</v>
      </c>
      <c r="AB427" s="57" t="s">
        <v>139</v>
      </c>
      <c r="AC427" s="133" t="s">
        <v>205</v>
      </c>
    </row>
    <row r="428" spans="2:29" s="28" customFormat="1" ht="57">
      <c r="B428" s="85">
        <v>20241086</v>
      </c>
      <c r="C428" s="53" t="s">
        <v>209</v>
      </c>
      <c r="D428" s="130" t="s">
        <v>167</v>
      </c>
      <c r="E428" s="54" t="s">
        <v>839</v>
      </c>
      <c r="F428" s="130" t="s">
        <v>671</v>
      </c>
      <c r="G428" s="130" t="s">
        <v>156</v>
      </c>
      <c r="H428" s="117">
        <v>80111600</v>
      </c>
      <c r="I428" s="131">
        <v>8</v>
      </c>
      <c r="J428" s="131">
        <v>5</v>
      </c>
      <c r="K428" s="56">
        <v>0</v>
      </c>
      <c r="L428" s="57">
        <v>30000000</v>
      </c>
      <c r="M428" s="130" t="s">
        <v>173</v>
      </c>
      <c r="N428" s="57" t="s">
        <v>114</v>
      </c>
      <c r="O428" s="54" t="s">
        <v>219</v>
      </c>
      <c r="P428" s="132" t="str">
        <f>IFERROR(VLOOKUP(C428,TD!$B$32:$F$36,2,0)," ")</f>
        <v>O230117</v>
      </c>
      <c r="Q428" s="132" t="str">
        <f>IFERROR(VLOOKUP(C428,TD!$B$32:$F$36,3,0)," ")</f>
        <v>4599</v>
      </c>
      <c r="R428" s="132">
        <f>IFERROR(VLOOKUP(C428,TD!$B$32:$F$36,4,0)," ")</f>
        <v>20240207</v>
      </c>
      <c r="S428" s="54" t="s">
        <v>186</v>
      </c>
      <c r="T428" s="132" t="str">
        <f>IFERROR(VLOOKUP(S428,TD!$J$33:$K$43,2,0)," ")</f>
        <v>Infraestructura física, mantenimiento y dotación (Sedes construidas, mantenidas reforzadas)</v>
      </c>
      <c r="U428" s="54" t="str">
        <f t="shared" si="24"/>
        <v>08-Infraestructura física, mantenimiento y dotación (Sedes construidas, mantenidas reforzadas)</v>
      </c>
      <c r="V428" s="54" t="s">
        <v>239</v>
      </c>
      <c r="W428" s="132" t="str">
        <f>IFERROR(VLOOKUP(V428,TD!$N$33:$O$45,2,0)," ")</f>
        <v>Sedes mantenidas</v>
      </c>
      <c r="X428" s="54" t="str">
        <f t="shared" si="25"/>
        <v>016_Sedes mantenidas</v>
      </c>
      <c r="Y428" s="54" t="str">
        <f t="shared" si="26"/>
        <v>08-Infraestructura física, mantenimiento y dotación (Sedes construidas, mantenidas reforzadas) 016_Sedes mantenidas</v>
      </c>
      <c r="Z428" s="132" t="str">
        <f t="shared" si="27"/>
        <v>O23011745992024020708016</v>
      </c>
      <c r="AA428" s="132" t="str">
        <f>IFERROR(VLOOKUP(Y428,TD!$K$46:$L$64,2,0)," ")</f>
        <v>PM/0131/0108/45990160207</v>
      </c>
      <c r="AB428" s="57" t="s">
        <v>139</v>
      </c>
      <c r="AC428" s="133" t="s">
        <v>205</v>
      </c>
    </row>
    <row r="429" spans="2:29" s="28" customFormat="1" ht="57">
      <c r="B429" s="85">
        <v>20241087</v>
      </c>
      <c r="C429" s="53" t="s">
        <v>209</v>
      </c>
      <c r="D429" s="130" t="s">
        <v>167</v>
      </c>
      <c r="E429" s="54" t="s">
        <v>839</v>
      </c>
      <c r="F429" s="130" t="s">
        <v>573</v>
      </c>
      <c r="G429" s="130" t="s">
        <v>156</v>
      </c>
      <c r="H429" s="118" t="s">
        <v>587</v>
      </c>
      <c r="I429" s="131">
        <v>10</v>
      </c>
      <c r="J429" s="131">
        <v>1</v>
      </c>
      <c r="K429" s="56">
        <v>0</v>
      </c>
      <c r="L429" s="57">
        <v>9275840</v>
      </c>
      <c r="M429" s="130" t="s">
        <v>173</v>
      </c>
      <c r="N429" s="57" t="s">
        <v>114</v>
      </c>
      <c r="O429" s="54" t="s">
        <v>219</v>
      </c>
      <c r="P429" s="132" t="str">
        <f>IFERROR(VLOOKUP(C429,TD!$B$32:$F$36,2,0)," ")</f>
        <v>O230117</v>
      </c>
      <c r="Q429" s="132" t="str">
        <f>IFERROR(VLOOKUP(C429,TD!$B$32:$F$36,3,0)," ")</f>
        <v>4599</v>
      </c>
      <c r="R429" s="132">
        <f>IFERROR(VLOOKUP(C429,TD!$B$32:$F$36,4,0)," ")</f>
        <v>20240207</v>
      </c>
      <c r="S429" s="54" t="s">
        <v>186</v>
      </c>
      <c r="T429" s="132" t="str">
        <f>IFERROR(VLOOKUP(S429,TD!$J$33:$K$43,2,0)," ")</f>
        <v>Infraestructura física, mantenimiento y dotación (Sedes construidas, mantenidas reforzadas)</v>
      </c>
      <c r="U429" s="54" t="str">
        <f t="shared" si="24"/>
        <v>08-Infraestructura física, mantenimiento y dotación (Sedes construidas, mantenidas reforzadas)</v>
      </c>
      <c r="V429" s="54" t="s">
        <v>239</v>
      </c>
      <c r="W429" s="132" t="str">
        <f>IFERROR(VLOOKUP(V429,TD!$N$33:$O$45,2,0)," ")</f>
        <v>Sedes mantenidas</v>
      </c>
      <c r="X429" s="54" t="str">
        <f t="shared" si="25"/>
        <v>016_Sedes mantenidas</v>
      </c>
      <c r="Y429" s="54" t="str">
        <f t="shared" si="26"/>
        <v>08-Infraestructura física, mantenimiento y dotación (Sedes construidas, mantenidas reforzadas) 016_Sedes mantenidas</v>
      </c>
      <c r="Z429" s="132" t="str">
        <f t="shared" si="27"/>
        <v>O23011745992024020708016</v>
      </c>
      <c r="AA429" s="132" t="str">
        <f>IFERROR(VLOOKUP(Y429,TD!$K$46:$L$64,2,0)," ")</f>
        <v>PM/0131/0108/45990160207</v>
      </c>
      <c r="AB429" s="57" t="s">
        <v>139</v>
      </c>
      <c r="AC429" s="133" t="s">
        <v>206</v>
      </c>
    </row>
    <row r="430" spans="2:29" s="28" customFormat="1" ht="71.25">
      <c r="B430" s="85">
        <v>20241088</v>
      </c>
      <c r="C430" s="53" t="s">
        <v>210</v>
      </c>
      <c r="D430" s="130" t="s">
        <v>167</v>
      </c>
      <c r="E430" s="54" t="s">
        <v>839</v>
      </c>
      <c r="F430" s="130" t="s">
        <v>574</v>
      </c>
      <c r="G430" s="130" t="s">
        <v>156</v>
      </c>
      <c r="H430" s="118" t="s">
        <v>587</v>
      </c>
      <c r="I430" s="131">
        <v>8</v>
      </c>
      <c r="J430" s="131">
        <v>2</v>
      </c>
      <c r="K430" s="56">
        <v>20</v>
      </c>
      <c r="L430" s="57">
        <v>20933333</v>
      </c>
      <c r="M430" s="130" t="s">
        <v>173</v>
      </c>
      <c r="N430" s="57" t="s">
        <v>114</v>
      </c>
      <c r="O430" s="54" t="s">
        <v>228</v>
      </c>
      <c r="P430" s="132" t="str">
        <f>IFERROR(VLOOKUP(C430,TD!$B$32:$F$36,2,0)," ")</f>
        <v>O230117</v>
      </c>
      <c r="Q430" s="132" t="str">
        <f>IFERROR(VLOOKUP(C430,TD!$B$32:$F$36,3,0)," ")</f>
        <v>4503</v>
      </c>
      <c r="R430" s="132">
        <f>IFERROR(VLOOKUP(C430,TD!$B$32:$F$36,4,0)," ")</f>
        <v>20240255</v>
      </c>
      <c r="S430" s="54" t="s">
        <v>186</v>
      </c>
      <c r="T430" s="132" t="str">
        <f>IFERROR(VLOOKUP(S430,TD!$J$33:$K$43,2,0)," ")</f>
        <v>Infraestructura física, mantenimiento y dotación (Sedes construidas, mantenidas reforzadas)</v>
      </c>
      <c r="U430" s="54" t="str">
        <f t="shared" si="24"/>
        <v>08-Infraestructura física, mantenimiento y dotación (Sedes construidas, mantenidas reforzadas)</v>
      </c>
      <c r="V430" s="54" t="s">
        <v>237</v>
      </c>
      <c r="W430" s="132" t="str">
        <f>IFERROR(VLOOKUP(V430,TD!$N$33:$O$45,2,0)," ")</f>
        <v>Estaciones de bomberos adecuadas</v>
      </c>
      <c r="X430" s="54" t="str">
        <f t="shared" si="25"/>
        <v>014_Estaciones de bomberos adecuadas</v>
      </c>
      <c r="Y430" s="54" t="str">
        <f t="shared" si="26"/>
        <v>08-Infraestructura física, mantenimiento y dotación (Sedes construidas, mantenidas reforzadas) 014_Estaciones de bomberos adecuadas</v>
      </c>
      <c r="Z430" s="189" t="str">
        <f t="shared" si="27"/>
        <v>O23011745032024025508014</v>
      </c>
      <c r="AA430" s="191" t="str">
        <f>IFERROR(VLOOKUP(Y430,TD!$K$46:$L$64,2,0)," ")</f>
        <v>PM/0131/0108/45030140255</v>
      </c>
      <c r="AB430" s="192" t="s">
        <v>139</v>
      </c>
      <c r="AC430" s="194" t="s">
        <v>206</v>
      </c>
    </row>
    <row r="431" spans="2:29" s="28" customFormat="1" ht="57">
      <c r="B431" s="85">
        <v>20241089</v>
      </c>
      <c r="C431" s="53" t="s">
        <v>209</v>
      </c>
      <c r="D431" s="130" t="s">
        <v>167</v>
      </c>
      <c r="E431" s="54" t="s">
        <v>839</v>
      </c>
      <c r="F431" s="130" t="s">
        <v>575</v>
      </c>
      <c r="G431" s="130" t="s">
        <v>156</v>
      </c>
      <c r="H431" s="118" t="s">
        <v>587</v>
      </c>
      <c r="I431" s="131">
        <v>10</v>
      </c>
      <c r="J431" s="131">
        <v>1</v>
      </c>
      <c r="K431" s="56">
        <v>0</v>
      </c>
      <c r="L431" s="57">
        <v>8257760</v>
      </c>
      <c r="M431" s="130" t="s">
        <v>174</v>
      </c>
      <c r="N431" s="57" t="s">
        <v>114</v>
      </c>
      <c r="O431" s="54" t="s">
        <v>219</v>
      </c>
      <c r="P431" s="132" t="str">
        <f>IFERROR(VLOOKUP(C431,TD!$B$32:$F$36,2,0)," ")</f>
        <v>O230117</v>
      </c>
      <c r="Q431" s="132" t="str">
        <f>IFERROR(VLOOKUP(C431,TD!$B$32:$F$36,3,0)," ")</f>
        <v>4599</v>
      </c>
      <c r="R431" s="132">
        <f>IFERROR(VLOOKUP(C431,TD!$B$32:$F$36,4,0)," ")</f>
        <v>20240207</v>
      </c>
      <c r="S431" s="54" t="s">
        <v>186</v>
      </c>
      <c r="T431" s="132" t="str">
        <f>IFERROR(VLOOKUP(S431,TD!$J$33:$K$43,2,0)," ")</f>
        <v>Infraestructura física, mantenimiento y dotación (Sedes construidas, mantenidas reforzadas)</v>
      </c>
      <c r="U431" s="54" t="str">
        <f t="shared" si="24"/>
        <v>08-Infraestructura física, mantenimiento y dotación (Sedes construidas, mantenidas reforzadas)</v>
      </c>
      <c r="V431" s="54" t="s">
        <v>239</v>
      </c>
      <c r="W431" s="132" t="str">
        <f>IFERROR(VLOOKUP(V431,TD!$N$33:$O$45,2,0)," ")</f>
        <v>Sedes mantenidas</v>
      </c>
      <c r="X431" s="54" t="str">
        <f t="shared" si="25"/>
        <v>016_Sedes mantenidas</v>
      </c>
      <c r="Y431" s="54" t="str">
        <f t="shared" si="26"/>
        <v>08-Infraestructura física, mantenimiento y dotación (Sedes construidas, mantenidas reforzadas) 016_Sedes mantenidas</v>
      </c>
      <c r="Z431" s="132" t="str">
        <f t="shared" si="27"/>
        <v>O23011745992024020708016</v>
      </c>
      <c r="AA431" s="132" t="str">
        <f>IFERROR(VLOOKUP(Y431,TD!$K$46:$L$64,2,0)," ")</f>
        <v>PM/0131/0108/45990160207</v>
      </c>
      <c r="AB431" s="57" t="s">
        <v>139</v>
      </c>
      <c r="AC431" s="133" t="s">
        <v>206</v>
      </c>
    </row>
    <row r="432" spans="2:29" s="28" customFormat="1" ht="57">
      <c r="B432" s="85">
        <v>20241090</v>
      </c>
      <c r="C432" s="53" t="s">
        <v>210</v>
      </c>
      <c r="D432" s="130" t="s">
        <v>167</v>
      </c>
      <c r="E432" s="54" t="s">
        <v>839</v>
      </c>
      <c r="F432" s="130" t="s">
        <v>672</v>
      </c>
      <c r="G432" s="130" t="s">
        <v>156</v>
      </c>
      <c r="H432" s="117">
        <v>80111600</v>
      </c>
      <c r="I432" s="131">
        <v>8</v>
      </c>
      <c r="J432" s="131">
        <v>5</v>
      </c>
      <c r="K432" s="56">
        <v>0</v>
      </c>
      <c r="L432" s="57">
        <v>30000000</v>
      </c>
      <c r="M432" s="130" t="s">
        <v>173</v>
      </c>
      <c r="N432" s="57" t="s">
        <v>114</v>
      </c>
      <c r="O432" s="54" t="s">
        <v>228</v>
      </c>
      <c r="P432" s="132" t="str">
        <f>IFERROR(VLOOKUP(C432,TD!$B$32:$F$36,2,0)," ")</f>
        <v>O230117</v>
      </c>
      <c r="Q432" s="132" t="str">
        <f>IFERROR(VLOOKUP(C432,TD!$B$32:$F$36,3,0)," ")</f>
        <v>4503</v>
      </c>
      <c r="R432" s="132">
        <f>IFERROR(VLOOKUP(C432,TD!$B$32:$F$36,4,0)," ")</f>
        <v>20240255</v>
      </c>
      <c r="S432" s="54" t="s">
        <v>186</v>
      </c>
      <c r="T432" s="132" t="str">
        <f>IFERROR(VLOOKUP(S432,TD!$J$33:$K$43,2,0)," ")</f>
        <v>Infraestructura física, mantenimiento y dotación (Sedes construidas, mantenidas reforzadas)</v>
      </c>
      <c r="U432" s="54" t="str">
        <f t="shared" si="24"/>
        <v>08-Infraestructura física, mantenimiento y dotación (Sedes construidas, mantenidas reforzadas)</v>
      </c>
      <c r="V432" s="54" t="s">
        <v>237</v>
      </c>
      <c r="W432" s="132" t="str">
        <f>IFERROR(VLOOKUP(V432,TD!$N$33:$O$45,2,0)," ")</f>
        <v>Estaciones de bomberos adecuadas</v>
      </c>
      <c r="X432" s="54" t="str">
        <f t="shared" si="25"/>
        <v>014_Estaciones de bomberos adecuadas</v>
      </c>
      <c r="Y432" s="54" t="str">
        <f t="shared" si="26"/>
        <v>08-Infraestructura física, mantenimiento y dotación (Sedes construidas, mantenidas reforzadas) 014_Estaciones de bomberos adecuadas</v>
      </c>
      <c r="Z432" s="132" t="str">
        <f t="shared" si="27"/>
        <v>O23011745032024025508014</v>
      </c>
      <c r="AA432" s="132" t="str">
        <f>IFERROR(VLOOKUP(Y432,TD!$K$46:$L$64,2,0)," ")</f>
        <v>PM/0131/0108/45030140255</v>
      </c>
      <c r="AB432" s="57" t="s">
        <v>139</v>
      </c>
      <c r="AC432" s="133" t="s">
        <v>205</v>
      </c>
    </row>
    <row r="433" spans="2:29" s="28" customFormat="1" ht="57">
      <c r="B433" s="85">
        <v>20241091</v>
      </c>
      <c r="C433" s="53" t="s">
        <v>209</v>
      </c>
      <c r="D433" s="130" t="s">
        <v>167</v>
      </c>
      <c r="E433" s="54" t="s">
        <v>839</v>
      </c>
      <c r="F433" s="130" t="s">
        <v>673</v>
      </c>
      <c r="G433" s="130" t="s">
        <v>156</v>
      </c>
      <c r="H433" s="117">
        <v>80111600</v>
      </c>
      <c r="I433" s="131">
        <v>8</v>
      </c>
      <c r="J433" s="131">
        <v>4</v>
      </c>
      <c r="K433" s="56">
        <v>0</v>
      </c>
      <c r="L433" s="57">
        <v>21400000</v>
      </c>
      <c r="M433" s="130" t="s">
        <v>173</v>
      </c>
      <c r="N433" s="57" t="s">
        <v>114</v>
      </c>
      <c r="O433" s="54" t="s">
        <v>219</v>
      </c>
      <c r="P433" s="132" t="str">
        <f>IFERROR(VLOOKUP(C433,TD!$B$32:$F$36,2,0)," ")</f>
        <v>O230117</v>
      </c>
      <c r="Q433" s="132" t="str">
        <f>IFERROR(VLOOKUP(C433,TD!$B$32:$F$36,3,0)," ")</f>
        <v>4599</v>
      </c>
      <c r="R433" s="132">
        <f>IFERROR(VLOOKUP(C433,TD!$B$32:$F$36,4,0)," ")</f>
        <v>20240207</v>
      </c>
      <c r="S433" s="54" t="s">
        <v>186</v>
      </c>
      <c r="T433" s="132" t="str">
        <f>IFERROR(VLOOKUP(S433,TD!$J$33:$K$43,2,0)," ")</f>
        <v>Infraestructura física, mantenimiento y dotación (Sedes construidas, mantenidas reforzadas)</v>
      </c>
      <c r="U433" s="54" t="str">
        <f t="shared" si="24"/>
        <v>08-Infraestructura física, mantenimiento y dotación (Sedes construidas, mantenidas reforzadas)</v>
      </c>
      <c r="V433" s="54" t="s">
        <v>239</v>
      </c>
      <c r="W433" s="132" t="str">
        <f>IFERROR(VLOOKUP(V433,TD!$N$33:$O$45,2,0)," ")</f>
        <v>Sedes mantenidas</v>
      </c>
      <c r="X433" s="54" t="str">
        <f t="shared" si="25"/>
        <v>016_Sedes mantenidas</v>
      </c>
      <c r="Y433" s="54" t="str">
        <f t="shared" si="26"/>
        <v>08-Infraestructura física, mantenimiento y dotación (Sedes construidas, mantenidas reforzadas) 016_Sedes mantenidas</v>
      </c>
      <c r="Z433" s="132" t="str">
        <f t="shared" si="27"/>
        <v>O23011745992024020708016</v>
      </c>
      <c r="AA433" s="132" t="str">
        <f>IFERROR(VLOOKUP(Y433,TD!$K$46:$L$64,2,0)," ")</f>
        <v>PM/0131/0108/45990160207</v>
      </c>
      <c r="AB433" s="57" t="s">
        <v>139</v>
      </c>
      <c r="AC433" s="133" t="s">
        <v>205</v>
      </c>
    </row>
    <row r="434" spans="2:29" s="28" customFormat="1" ht="57">
      <c r="B434" s="85">
        <v>20241092</v>
      </c>
      <c r="C434" s="53" t="s">
        <v>209</v>
      </c>
      <c r="D434" s="130" t="s">
        <v>167</v>
      </c>
      <c r="E434" s="54" t="s">
        <v>839</v>
      </c>
      <c r="F434" s="130" t="s">
        <v>674</v>
      </c>
      <c r="G434" s="130" t="s">
        <v>156</v>
      </c>
      <c r="H434" s="117">
        <v>80111600</v>
      </c>
      <c r="I434" s="131">
        <v>8</v>
      </c>
      <c r="J434" s="131">
        <v>4</v>
      </c>
      <c r="K434" s="56">
        <v>0</v>
      </c>
      <c r="L434" s="57">
        <v>27200000</v>
      </c>
      <c r="M434" s="130" t="s">
        <v>173</v>
      </c>
      <c r="N434" s="57" t="s">
        <v>114</v>
      </c>
      <c r="O434" s="54" t="s">
        <v>219</v>
      </c>
      <c r="P434" s="132" t="str">
        <f>IFERROR(VLOOKUP(C434,TD!$B$32:$F$36,2,0)," ")</f>
        <v>O230117</v>
      </c>
      <c r="Q434" s="132" t="str">
        <f>IFERROR(VLOOKUP(C434,TD!$B$32:$F$36,3,0)," ")</f>
        <v>4599</v>
      </c>
      <c r="R434" s="132">
        <f>IFERROR(VLOOKUP(C434,TD!$B$32:$F$36,4,0)," ")</f>
        <v>20240207</v>
      </c>
      <c r="S434" s="54" t="s">
        <v>186</v>
      </c>
      <c r="T434" s="132" t="str">
        <f>IFERROR(VLOOKUP(S434,TD!$J$33:$K$43,2,0)," ")</f>
        <v>Infraestructura física, mantenimiento y dotación (Sedes construidas, mantenidas reforzadas)</v>
      </c>
      <c r="U434" s="54" t="str">
        <f t="shared" si="24"/>
        <v>08-Infraestructura física, mantenimiento y dotación (Sedes construidas, mantenidas reforzadas)</v>
      </c>
      <c r="V434" s="54" t="s">
        <v>239</v>
      </c>
      <c r="W434" s="132" t="str">
        <f>IFERROR(VLOOKUP(V434,TD!$N$33:$O$45,2,0)," ")</f>
        <v>Sedes mantenidas</v>
      </c>
      <c r="X434" s="54" t="str">
        <f t="shared" si="25"/>
        <v>016_Sedes mantenidas</v>
      </c>
      <c r="Y434" s="54" t="str">
        <f t="shared" si="26"/>
        <v>08-Infraestructura física, mantenimiento y dotación (Sedes construidas, mantenidas reforzadas) 016_Sedes mantenidas</v>
      </c>
      <c r="Z434" s="132" t="str">
        <f t="shared" si="27"/>
        <v>O23011745992024020708016</v>
      </c>
      <c r="AA434" s="132" t="str">
        <f>IFERROR(VLOOKUP(Y434,TD!$K$46:$L$64,2,0)," ")</f>
        <v>PM/0131/0108/45990160207</v>
      </c>
      <c r="AB434" s="57" t="s">
        <v>139</v>
      </c>
      <c r="AC434" s="133" t="s">
        <v>205</v>
      </c>
    </row>
    <row r="435" spans="2:29" s="28" customFormat="1" ht="57">
      <c r="B435" s="85">
        <v>20241093</v>
      </c>
      <c r="C435" s="53" t="s">
        <v>209</v>
      </c>
      <c r="D435" s="130" t="s">
        <v>167</v>
      </c>
      <c r="E435" s="54" t="s">
        <v>839</v>
      </c>
      <c r="F435" s="130" t="s">
        <v>675</v>
      </c>
      <c r="G435" s="130" t="s">
        <v>156</v>
      </c>
      <c r="H435" s="117">
        <v>80111600</v>
      </c>
      <c r="I435" s="131">
        <v>8</v>
      </c>
      <c r="J435" s="131">
        <v>4</v>
      </c>
      <c r="K435" s="56">
        <v>0</v>
      </c>
      <c r="L435" s="57">
        <v>24886400</v>
      </c>
      <c r="M435" s="130" t="s">
        <v>173</v>
      </c>
      <c r="N435" s="57" t="s">
        <v>114</v>
      </c>
      <c r="O435" s="54" t="s">
        <v>219</v>
      </c>
      <c r="P435" s="132" t="str">
        <f>IFERROR(VLOOKUP(C435,TD!$B$32:$F$36,2,0)," ")</f>
        <v>O230117</v>
      </c>
      <c r="Q435" s="132" t="str">
        <f>IFERROR(VLOOKUP(C435,TD!$B$32:$F$36,3,0)," ")</f>
        <v>4599</v>
      </c>
      <c r="R435" s="132">
        <f>IFERROR(VLOOKUP(C435,TD!$B$32:$F$36,4,0)," ")</f>
        <v>20240207</v>
      </c>
      <c r="S435" s="54" t="s">
        <v>186</v>
      </c>
      <c r="T435" s="132" t="str">
        <f>IFERROR(VLOOKUP(S435,TD!$J$33:$K$43,2,0)," ")</f>
        <v>Infraestructura física, mantenimiento y dotación (Sedes construidas, mantenidas reforzadas)</v>
      </c>
      <c r="U435" s="54" t="str">
        <f t="shared" si="24"/>
        <v>08-Infraestructura física, mantenimiento y dotación (Sedes construidas, mantenidas reforzadas)</v>
      </c>
      <c r="V435" s="54" t="s">
        <v>239</v>
      </c>
      <c r="W435" s="132" t="str">
        <f>IFERROR(VLOOKUP(V435,TD!$N$33:$O$45,2,0)," ")</f>
        <v>Sedes mantenidas</v>
      </c>
      <c r="X435" s="54" t="str">
        <f t="shared" si="25"/>
        <v>016_Sedes mantenidas</v>
      </c>
      <c r="Y435" s="54" t="str">
        <f t="shared" si="26"/>
        <v>08-Infraestructura física, mantenimiento y dotación (Sedes construidas, mantenidas reforzadas) 016_Sedes mantenidas</v>
      </c>
      <c r="Z435" s="132" t="str">
        <f t="shared" si="27"/>
        <v>O23011745992024020708016</v>
      </c>
      <c r="AA435" s="132" t="str">
        <f>IFERROR(VLOOKUP(Y435,TD!$K$46:$L$64,2,0)," ")</f>
        <v>PM/0131/0108/45990160207</v>
      </c>
      <c r="AB435" s="57" t="s">
        <v>139</v>
      </c>
      <c r="AC435" s="133" t="s">
        <v>205</v>
      </c>
    </row>
    <row r="436" spans="2:29" s="28" customFormat="1" ht="57">
      <c r="B436" s="85">
        <v>20241094</v>
      </c>
      <c r="C436" s="53" t="s">
        <v>209</v>
      </c>
      <c r="D436" s="130" t="s">
        <v>167</v>
      </c>
      <c r="E436" s="54" t="s">
        <v>839</v>
      </c>
      <c r="F436" s="130" t="s">
        <v>676</v>
      </c>
      <c r="G436" s="130" t="s">
        <v>156</v>
      </c>
      <c r="H436" s="117">
        <v>80111600</v>
      </c>
      <c r="I436" s="131">
        <v>8</v>
      </c>
      <c r="J436" s="131">
        <v>1</v>
      </c>
      <c r="K436" s="56">
        <v>0</v>
      </c>
      <c r="L436" s="57">
        <v>9275840</v>
      </c>
      <c r="M436" s="130" t="s">
        <v>173</v>
      </c>
      <c r="N436" s="57" t="s">
        <v>114</v>
      </c>
      <c r="O436" s="54" t="s">
        <v>219</v>
      </c>
      <c r="P436" s="132" t="str">
        <f>IFERROR(VLOOKUP(C436,TD!$B$32:$F$36,2,0)," ")</f>
        <v>O230117</v>
      </c>
      <c r="Q436" s="132" t="str">
        <f>IFERROR(VLOOKUP(C436,TD!$B$32:$F$36,3,0)," ")</f>
        <v>4599</v>
      </c>
      <c r="R436" s="132">
        <f>IFERROR(VLOOKUP(C436,TD!$B$32:$F$36,4,0)," ")</f>
        <v>20240207</v>
      </c>
      <c r="S436" s="54" t="s">
        <v>186</v>
      </c>
      <c r="T436" s="132" t="str">
        <f>IFERROR(VLOOKUP(S436,TD!$J$33:$K$43,2,0)," ")</f>
        <v>Infraestructura física, mantenimiento y dotación (Sedes construidas, mantenidas reforzadas)</v>
      </c>
      <c r="U436" s="54" t="str">
        <f t="shared" si="24"/>
        <v>08-Infraestructura física, mantenimiento y dotación (Sedes construidas, mantenidas reforzadas)</v>
      </c>
      <c r="V436" s="54" t="s">
        <v>239</v>
      </c>
      <c r="W436" s="132" t="str">
        <f>IFERROR(VLOOKUP(V436,TD!$N$33:$O$45,2,0)," ")</f>
        <v>Sedes mantenidas</v>
      </c>
      <c r="X436" s="54" t="str">
        <f t="shared" si="25"/>
        <v>016_Sedes mantenidas</v>
      </c>
      <c r="Y436" s="54" t="str">
        <f t="shared" si="26"/>
        <v>08-Infraestructura física, mantenimiento y dotación (Sedes construidas, mantenidas reforzadas) 016_Sedes mantenidas</v>
      </c>
      <c r="Z436" s="132" t="str">
        <f t="shared" si="27"/>
        <v>O23011745992024020708016</v>
      </c>
      <c r="AA436" s="132" t="str">
        <f>IFERROR(VLOOKUP(Y436,TD!$K$46:$L$64,2,0)," ")</f>
        <v>PM/0131/0108/45990160207</v>
      </c>
      <c r="AB436" s="57" t="s">
        <v>121</v>
      </c>
      <c r="AC436" s="133" t="s">
        <v>205</v>
      </c>
    </row>
    <row r="437" spans="2:29" s="28" customFormat="1" ht="57">
      <c r="B437" s="85">
        <v>20241095</v>
      </c>
      <c r="C437" s="53" t="s">
        <v>209</v>
      </c>
      <c r="D437" s="130" t="s">
        <v>167</v>
      </c>
      <c r="E437" s="54" t="s">
        <v>839</v>
      </c>
      <c r="F437" s="130" t="s">
        <v>670</v>
      </c>
      <c r="G437" s="130" t="s">
        <v>156</v>
      </c>
      <c r="H437" s="117">
        <v>80111600</v>
      </c>
      <c r="I437" s="131">
        <v>10</v>
      </c>
      <c r="J437" s="131">
        <v>3</v>
      </c>
      <c r="K437" s="56">
        <v>15</v>
      </c>
      <c r="L437" s="57">
        <f>25000000+11500000-4034560</f>
        <v>32465440</v>
      </c>
      <c r="M437" s="130" t="s">
        <v>173</v>
      </c>
      <c r="N437" s="57" t="s">
        <v>114</v>
      </c>
      <c r="O437" s="54" t="s">
        <v>219</v>
      </c>
      <c r="P437" s="132" t="str">
        <f>IFERROR(VLOOKUP(C437,TD!$B$32:$F$36,2,0)," ")</f>
        <v>O230117</v>
      </c>
      <c r="Q437" s="132" t="str">
        <f>IFERROR(VLOOKUP(C437,TD!$B$32:$F$36,3,0)," ")</f>
        <v>4599</v>
      </c>
      <c r="R437" s="132">
        <f>IFERROR(VLOOKUP(C437,TD!$B$32:$F$36,4,0)," ")</f>
        <v>20240207</v>
      </c>
      <c r="S437" s="54" t="s">
        <v>186</v>
      </c>
      <c r="T437" s="132" t="str">
        <f>IFERROR(VLOOKUP(S437,TD!$J$33:$K$43,2,0)," ")</f>
        <v>Infraestructura física, mantenimiento y dotación (Sedes construidas, mantenidas reforzadas)</v>
      </c>
      <c r="U437" s="54" t="str">
        <f t="shared" si="24"/>
        <v>08-Infraestructura física, mantenimiento y dotación (Sedes construidas, mantenidas reforzadas)</v>
      </c>
      <c r="V437" s="54" t="s">
        <v>239</v>
      </c>
      <c r="W437" s="132" t="str">
        <f>IFERROR(VLOOKUP(V437,TD!$N$33:$O$45,2,0)," ")</f>
        <v>Sedes mantenidas</v>
      </c>
      <c r="X437" s="54" t="str">
        <f t="shared" si="25"/>
        <v>016_Sedes mantenidas</v>
      </c>
      <c r="Y437" s="54" t="str">
        <f t="shared" si="26"/>
        <v>08-Infraestructura física, mantenimiento y dotación (Sedes construidas, mantenidas reforzadas) 016_Sedes mantenidas</v>
      </c>
      <c r="Z437" s="132" t="str">
        <f t="shared" si="27"/>
        <v>O23011745992024020708016</v>
      </c>
      <c r="AA437" s="132" t="str">
        <f>IFERROR(VLOOKUP(Y437,TD!$K$46:$L$64,2,0)," ")</f>
        <v>PM/0131/0108/45990160207</v>
      </c>
      <c r="AB437" s="57" t="s">
        <v>139</v>
      </c>
      <c r="AC437" s="133" t="s">
        <v>205</v>
      </c>
    </row>
    <row r="438" spans="2:29" s="28" customFormat="1" ht="57">
      <c r="B438" s="85">
        <v>20241096</v>
      </c>
      <c r="C438" s="53" t="s">
        <v>209</v>
      </c>
      <c r="D438" s="130" t="s">
        <v>167</v>
      </c>
      <c r="E438" s="54" t="s">
        <v>839</v>
      </c>
      <c r="F438" s="130" t="s">
        <v>677</v>
      </c>
      <c r="G438" s="130" t="s">
        <v>156</v>
      </c>
      <c r="H438" s="117">
        <v>80111600</v>
      </c>
      <c r="I438" s="131">
        <v>8</v>
      </c>
      <c r="J438" s="131">
        <v>5</v>
      </c>
      <c r="K438" s="56">
        <v>0</v>
      </c>
      <c r="L438" s="57">
        <v>24075000</v>
      </c>
      <c r="M438" s="130" t="s">
        <v>173</v>
      </c>
      <c r="N438" s="57" t="s">
        <v>114</v>
      </c>
      <c r="O438" s="54" t="s">
        <v>219</v>
      </c>
      <c r="P438" s="132" t="str">
        <f>IFERROR(VLOOKUP(C438,TD!$B$32:$F$36,2,0)," ")</f>
        <v>O230117</v>
      </c>
      <c r="Q438" s="132" t="str">
        <f>IFERROR(VLOOKUP(C438,TD!$B$32:$F$36,3,0)," ")</f>
        <v>4599</v>
      </c>
      <c r="R438" s="132">
        <f>IFERROR(VLOOKUP(C438,TD!$B$32:$F$36,4,0)," ")</f>
        <v>20240207</v>
      </c>
      <c r="S438" s="54" t="s">
        <v>186</v>
      </c>
      <c r="T438" s="132" t="str">
        <f>IFERROR(VLOOKUP(S438,TD!$J$33:$K$43,2,0)," ")</f>
        <v>Infraestructura física, mantenimiento y dotación (Sedes construidas, mantenidas reforzadas)</v>
      </c>
      <c r="U438" s="54" t="str">
        <f t="shared" si="24"/>
        <v>08-Infraestructura física, mantenimiento y dotación (Sedes construidas, mantenidas reforzadas)</v>
      </c>
      <c r="V438" s="54" t="s">
        <v>239</v>
      </c>
      <c r="W438" s="132" t="str">
        <f>IFERROR(VLOOKUP(V438,TD!$N$33:$O$45,2,0)," ")</f>
        <v>Sedes mantenidas</v>
      </c>
      <c r="X438" s="54" t="str">
        <f t="shared" si="25"/>
        <v>016_Sedes mantenidas</v>
      </c>
      <c r="Y438" s="54" t="str">
        <f t="shared" si="26"/>
        <v>08-Infraestructura física, mantenimiento y dotación (Sedes construidas, mantenidas reforzadas) 016_Sedes mantenidas</v>
      </c>
      <c r="Z438" s="132" t="str">
        <f t="shared" si="27"/>
        <v>O23011745992024020708016</v>
      </c>
      <c r="AA438" s="132" t="str">
        <f>IFERROR(VLOOKUP(Y438,TD!$K$46:$L$64,2,0)," ")</f>
        <v>PM/0131/0108/45990160207</v>
      </c>
      <c r="AB438" s="57" t="s">
        <v>139</v>
      </c>
      <c r="AC438" s="133" t="s">
        <v>205</v>
      </c>
    </row>
    <row r="439" spans="2:29" s="28" customFormat="1" ht="71.25">
      <c r="B439" s="85">
        <v>20241097</v>
      </c>
      <c r="C439" s="53" t="s">
        <v>209</v>
      </c>
      <c r="D439" s="130" t="s">
        <v>167</v>
      </c>
      <c r="E439" s="54" t="s">
        <v>839</v>
      </c>
      <c r="F439" s="130" t="s">
        <v>576</v>
      </c>
      <c r="G439" s="130" t="s">
        <v>157</v>
      </c>
      <c r="H439" s="118" t="s">
        <v>587</v>
      </c>
      <c r="I439" s="131">
        <v>10</v>
      </c>
      <c r="J439" s="131">
        <v>1</v>
      </c>
      <c r="K439" s="56">
        <v>0</v>
      </c>
      <c r="L439" s="57">
        <v>2771440</v>
      </c>
      <c r="M439" s="130" t="s">
        <v>173</v>
      </c>
      <c r="N439" s="57" t="s">
        <v>114</v>
      </c>
      <c r="O439" s="54" t="s">
        <v>219</v>
      </c>
      <c r="P439" s="132" t="str">
        <f>IFERROR(VLOOKUP(C439,TD!$B$32:$F$36,2,0)," ")</f>
        <v>O230117</v>
      </c>
      <c r="Q439" s="132" t="str">
        <f>IFERROR(VLOOKUP(C439,TD!$B$32:$F$36,3,0)," ")</f>
        <v>4599</v>
      </c>
      <c r="R439" s="132">
        <f>IFERROR(VLOOKUP(C439,TD!$B$32:$F$36,4,0)," ")</f>
        <v>20240207</v>
      </c>
      <c r="S439" s="54" t="s">
        <v>186</v>
      </c>
      <c r="T439" s="132" t="str">
        <f>IFERROR(VLOOKUP(S439,TD!$J$33:$K$43,2,0)," ")</f>
        <v>Infraestructura física, mantenimiento y dotación (Sedes construidas, mantenidas reforzadas)</v>
      </c>
      <c r="U439" s="54" t="str">
        <f t="shared" si="24"/>
        <v>08-Infraestructura física, mantenimiento y dotación (Sedes construidas, mantenidas reforzadas)</v>
      </c>
      <c r="V439" s="54" t="s">
        <v>239</v>
      </c>
      <c r="W439" s="132" t="str">
        <f>IFERROR(VLOOKUP(V439,TD!$N$33:$O$45,2,0)," ")</f>
        <v>Sedes mantenidas</v>
      </c>
      <c r="X439" s="54" t="str">
        <f t="shared" si="25"/>
        <v>016_Sedes mantenidas</v>
      </c>
      <c r="Y439" s="54" t="str">
        <f t="shared" si="26"/>
        <v>08-Infraestructura física, mantenimiento y dotación (Sedes construidas, mantenidas reforzadas) 016_Sedes mantenidas</v>
      </c>
      <c r="Z439" s="132" t="str">
        <f t="shared" si="27"/>
        <v>O23011745992024020708016</v>
      </c>
      <c r="AA439" s="132" t="str">
        <f>IFERROR(VLOOKUP(Y439,TD!$K$46:$L$64,2,0)," ")</f>
        <v>PM/0131/0108/45990160207</v>
      </c>
      <c r="AB439" s="57" t="s">
        <v>139</v>
      </c>
      <c r="AC439" s="133" t="s">
        <v>206</v>
      </c>
    </row>
    <row r="440" spans="2:29" s="28" customFormat="1" ht="71.25">
      <c r="B440" s="85">
        <v>20241098</v>
      </c>
      <c r="C440" s="53" t="s">
        <v>209</v>
      </c>
      <c r="D440" s="130" t="s">
        <v>167</v>
      </c>
      <c r="E440" s="54" t="s">
        <v>839</v>
      </c>
      <c r="F440" s="130" t="s">
        <v>577</v>
      </c>
      <c r="G440" s="130" t="s">
        <v>157</v>
      </c>
      <c r="H440" s="118" t="s">
        <v>587</v>
      </c>
      <c r="I440" s="131">
        <v>10</v>
      </c>
      <c r="J440" s="131">
        <v>1</v>
      </c>
      <c r="K440" s="56">
        <v>0</v>
      </c>
      <c r="L440" s="57">
        <v>2771440</v>
      </c>
      <c r="M440" s="130" t="s">
        <v>173</v>
      </c>
      <c r="N440" s="57" t="s">
        <v>114</v>
      </c>
      <c r="O440" s="54" t="s">
        <v>219</v>
      </c>
      <c r="P440" s="132" t="str">
        <f>IFERROR(VLOOKUP(C440,TD!$B$32:$F$36,2,0)," ")</f>
        <v>O230117</v>
      </c>
      <c r="Q440" s="132" t="str">
        <f>IFERROR(VLOOKUP(C440,TD!$B$32:$F$36,3,0)," ")</f>
        <v>4599</v>
      </c>
      <c r="R440" s="132">
        <f>IFERROR(VLOOKUP(C440,TD!$B$32:$F$36,4,0)," ")</f>
        <v>20240207</v>
      </c>
      <c r="S440" s="54" t="s">
        <v>186</v>
      </c>
      <c r="T440" s="132" t="str">
        <f>IFERROR(VLOOKUP(S440,TD!$J$33:$K$43,2,0)," ")</f>
        <v>Infraestructura física, mantenimiento y dotación (Sedes construidas, mantenidas reforzadas)</v>
      </c>
      <c r="U440" s="54" t="str">
        <f t="shared" si="24"/>
        <v>08-Infraestructura física, mantenimiento y dotación (Sedes construidas, mantenidas reforzadas)</v>
      </c>
      <c r="V440" s="54" t="s">
        <v>239</v>
      </c>
      <c r="W440" s="132" t="str">
        <f>IFERROR(VLOOKUP(V440,TD!$N$33:$O$45,2,0)," ")</f>
        <v>Sedes mantenidas</v>
      </c>
      <c r="X440" s="54" t="str">
        <f t="shared" si="25"/>
        <v>016_Sedes mantenidas</v>
      </c>
      <c r="Y440" s="54" t="str">
        <f t="shared" si="26"/>
        <v>08-Infraestructura física, mantenimiento y dotación (Sedes construidas, mantenidas reforzadas) 016_Sedes mantenidas</v>
      </c>
      <c r="Z440" s="132" t="str">
        <f t="shared" si="27"/>
        <v>O23011745992024020708016</v>
      </c>
      <c r="AA440" s="132" t="str">
        <f>IFERROR(VLOOKUP(Y440,TD!$K$46:$L$64,2,0)," ")</f>
        <v>PM/0131/0108/45990160207</v>
      </c>
      <c r="AB440" s="57" t="s">
        <v>139</v>
      </c>
      <c r="AC440" s="133" t="s">
        <v>206</v>
      </c>
    </row>
    <row r="441" spans="2:29" s="28" customFormat="1" ht="71.25">
      <c r="B441" s="85">
        <v>20241099</v>
      </c>
      <c r="C441" s="53" t="s">
        <v>209</v>
      </c>
      <c r="D441" s="130" t="s">
        <v>167</v>
      </c>
      <c r="E441" s="54" t="s">
        <v>839</v>
      </c>
      <c r="F441" s="130" t="s">
        <v>578</v>
      </c>
      <c r="G441" s="130" t="s">
        <v>157</v>
      </c>
      <c r="H441" s="118" t="s">
        <v>587</v>
      </c>
      <c r="I441" s="131">
        <v>10</v>
      </c>
      <c r="J441" s="131">
        <v>1</v>
      </c>
      <c r="K441" s="56">
        <v>0</v>
      </c>
      <c r="L441" s="57">
        <v>2771440</v>
      </c>
      <c r="M441" s="130" t="s">
        <v>173</v>
      </c>
      <c r="N441" s="57" t="s">
        <v>114</v>
      </c>
      <c r="O441" s="54" t="s">
        <v>219</v>
      </c>
      <c r="P441" s="132" t="str">
        <f>IFERROR(VLOOKUP(C441,TD!$B$32:$F$36,2,0)," ")</f>
        <v>O230117</v>
      </c>
      <c r="Q441" s="132" t="str">
        <f>IFERROR(VLOOKUP(C441,TD!$B$32:$F$36,3,0)," ")</f>
        <v>4599</v>
      </c>
      <c r="R441" s="132">
        <f>IFERROR(VLOOKUP(C441,TD!$B$32:$F$36,4,0)," ")</f>
        <v>20240207</v>
      </c>
      <c r="S441" s="54" t="s">
        <v>186</v>
      </c>
      <c r="T441" s="132" t="str">
        <f>IFERROR(VLOOKUP(S441,TD!$J$33:$K$43,2,0)," ")</f>
        <v>Infraestructura física, mantenimiento y dotación (Sedes construidas, mantenidas reforzadas)</v>
      </c>
      <c r="U441" s="54" t="str">
        <f t="shared" si="24"/>
        <v>08-Infraestructura física, mantenimiento y dotación (Sedes construidas, mantenidas reforzadas)</v>
      </c>
      <c r="V441" s="54" t="s">
        <v>239</v>
      </c>
      <c r="W441" s="132" t="str">
        <f>IFERROR(VLOOKUP(V441,TD!$N$33:$O$45,2,0)," ")</f>
        <v>Sedes mantenidas</v>
      </c>
      <c r="X441" s="54" t="str">
        <f t="shared" si="25"/>
        <v>016_Sedes mantenidas</v>
      </c>
      <c r="Y441" s="54" t="str">
        <f t="shared" si="26"/>
        <v>08-Infraestructura física, mantenimiento y dotación (Sedes construidas, mantenidas reforzadas) 016_Sedes mantenidas</v>
      </c>
      <c r="Z441" s="132" t="str">
        <f t="shared" si="27"/>
        <v>O23011745992024020708016</v>
      </c>
      <c r="AA441" s="132" t="str">
        <f>IFERROR(VLOOKUP(Y441,TD!$K$46:$L$64,2,0)," ")</f>
        <v>PM/0131/0108/45990160207</v>
      </c>
      <c r="AB441" s="57" t="s">
        <v>139</v>
      </c>
      <c r="AC441" s="133" t="s">
        <v>206</v>
      </c>
    </row>
    <row r="442" spans="2:29" s="28" customFormat="1" ht="57">
      <c r="B442" s="85">
        <v>20241100</v>
      </c>
      <c r="C442" s="53" t="s">
        <v>209</v>
      </c>
      <c r="D442" s="130" t="s">
        <v>167</v>
      </c>
      <c r="E442" s="54" t="s">
        <v>839</v>
      </c>
      <c r="F442" s="130" t="s">
        <v>579</v>
      </c>
      <c r="G442" s="130" t="s">
        <v>156</v>
      </c>
      <c r="H442" s="118" t="s">
        <v>587</v>
      </c>
      <c r="I442" s="131">
        <v>10</v>
      </c>
      <c r="J442" s="131">
        <v>1</v>
      </c>
      <c r="K442" s="56">
        <v>0</v>
      </c>
      <c r="L442" s="57">
        <v>5000000</v>
      </c>
      <c r="M442" s="130" t="s">
        <v>173</v>
      </c>
      <c r="N442" s="57" t="s">
        <v>114</v>
      </c>
      <c r="O442" s="54" t="s">
        <v>219</v>
      </c>
      <c r="P442" s="132" t="str">
        <f>IFERROR(VLOOKUP(C442,TD!$B$32:$F$36,2,0)," ")</f>
        <v>O230117</v>
      </c>
      <c r="Q442" s="132" t="str">
        <f>IFERROR(VLOOKUP(C442,TD!$B$32:$F$36,3,0)," ")</f>
        <v>4599</v>
      </c>
      <c r="R442" s="132">
        <f>IFERROR(VLOOKUP(C442,TD!$B$32:$F$36,4,0)," ")</f>
        <v>20240207</v>
      </c>
      <c r="S442" s="54" t="s">
        <v>186</v>
      </c>
      <c r="T442" s="132" t="str">
        <f>IFERROR(VLOOKUP(S442,TD!$J$33:$K$43,2,0)," ")</f>
        <v>Infraestructura física, mantenimiento y dotación (Sedes construidas, mantenidas reforzadas)</v>
      </c>
      <c r="U442" s="54" t="str">
        <f t="shared" si="24"/>
        <v>08-Infraestructura física, mantenimiento y dotación (Sedes construidas, mantenidas reforzadas)</v>
      </c>
      <c r="V442" s="54" t="s">
        <v>239</v>
      </c>
      <c r="W442" s="132" t="str">
        <f>IFERROR(VLOOKUP(V442,TD!$N$33:$O$45,2,0)," ")</f>
        <v>Sedes mantenidas</v>
      </c>
      <c r="X442" s="54" t="str">
        <f t="shared" si="25"/>
        <v>016_Sedes mantenidas</v>
      </c>
      <c r="Y442" s="54" t="str">
        <f t="shared" si="26"/>
        <v>08-Infraestructura física, mantenimiento y dotación (Sedes construidas, mantenidas reforzadas) 016_Sedes mantenidas</v>
      </c>
      <c r="Z442" s="132" t="str">
        <f t="shared" si="27"/>
        <v>O23011745992024020708016</v>
      </c>
      <c r="AA442" s="132" t="str">
        <f>IFERROR(VLOOKUP(Y442,TD!$K$46:$L$64,2,0)," ")</f>
        <v>PM/0131/0108/45990160207</v>
      </c>
      <c r="AB442" s="57" t="s">
        <v>139</v>
      </c>
      <c r="AC442" s="133" t="s">
        <v>206</v>
      </c>
    </row>
    <row r="443" spans="2:29" s="28" customFormat="1" ht="71.25">
      <c r="B443" s="85">
        <v>20241101</v>
      </c>
      <c r="C443" s="53" t="s">
        <v>209</v>
      </c>
      <c r="D443" s="130" t="s">
        <v>167</v>
      </c>
      <c r="E443" s="54" t="s">
        <v>839</v>
      </c>
      <c r="F443" s="130" t="s">
        <v>580</v>
      </c>
      <c r="G443" s="130" t="s">
        <v>157</v>
      </c>
      <c r="H443" s="118" t="s">
        <v>587</v>
      </c>
      <c r="I443" s="131">
        <v>10</v>
      </c>
      <c r="J443" s="131">
        <v>1</v>
      </c>
      <c r="K443" s="56">
        <v>0</v>
      </c>
      <c r="L443" s="57">
        <v>2771440</v>
      </c>
      <c r="M443" s="130" t="s">
        <v>173</v>
      </c>
      <c r="N443" s="57" t="s">
        <v>114</v>
      </c>
      <c r="O443" s="54" t="s">
        <v>219</v>
      </c>
      <c r="P443" s="132" t="str">
        <f>IFERROR(VLOOKUP(C443,TD!$B$32:$F$36,2,0)," ")</f>
        <v>O230117</v>
      </c>
      <c r="Q443" s="132" t="str">
        <f>IFERROR(VLOOKUP(C443,TD!$B$32:$F$36,3,0)," ")</f>
        <v>4599</v>
      </c>
      <c r="R443" s="132">
        <f>IFERROR(VLOOKUP(C443,TD!$B$32:$F$36,4,0)," ")</f>
        <v>20240207</v>
      </c>
      <c r="S443" s="54" t="s">
        <v>186</v>
      </c>
      <c r="T443" s="132" t="str">
        <f>IFERROR(VLOOKUP(S443,TD!$J$33:$K$43,2,0)," ")</f>
        <v>Infraestructura física, mantenimiento y dotación (Sedes construidas, mantenidas reforzadas)</v>
      </c>
      <c r="U443" s="54" t="str">
        <f t="shared" si="24"/>
        <v>08-Infraestructura física, mantenimiento y dotación (Sedes construidas, mantenidas reforzadas)</v>
      </c>
      <c r="V443" s="54" t="s">
        <v>239</v>
      </c>
      <c r="W443" s="132" t="str">
        <f>IFERROR(VLOOKUP(V443,TD!$N$33:$O$45,2,0)," ")</f>
        <v>Sedes mantenidas</v>
      </c>
      <c r="X443" s="54" t="str">
        <f t="shared" si="25"/>
        <v>016_Sedes mantenidas</v>
      </c>
      <c r="Y443" s="54" t="str">
        <f t="shared" si="26"/>
        <v>08-Infraestructura física, mantenimiento y dotación (Sedes construidas, mantenidas reforzadas) 016_Sedes mantenidas</v>
      </c>
      <c r="Z443" s="132" t="str">
        <f t="shared" si="27"/>
        <v>O23011745992024020708016</v>
      </c>
      <c r="AA443" s="132" t="str">
        <f>IFERROR(VLOOKUP(Y443,TD!$K$46:$L$64,2,0)," ")</f>
        <v>PM/0131/0108/45990160207</v>
      </c>
      <c r="AB443" s="57" t="s">
        <v>139</v>
      </c>
      <c r="AC443" s="133" t="s">
        <v>206</v>
      </c>
    </row>
    <row r="444" spans="2:29" s="28" customFormat="1" ht="57">
      <c r="B444" s="85">
        <v>20241102</v>
      </c>
      <c r="C444" s="53" t="s">
        <v>209</v>
      </c>
      <c r="D444" s="130" t="s">
        <v>167</v>
      </c>
      <c r="E444" s="54" t="s">
        <v>839</v>
      </c>
      <c r="F444" s="130" t="s">
        <v>678</v>
      </c>
      <c r="G444" s="130" t="s">
        <v>157</v>
      </c>
      <c r="H444" s="117">
        <v>80111600</v>
      </c>
      <c r="I444" s="131">
        <v>8</v>
      </c>
      <c r="J444" s="131">
        <v>5</v>
      </c>
      <c r="K444" s="56">
        <v>0</v>
      </c>
      <c r="L444" s="57">
        <v>13857200</v>
      </c>
      <c r="M444" s="130" t="s">
        <v>173</v>
      </c>
      <c r="N444" s="57" t="s">
        <v>114</v>
      </c>
      <c r="O444" s="54" t="s">
        <v>219</v>
      </c>
      <c r="P444" s="132" t="str">
        <f>IFERROR(VLOOKUP(C444,TD!$B$32:$F$36,2,0)," ")</f>
        <v>O230117</v>
      </c>
      <c r="Q444" s="132" t="str">
        <f>IFERROR(VLOOKUP(C444,TD!$B$32:$F$36,3,0)," ")</f>
        <v>4599</v>
      </c>
      <c r="R444" s="132">
        <f>IFERROR(VLOOKUP(C444,TD!$B$32:$F$36,4,0)," ")</f>
        <v>20240207</v>
      </c>
      <c r="S444" s="54" t="s">
        <v>186</v>
      </c>
      <c r="T444" s="132" t="str">
        <f>IFERROR(VLOOKUP(S444,TD!$J$33:$K$43,2,0)," ")</f>
        <v>Infraestructura física, mantenimiento y dotación (Sedes construidas, mantenidas reforzadas)</v>
      </c>
      <c r="U444" s="54" t="str">
        <f t="shared" si="24"/>
        <v>08-Infraestructura física, mantenimiento y dotación (Sedes construidas, mantenidas reforzadas)</v>
      </c>
      <c r="V444" s="54" t="s">
        <v>239</v>
      </c>
      <c r="W444" s="132" t="str">
        <f>IFERROR(VLOOKUP(V444,TD!$N$33:$O$45,2,0)," ")</f>
        <v>Sedes mantenidas</v>
      </c>
      <c r="X444" s="54" t="str">
        <f t="shared" si="25"/>
        <v>016_Sedes mantenidas</v>
      </c>
      <c r="Y444" s="54" t="str">
        <f t="shared" si="26"/>
        <v>08-Infraestructura física, mantenimiento y dotación (Sedes construidas, mantenidas reforzadas) 016_Sedes mantenidas</v>
      </c>
      <c r="Z444" s="132" t="str">
        <f t="shared" si="27"/>
        <v>O23011745992024020708016</v>
      </c>
      <c r="AA444" s="132" t="str">
        <f>IFERROR(VLOOKUP(Y444,TD!$K$46:$L$64,2,0)," ")</f>
        <v>PM/0131/0108/45990160207</v>
      </c>
      <c r="AB444" s="57" t="s">
        <v>139</v>
      </c>
      <c r="AC444" s="133" t="s">
        <v>205</v>
      </c>
    </row>
    <row r="445" spans="2:29" s="28" customFormat="1" ht="57">
      <c r="B445" s="85">
        <v>20241103</v>
      </c>
      <c r="C445" s="53" t="s">
        <v>209</v>
      </c>
      <c r="D445" s="130" t="s">
        <v>167</v>
      </c>
      <c r="E445" s="54" t="s">
        <v>839</v>
      </c>
      <c r="F445" s="130" t="s">
        <v>678</v>
      </c>
      <c r="G445" s="130" t="s">
        <v>157</v>
      </c>
      <c r="H445" s="117">
        <v>80111600</v>
      </c>
      <c r="I445" s="131">
        <v>8</v>
      </c>
      <c r="J445" s="131">
        <v>5</v>
      </c>
      <c r="K445" s="56">
        <v>0</v>
      </c>
      <c r="L445" s="57">
        <v>13857200</v>
      </c>
      <c r="M445" s="130" t="s">
        <v>173</v>
      </c>
      <c r="N445" s="57" t="s">
        <v>114</v>
      </c>
      <c r="O445" s="54" t="s">
        <v>219</v>
      </c>
      <c r="P445" s="132" t="str">
        <f>IFERROR(VLOOKUP(C445,TD!$B$32:$F$36,2,0)," ")</f>
        <v>O230117</v>
      </c>
      <c r="Q445" s="132" t="str">
        <f>IFERROR(VLOOKUP(C445,TD!$B$32:$F$36,3,0)," ")</f>
        <v>4599</v>
      </c>
      <c r="R445" s="132">
        <f>IFERROR(VLOOKUP(C445,TD!$B$32:$F$36,4,0)," ")</f>
        <v>20240207</v>
      </c>
      <c r="S445" s="54" t="s">
        <v>186</v>
      </c>
      <c r="T445" s="132" t="str">
        <f>IFERROR(VLOOKUP(S445,TD!$J$33:$K$43,2,0)," ")</f>
        <v>Infraestructura física, mantenimiento y dotación (Sedes construidas, mantenidas reforzadas)</v>
      </c>
      <c r="U445" s="54" t="str">
        <f t="shared" si="24"/>
        <v>08-Infraestructura física, mantenimiento y dotación (Sedes construidas, mantenidas reforzadas)</v>
      </c>
      <c r="V445" s="54" t="s">
        <v>239</v>
      </c>
      <c r="W445" s="132" t="str">
        <f>IFERROR(VLOOKUP(V445,TD!$N$33:$O$45,2,0)," ")</f>
        <v>Sedes mantenidas</v>
      </c>
      <c r="X445" s="54" t="str">
        <f t="shared" si="25"/>
        <v>016_Sedes mantenidas</v>
      </c>
      <c r="Y445" s="54" t="str">
        <f t="shared" si="26"/>
        <v>08-Infraestructura física, mantenimiento y dotación (Sedes construidas, mantenidas reforzadas) 016_Sedes mantenidas</v>
      </c>
      <c r="Z445" s="132" t="str">
        <f t="shared" si="27"/>
        <v>O23011745992024020708016</v>
      </c>
      <c r="AA445" s="132" t="str">
        <f>IFERROR(VLOOKUP(Y445,TD!$K$46:$L$64,2,0)," ")</f>
        <v>PM/0131/0108/45990160207</v>
      </c>
      <c r="AB445" s="57" t="s">
        <v>139</v>
      </c>
      <c r="AC445" s="133" t="s">
        <v>205</v>
      </c>
    </row>
    <row r="446" spans="2:29" s="28" customFormat="1" ht="57">
      <c r="B446" s="85">
        <v>20241104</v>
      </c>
      <c r="C446" s="53" t="s">
        <v>209</v>
      </c>
      <c r="D446" s="130" t="s">
        <v>167</v>
      </c>
      <c r="E446" s="54" t="s">
        <v>839</v>
      </c>
      <c r="F446" s="130" t="s">
        <v>678</v>
      </c>
      <c r="G446" s="130" t="s">
        <v>157</v>
      </c>
      <c r="H446" s="117">
        <v>80111600</v>
      </c>
      <c r="I446" s="131">
        <v>8</v>
      </c>
      <c r="J446" s="131">
        <v>5</v>
      </c>
      <c r="K446" s="56">
        <v>0</v>
      </c>
      <c r="L446" s="57">
        <v>13857200</v>
      </c>
      <c r="M446" s="130" t="s">
        <v>173</v>
      </c>
      <c r="N446" s="57" t="s">
        <v>114</v>
      </c>
      <c r="O446" s="54" t="s">
        <v>219</v>
      </c>
      <c r="P446" s="132" t="str">
        <f>IFERROR(VLOOKUP(C446,TD!$B$32:$F$36,2,0)," ")</f>
        <v>O230117</v>
      </c>
      <c r="Q446" s="132" t="str">
        <f>IFERROR(VLOOKUP(C446,TD!$B$32:$F$36,3,0)," ")</f>
        <v>4599</v>
      </c>
      <c r="R446" s="132">
        <f>IFERROR(VLOOKUP(C446,TD!$B$32:$F$36,4,0)," ")</f>
        <v>20240207</v>
      </c>
      <c r="S446" s="54" t="s">
        <v>186</v>
      </c>
      <c r="T446" s="132" t="str">
        <f>IFERROR(VLOOKUP(S446,TD!$J$33:$K$43,2,0)," ")</f>
        <v>Infraestructura física, mantenimiento y dotación (Sedes construidas, mantenidas reforzadas)</v>
      </c>
      <c r="U446" s="54" t="str">
        <f t="shared" si="24"/>
        <v>08-Infraestructura física, mantenimiento y dotación (Sedes construidas, mantenidas reforzadas)</v>
      </c>
      <c r="V446" s="54" t="s">
        <v>239</v>
      </c>
      <c r="W446" s="132" t="str">
        <f>IFERROR(VLOOKUP(V446,TD!$N$33:$O$45,2,0)," ")</f>
        <v>Sedes mantenidas</v>
      </c>
      <c r="X446" s="54" t="str">
        <f t="shared" si="25"/>
        <v>016_Sedes mantenidas</v>
      </c>
      <c r="Y446" s="54" t="str">
        <f t="shared" si="26"/>
        <v>08-Infraestructura física, mantenimiento y dotación (Sedes construidas, mantenidas reforzadas) 016_Sedes mantenidas</v>
      </c>
      <c r="Z446" s="132" t="str">
        <f t="shared" si="27"/>
        <v>O23011745992024020708016</v>
      </c>
      <c r="AA446" s="132" t="str">
        <f>IFERROR(VLOOKUP(Y446,TD!$K$46:$L$64,2,0)," ")</f>
        <v>PM/0131/0108/45990160207</v>
      </c>
      <c r="AB446" s="57" t="s">
        <v>139</v>
      </c>
      <c r="AC446" s="133" t="s">
        <v>205</v>
      </c>
    </row>
    <row r="447" spans="2:29" s="28" customFormat="1" ht="42.75">
      <c r="B447" s="85">
        <v>20241106</v>
      </c>
      <c r="C447" s="53" t="s">
        <v>347</v>
      </c>
      <c r="D447" s="130" t="s">
        <v>167</v>
      </c>
      <c r="E447" s="54" t="s">
        <v>839</v>
      </c>
      <c r="F447" s="130" t="s">
        <v>548</v>
      </c>
      <c r="G447" s="130" t="s">
        <v>97</v>
      </c>
      <c r="H447" s="118" t="s">
        <v>586</v>
      </c>
      <c r="I447" s="131">
        <v>8</v>
      </c>
      <c r="J447" s="131">
        <v>4</v>
      </c>
      <c r="K447" s="56">
        <v>0</v>
      </c>
      <c r="L447" s="57">
        <v>83951483</v>
      </c>
      <c r="M447" s="130" t="s">
        <v>173</v>
      </c>
      <c r="N447" s="57" t="s">
        <v>124</v>
      </c>
      <c r="O447" s="54" t="s">
        <v>348</v>
      </c>
      <c r="P447" s="132" t="str">
        <f>IFERROR(VLOOKUP(C447,TD!$B$32:$F$36,2,0)," ")</f>
        <v>NA</v>
      </c>
      <c r="Q447" s="132" t="str">
        <f>IFERROR(VLOOKUP(C447,TD!$B$32:$F$36,3,0)," ")</f>
        <v>NA</v>
      </c>
      <c r="R447" s="132" t="str">
        <f>IFERROR(VLOOKUP(C447,TD!$B$32:$F$36,4,0)," ")</f>
        <v>NA</v>
      </c>
      <c r="S447" s="54" t="s">
        <v>546</v>
      </c>
      <c r="T447" s="132" t="str">
        <f>IFERROR(VLOOKUP(S447,TD!$J$33:$K$43,2,0)," ")</f>
        <v>N/A</v>
      </c>
      <c r="U447" s="54" t="str">
        <f t="shared" si="24"/>
        <v>N/A-N/A</v>
      </c>
      <c r="V447" s="54" t="s">
        <v>546</v>
      </c>
      <c r="W447" s="132" t="str">
        <f>IFERROR(VLOOKUP(V447,TD!$N$33:$O$45,2,0)," ")</f>
        <v>N/A</v>
      </c>
      <c r="X447" s="54" t="str">
        <f t="shared" si="25"/>
        <v>N/A_N/A</v>
      </c>
      <c r="Y447" s="54" t="str">
        <f t="shared" si="26"/>
        <v>N/A-N/A N/A_N/A</v>
      </c>
      <c r="Z447" s="132" t="str">
        <f t="shared" si="27"/>
        <v>NANANAN/AN/A</v>
      </c>
      <c r="AA447" s="132" t="str">
        <f>IFERROR(VLOOKUP(Y447,TD!$K$46:$L$64,2,0)," ")</f>
        <v>N/A</v>
      </c>
      <c r="AB447" s="57" t="s">
        <v>349</v>
      </c>
      <c r="AC447" s="133" t="s">
        <v>206</v>
      </c>
    </row>
    <row r="448" spans="2:29" s="28" customFormat="1" ht="28.5">
      <c r="B448" s="85">
        <v>20241107</v>
      </c>
      <c r="C448" s="53" t="s">
        <v>347</v>
      </c>
      <c r="D448" s="130" t="s">
        <v>167</v>
      </c>
      <c r="E448" s="54" t="s">
        <v>839</v>
      </c>
      <c r="F448" s="130" t="s">
        <v>581</v>
      </c>
      <c r="G448" s="130" t="s">
        <v>115</v>
      </c>
      <c r="H448" s="118" t="s">
        <v>595</v>
      </c>
      <c r="I448" s="131">
        <v>10</v>
      </c>
      <c r="J448" s="131">
        <v>1</v>
      </c>
      <c r="K448" s="56">
        <v>0</v>
      </c>
      <c r="L448" s="57">
        <v>11470000</v>
      </c>
      <c r="M448" s="130" t="s">
        <v>173</v>
      </c>
      <c r="N448" s="57" t="s">
        <v>114</v>
      </c>
      <c r="O448" s="54" t="s">
        <v>348</v>
      </c>
      <c r="P448" s="132" t="str">
        <f>IFERROR(VLOOKUP(C448,TD!$B$32:$F$36,2,0)," ")</f>
        <v>NA</v>
      </c>
      <c r="Q448" s="132" t="str">
        <f>IFERROR(VLOOKUP(C448,TD!$B$32:$F$36,3,0)," ")</f>
        <v>NA</v>
      </c>
      <c r="R448" s="132" t="str">
        <f>IFERROR(VLOOKUP(C448,TD!$B$32:$F$36,4,0)," ")</f>
        <v>NA</v>
      </c>
      <c r="S448" s="54" t="s">
        <v>546</v>
      </c>
      <c r="T448" s="132" t="str">
        <f>IFERROR(VLOOKUP(S448,TD!$J$33:$K$43,2,0)," ")</f>
        <v>N/A</v>
      </c>
      <c r="U448" s="54" t="str">
        <f t="shared" si="24"/>
        <v>N/A-N/A</v>
      </c>
      <c r="V448" s="54" t="s">
        <v>546</v>
      </c>
      <c r="W448" s="132" t="str">
        <f>IFERROR(VLOOKUP(V448,TD!$N$33:$O$45,2,0)," ")</f>
        <v>N/A</v>
      </c>
      <c r="X448" s="54" t="str">
        <f t="shared" si="25"/>
        <v>N/A_N/A</v>
      </c>
      <c r="Y448" s="54" t="str">
        <f t="shared" si="26"/>
        <v>N/A-N/A N/A_N/A</v>
      </c>
      <c r="Z448" s="132" t="str">
        <f t="shared" si="27"/>
        <v>NANANAN/AN/A</v>
      </c>
      <c r="AA448" s="132" t="str">
        <f>IFERROR(VLOOKUP(Y448,TD!$K$46:$L$64,2,0)," ")</f>
        <v>N/A</v>
      </c>
      <c r="AB448" s="57" t="s">
        <v>349</v>
      </c>
      <c r="AC448" s="133" t="s">
        <v>206</v>
      </c>
    </row>
    <row r="449" spans="2:29" s="28" customFormat="1" ht="114">
      <c r="B449" s="85">
        <v>20241108</v>
      </c>
      <c r="C449" s="53" t="s">
        <v>347</v>
      </c>
      <c r="D449" s="130" t="s">
        <v>167</v>
      </c>
      <c r="E449" s="54" t="s">
        <v>839</v>
      </c>
      <c r="F449" s="130" t="s">
        <v>582</v>
      </c>
      <c r="G449" s="130" t="s">
        <v>97</v>
      </c>
      <c r="H449" s="118" t="s">
        <v>596</v>
      </c>
      <c r="I449" s="131">
        <v>10</v>
      </c>
      <c r="J449" s="131">
        <v>3</v>
      </c>
      <c r="K449" s="56">
        <v>0</v>
      </c>
      <c r="L449" s="57">
        <v>29886690</v>
      </c>
      <c r="M449" s="130" t="s">
        <v>173</v>
      </c>
      <c r="N449" s="57" t="s">
        <v>114</v>
      </c>
      <c r="O449" s="54" t="s">
        <v>348</v>
      </c>
      <c r="P449" s="132" t="str">
        <f>IFERROR(VLOOKUP(C449,TD!$B$32:$F$36,2,0)," ")</f>
        <v>NA</v>
      </c>
      <c r="Q449" s="132" t="str">
        <f>IFERROR(VLOOKUP(C449,TD!$B$32:$F$36,3,0)," ")</f>
        <v>NA</v>
      </c>
      <c r="R449" s="132" t="str">
        <f>IFERROR(VLOOKUP(C449,TD!$B$32:$F$36,4,0)," ")</f>
        <v>NA</v>
      </c>
      <c r="S449" s="54" t="s">
        <v>546</v>
      </c>
      <c r="T449" s="132" t="str">
        <f>IFERROR(VLOOKUP(S449,TD!$J$33:$K$43,2,0)," ")</f>
        <v>N/A</v>
      </c>
      <c r="U449" s="54" t="str">
        <f t="shared" si="24"/>
        <v>N/A-N/A</v>
      </c>
      <c r="V449" s="54" t="s">
        <v>546</v>
      </c>
      <c r="W449" s="132" t="str">
        <f>IFERROR(VLOOKUP(V449,TD!$N$33:$O$45,2,0)," ")</f>
        <v>N/A</v>
      </c>
      <c r="X449" s="54" t="str">
        <f t="shared" si="25"/>
        <v>N/A_N/A</v>
      </c>
      <c r="Y449" s="54" t="str">
        <f t="shared" si="26"/>
        <v>N/A-N/A N/A_N/A</v>
      </c>
      <c r="Z449" s="132" t="str">
        <f t="shared" si="27"/>
        <v>NANANAN/AN/A</v>
      </c>
      <c r="AA449" s="132" t="str">
        <f>IFERROR(VLOOKUP(Y449,TD!$K$46:$L$64,2,0)," ")</f>
        <v>N/A</v>
      </c>
      <c r="AB449" s="57" t="s">
        <v>349</v>
      </c>
      <c r="AC449" s="133" t="s">
        <v>206</v>
      </c>
    </row>
    <row r="450" spans="2:29" s="28" customFormat="1" ht="57">
      <c r="B450" s="85">
        <v>20241111</v>
      </c>
      <c r="C450" s="53" t="s">
        <v>347</v>
      </c>
      <c r="D450" s="130" t="s">
        <v>167</v>
      </c>
      <c r="E450" s="54" t="s">
        <v>839</v>
      </c>
      <c r="F450" s="130" t="s">
        <v>584</v>
      </c>
      <c r="G450" s="130" t="s">
        <v>157</v>
      </c>
      <c r="H450" s="118" t="s">
        <v>587</v>
      </c>
      <c r="I450" s="131">
        <v>8</v>
      </c>
      <c r="J450" s="131">
        <v>5</v>
      </c>
      <c r="K450" s="56">
        <v>0</v>
      </c>
      <c r="L450" s="57">
        <v>18947600</v>
      </c>
      <c r="M450" s="130" t="s">
        <v>173</v>
      </c>
      <c r="N450" s="57" t="s">
        <v>114</v>
      </c>
      <c r="O450" s="54" t="s">
        <v>348</v>
      </c>
      <c r="P450" s="132" t="str">
        <f>IFERROR(VLOOKUP(C450,TD!$B$32:$F$36,2,0)," ")</f>
        <v>NA</v>
      </c>
      <c r="Q450" s="132" t="str">
        <f>IFERROR(VLOOKUP(C450,TD!$B$32:$F$36,3,0)," ")</f>
        <v>NA</v>
      </c>
      <c r="R450" s="132" t="str">
        <f>IFERROR(VLOOKUP(C450,TD!$B$32:$F$36,4,0)," ")</f>
        <v>NA</v>
      </c>
      <c r="S450" s="54" t="s">
        <v>546</v>
      </c>
      <c r="T450" s="132" t="str">
        <f>IFERROR(VLOOKUP(S450,TD!$J$33:$K$43,2,0)," ")</f>
        <v>N/A</v>
      </c>
      <c r="U450" s="54" t="str">
        <f t="shared" si="24"/>
        <v>N/A-N/A</v>
      </c>
      <c r="V450" s="54" t="s">
        <v>546</v>
      </c>
      <c r="W450" s="132" t="str">
        <f>IFERROR(VLOOKUP(V450,TD!$N$33:$O$45,2,0)," ")</f>
        <v>N/A</v>
      </c>
      <c r="X450" s="54" t="str">
        <f t="shared" si="25"/>
        <v>N/A_N/A</v>
      </c>
      <c r="Y450" s="54" t="str">
        <f t="shared" si="26"/>
        <v>N/A-N/A N/A_N/A</v>
      </c>
      <c r="Z450" s="132" t="str">
        <f t="shared" si="27"/>
        <v>NANANAN/AN/A</v>
      </c>
      <c r="AA450" s="132" t="str">
        <f>IFERROR(VLOOKUP(Y450,TD!$K$46:$L$64,2,0)," ")</f>
        <v>N/A</v>
      </c>
      <c r="AB450" s="57" t="s">
        <v>349</v>
      </c>
      <c r="AC450" s="133" t="s">
        <v>205</v>
      </c>
    </row>
    <row r="451" spans="2:29" s="28" customFormat="1" ht="57">
      <c r="B451" s="85">
        <v>20241112</v>
      </c>
      <c r="C451" s="53" t="s">
        <v>347</v>
      </c>
      <c r="D451" s="130" t="s">
        <v>167</v>
      </c>
      <c r="E451" s="54" t="s">
        <v>839</v>
      </c>
      <c r="F451" s="130" t="s">
        <v>565</v>
      </c>
      <c r="G451" s="130" t="s">
        <v>156</v>
      </c>
      <c r="H451" s="118" t="s">
        <v>587</v>
      </c>
      <c r="I451" s="131">
        <v>8</v>
      </c>
      <c r="J451" s="131">
        <v>5</v>
      </c>
      <c r="K451" s="56">
        <v>0</v>
      </c>
      <c r="L451" s="57">
        <f>31108000-5907995</f>
        <v>25200005</v>
      </c>
      <c r="M451" s="130" t="s">
        <v>173</v>
      </c>
      <c r="N451" s="57" t="s">
        <v>114</v>
      </c>
      <c r="O451" s="54" t="s">
        <v>348</v>
      </c>
      <c r="P451" s="132" t="str">
        <f>IFERROR(VLOOKUP(C451,TD!$B$32:$F$36,2,0)," ")</f>
        <v>NA</v>
      </c>
      <c r="Q451" s="132" t="str">
        <f>IFERROR(VLOOKUP(C451,TD!$B$32:$F$36,3,0)," ")</f>
        <v>NA</v>
      </c>
      <c r="R451" s="132" t="str">
        <f>IFERROR(VLOOKUP(C451,TD!$B$32:$F$36,4,0)," ")</f>
        <v>NA</v>
      </c>
      <c r="S451" s="54" t="s">
        <v>546</v>
      </c>
      <c r="T451" s="132" t="str">
        <f>IFERROR(VLOOKUP(S451,TD!$J$33:$K$43,2,0)," ")</f>
        <v>N/A</v>
      </c>
      <c r="U451" s="54" t="str">
        <f t="shared" si="24"/>
        <v>N/A-N/A</v>
      </c>
      <c r="V451" s="54" t="s">
        <v>546</v>
      </c>
      <c r="W451" s="132" t="str">
        <f>IFERROR(VLOOKUP(V451,TD!$N$33:$O$45,2,0)," ")</f>
        <v>N/A</v>
      </c>
      <c r="X451" s="54" t="str">
        <f t="shared" si="25"/>
        <v>N/A_N/A</v>
      </c>
      <c r="Y451" s="54" t="str">
        <f t="shared" si="26"/>
        <v>N/A-N/A N/A_N/A</v>
      </c>
      <c r="Z451" s="132" t="str">
        <f t="shared" si="27"/>
        <v>NANANAN/AN/A</v>
      </c>
      <c r="AA451" s="132" t="str">
        <f>IFERROR(VLOOKUP(Y451,TD!$K$46:$L$64,2,0)," ")</f>
        <v>N/A</v>
      </c>
      <c r="AB451" s="57" t="s">
        <v>349</v>
      </c>
      <c r="AC451" s="133" t="s">
        <v>205</v>
      </c>
    </row>
    <row r="452" spans="2:29" s="28" customFormat="1" ht="57">
      <c r="B452" s="85">
        <v>20241114</v>
      </c>
      <c r="C452" s="53" t="s">
        <v>347</v>
      </c>
      <c r="D452" s="130" t="s">
        <v>167</v>
      </c>
      <c r="E452" s="54" t="s">
        <v>839</v>
      </c>
      <c r="F452" s="130" t="s">
        <v>585</v>
      </c>
      <c r="G452" s="130" t="s">
        <v>97</v>
      </c>
      <c r="H452" s="118" t="s">
        <v>598</v>
      </c>
      <c r="I452" s="131">
        <v>10</v>
      </c>
      <c r="J452" s="131">
        <v>2</v>
      </c>
      <c r="K452" s="56">
        <v>0</v>
      </c>
      <c r="L452" s="57">
        <f>38000000+5760623</f>
        <v>43760623</v>
      </c>
      <c r="M452" s="130" t="s">
        <v>173</v>
      </c>
      <c r="N452" s="57" t="s">
        <v>91</v>
      </c>
      <c r="O452" s="54" t="s">
        <v>348</v>
      </c>
      <c r="P452" s="132" t="str">
        <f>IFERROR(VLOOKUP(C452,TD!$B$32:$F$36,2,0)," ")</f>
        <v>NA</v>
      </c>
      <c r="Q452" s="132" t="str">
        <f>IFERROR(VLOOKUP(C452,TD!$B$32:$F$36,3,0)," ")</f>
        <v>NA</v>
      </c>
      <c r="R452" s="132" t="str">
        <f>IFERROR(VLOOKUP(C452,TD!$B$32:$F$36,4,0)," ")</f>
        <v>NA</v>
      </c>
      <c r="S452" s="54" t="s">
        <v>546</v>
      </c>
      <c r="T452" s="132" t="str">
        <f>IFERROR(VLOOKUP(S452,TD!$J$33:$K$43,2,0)," ")</f>
        <v>N/A</v>
      </c>
      <c r="U452" s="54" t="str">
        <f t="shared" si="24"/>
        <v>N/A-N/A</v>
      </c>
      <c r="V452" s="54" t="s">
        <v>546</v>
      </c>
      <c r="W452" s="132" t="str">
        <f>IFERROR(VLOOKUP(V452,TD!$N$33:$O$45,2,0)," ")</f>
        <v>N/A</v>
      </c>
      <c r="X452" s="54" t="str">
        <f t="shared" si="25"/>
        <v>N/A_N/A</v>
      </c>
      <c r="Y452" s="54" t="str">
        <f t="shared" si="26"/>
        <v>N/A-N/A N/A_N/A</v>
      </c>
      <c r="Z452" s="132" t="str">
        <f t="shared" si="27"/>
        <v>NANANAN/AN/A</v>
      </c>
      <c r="AA452" s="132" t="str">
        <f>IFERROR(VLOOKUP(Y452,TD!$K$46:$L$64,2,0)," ")</f>
        <v>N/A</v>
      </c>
      <c r="AB452" s="57" t="s">
        <v>349</v>
      </c>
      <c r="AC452" s="133" t="s">
        <v>206</v>
      </c>
    </row>
    <row r="453" spans="2:29" s="28" customFormat="1" ht="71.25">
      <c r="B453" s="85">
        <v>20241115</v>
      </c>
      <c r="C453" s="53" t="s">
        <v>210</v>
      </c>
      <c r="D453" s="130" t="s">
        <v>169</v>
      </c>
      <c r="E453" s="54" t="s">
        <v>804</v>
      </c>
      <c r="F453" s="130" t="s">
        <v>684</v>
      </c>
      <c r="G453" s="130" t="s">
        <v>156</v>
      </c>
      <c r="H453" s="117">
        <v>80111600</v>
      </c>
      <c r="I453" s="131">
        <v>8</v>
      </c>
      <c r="J453" s="131">
        <v>3</v>
      </c>
      <c r="K453" s="56">
        <v>0</v>
      </c>
      <c r="L453" s="57">
        <v>12660000</v>
      </c>
      <c r="M453" s="130" t="s">
        <v>173</v>
      </c>
      <c r="N453" s="57" t="s">
        <v>114</v>
      </c>
      <c r="O453" s="54" t="s">
        <v>225</v>
      </c>
      <c r="P453" s="132" t="str">
        <f>IFERROR(VLOOKUP(C453,TD!$B$32:$F$36,2,0)," ")</f>
        <v>O230117</v>
      </c>
      <c r="Q453" s="132" t="str">
        <f>IFERROR(VLOOKUP(C453,TD!$B$32:$F$36,3,0)," ")</f>
        <v>4503</v>
      </c>
      <c r="R453" s="132">
        <f>IFERROR(VLOOKUP(C453,TD!$B$32:$F$36,4,0)," ")</f>
        <v>20240255</v>
      </c>
      <c r="S453" s="54" t="s">
        <v>188</v>
      </c>
      <c r="T453" s="132" t="str">
        <f>IFERROR(VLOOKUP(S453,TD!$J$33:$K$43,2,0)," ")</f>
        <v>Servicio de mantenimiento, dotación (HEA´s y equipo menor) y adquisición de vehiculos   especializados para la atención de emergencias.</v>
      </c>
      <c r="U453" s="54" t="str">
        <f t="shared" si="24"/>
        <v>09-Servicio de mantenimiento, dotación (HEA´s y equipo menor) y adquisición de vehiculos   especializados para la atención de emergencias.</v>
      </c>
      <c r="V453" s="54" t="s">
        <v>233</v>
      </c>
      <c r="W453" s="132" t="str">
        <f>IFERROR(VLOOKUP(V453,TD!$N$33:$O$45,2,0)," ")</f>
        <v>Servicio de atención a emergencias y desastres</v>
      </c>
      <c r="X453" s="54" t="str">
        <f t="shared" si="25"/>
        <v>004_Servicio de atención a emergencias y desastres</v>
      </c>
      <c r="Y453" s="54" t="str">
        <f t="shared" si="26"/>
        <v>09-Servicio de mantenimiento, dotación (HEA´s y equipo menor) y adquisición de vehiculos   especializados para la atención de emergencias. 004_Servicio de atención a emergencias y desastres</v>
      </c>
      <c r="Z453" s="132" t="str">
        <f t="shared" si="27"/>
        <v>O23011745032024025509004</v>
      </c>
      <c r="AA453" s="132" t="str">
        <f>IFERROR(VLOOKUP(Y453,TD!$K$46:$L$64,2,0)," ")</f>
        <v>PM/0131/0109/45030040255</v>
      </c>
      <c r="AB453" s="57" t="s">
        <v>139</v>
      </c>
      <c r="AC453" s="133" t="s">
        <v>205</v>
      </c>
    </row>
    <row r="454" spans="2:29" s="28" customFormat="1" ht="57">
      <c r="B454" s="85">
        <v>20241119</v>
      </c>
      <c r="C454" s="53" t="s">
        <v>209</v>
      </c>
      <c r="D454" s="130" t="s">
        <v>169</v>
      </c>
      <c r="E454" s="54" t="s">
        <v>804</v>
      </c>
      <c r="F454" s="130" t="s">
        <v>685</v>
      </c>
      <c r="G454" s="130" t="s">
        <v>156</v>
      </c>
      <c r="H454" s="117">
        <v>80111600</v>
      </c>
      <c r="I454" s="131">
        <v>8</v>
      </c>
      <c r="J454" s="131">
        <v>4</v>
      </c>
      <c r="K454" s="56">
        <v>0</v>
      </c>
      <c r="L454" s="57">
        <v>24000000</v>
      </c>
      <c r="M454" s="130" t="s">
        <v>173</v>
      </c>
      <c r="N454" s="57" t="s">
        <v>114</v>
      </c>
      <c r="O454" s="54" t="s">
        <v>212</v>
      </c>
      <c r="P454" s="132" t="str">
        <f>IFERROR(VLOOKUP(C454,TD!$B$32:$F$36,2,0)," ")</f>
        <v>O230117</v>
      </c>
      <c r="Q454" s="132" t="str">
        <f>IFERROR(VLOOKUP(C454,TD!$B$32:$F$36,3,0)," ")</f>
        <v>4599</v>
      </c>
      <c r="R454" s="132">
        <f>IFERROR(VLOOKUP(C454,TD!$B$32:$F$36,4,0)," ")</f>
        <v>20240207</v>
      </c>
      <c r="S454" s="54" t="s">
        <v>194</v>
      </c>
      <c r="T454" s="132" t="str">
        <f>IFERROR(VLOOKUP(S454,TD!$J$33:$K$43,2,0)," ")</f>
        <v>Servicios para la planeación y sistemas de gestión y comunicación estratégica</v>
      </c>
      <c r="U454" s="54" t="str">
        <f t="shared" si="24"/>
        <v>13-Servicios para la planeación y sistemas de gestión y comunicación estratégica</v>
      </c>
      <c r="V454" s="54" t="s">
        <v>241</v>
      </c>
      <c r="W454" s="132" t="str">
        <f>IFERROR(VLOOKUP(V454,TD!$N$33:$O$45,2,0)," ")</f>
        <v>Servicio de asistencia técnica</v>
      </c>
      <c r="X454" s="54" t="str">
        <f t="shared" si="25"/>
        <v>031_Servicio de asistencia técnica</v>
      </c>
      <c r="Y454" s="54" t="str">
        <f t="shared" si="26"/>
        <v>13-Servicios para la planeación y sistemas de gestión y comunicación estratégica 031_Servicio de asistencia técnica</v>
      </c>
      <c r="Z454" s="132" t="str">
        <f t="shared" si="27"/>
        <v>O23011745992024020713031</v>
      </c>
      <c r="AA454" s="132" t="str">
        <f>IFERROR(VLOOKUP(Y454,TD!$K$46:$L$64,2,0)," ")</f>
        <v>PM/0131/0113/45990310207</v>
      </c>
      <c r="AB454" s="57" t="s">
        <v>139</v>
      </c>
      <c r="AC454" s="54" t="s">
        <v>205</v>
      </c>
    </row>
    <row r="455" spans="2:29" s="28" customFormat="1" ht="71.25">
      <c r="B455" s="85">
        <v>20241124</v>
      </c>
      <c r="C455" s="53" t="s">
        <v>209</v>
      </c>
      <c r="D455" s="130" t="s">
        <v>169</v>
      </c>
      <c r="E455" s="54" t="s">
        <v>804</v>
      </c>
      <c r="F455" s="130" t="s">
        <v>803</v>
      </c>
      <c r="G455" s="130" t="s">
        <v>156</v>
      </c>
      <c r="H455" s="117">
        <v>80111600</v>
      </c>
      <c r="I455" s="131">
        <v>8</v>
      </c>
      <c r="J455" s="131">
        <v>3</v>
      </c>
      <c r="K455" s="56">
        <v>0</v>
      </c>
      <c r="L455" s="57">
        <v>16500000</v>
      </c>
      <c r="M455" s="130" t="s">
        <v>173</v>
      </c>
      <c r="N455" s="57" t="s">
        <v>114</v>
      </c>
      <c r="O455" s="54" t="s">
        <v>212</v>
      </c>
      <c r="P455" s="132" t="str">
        <f>IFERROR(VLOOKUP(C455,TD!$B$32:$F$36,2,0)," ")</f>
        <v>O230117</v>
      </c>
      <c r="Q455" s="132" t="str">
        <f>IFERROR(VLOOKUP(C455,TD!$B$32:$F$36,3,0)," ")</f>
        <v>4599</v>
      </c>
      <c r="R455" s="132">
        <f>IFERROR(VLOOKUP(C455,TD!$B$32:$F$36,4,0)," ")</f>
        <v>20240207</v>
      </c>
      <c r="S455" s="54" t="s">
        <v>194</v>
      </c>
      <c r="T455" s="132" t="str">
        <f>IFERROR(VLOOKUP(S455,TD!$J$33:$K$43,2,0)," ")</f>
        <v>Servicios para la planeación y sistemas de gestión y comunicación estratégica</v>
      </c>
      <c r="U455" s="54" t="str">
        <f t="shared" si="24"/>
        <v>13-Servicios para la planeación y sistemas de gestión y comunicación estratégica</v>
      </c>
      <c r="V455" s="54" t="s">
        <v>241</v>
      </c>
      <c r="W455" s="132" t="str">
        <f>IFERROR(VLOOKUP(V455,TD!$N$33:$O$45,2,0)," ")</f>
        <v>Servicio de asistencia técnica</v>
      </c>
      <c r="X455" s="54" t="str">
        <f t="shared" si="25"/>
        <v>031_Servicio de asistencia técnica</v>
      </c>
      <c r="Y455" s="54" t="str">
        <f t="shared" si="26"/>
        <v>13-Servicios para la planeación y sistemas de gestión y comunicación estratégica 031_Servicio de asistencia técnica</v>
      </c>
      <c r="Z455" s="132" t="str">
        <f t="shared" si="27"/>
        <v>O23011745992024020713031</v>
      </c>
      <c r="AA455" s="132" t="str">
        <f>IFERROR(VLOOKUP(Y455,TD!$K$46:$L$64,2,0)," ")</f>
        <v>PM/0131/0113/45990310207</v>
      </c>
      <c r="AB455" s="57" t="s">
        <v>139</v>
      </c>
      <c r="AC455" s="133" t="s">
        <v>205</v>
      </c>
    </row>
    <row r="456" spans="2:29" s="28" customFormat="1" ht="57">
      <c r="B456" s="85">
        <v>20241125</v>
      </c>
      <c r="C456" s="53" t="s">
        <v>209</v>
      </c>
      <c r="D456" s="130" t="s">
        <v>163</v>
      </c>
      <c r="E456" s="54" t="s">
        <v>364</v>
      </c>
      <c r="F456" s="130" t="s">
        <v>605</v>
      </c>
      <c r="G456" s="130" t="s">
        <v>158</v>
      </c>
      <c r="H456" s="117" t="s">
        <v>636</v>
      </c>
      <c r="I456" s="131">
        <v>7</v>
      </c>
      <c r="J456" s="131">
        <v>12</v>
      </c>
      <c r="K456" s="56">
        <v>0</v>
      </c>
      <c r="L456" s="57">
        <v>5000000</v>
      </c>
      <c r="M456" s="130" t="s">
        <v>173</v>
      </c>
      <c r="N456" s="57" t="s">
        <v>114</v>
      </c>
      <c r="O456" s="54" t="s">
        <v>216</v>
      </c>
      <c r="P456" s="132" t="str">
        <f>IFERROR(VLOOKUP(C456,TD!$B$32:$F$36,2,0)," ")</f>
        <v>O230117</v>
      </c>
      <c r="Q456" s="132" t="str">
        <f>IFERROR(VLOOKUP(C456,TD!$B$32:$F$36,3,0)," ")</f>
        <v>4599</v>
      </c>
      <c r="R456" s="132">
        <f>IFERROR(VLOOKUP(C456,TD!$B$32:$F$36,4,0)," ")</f>
        <v>20240207</v>
      </c>
      <c r="S456" s="54" t="s">
        <v>180</v>
      </c>
      <c r="T456" s="132" t="str">
        <f>IFERROR(VLOOKUP(S456,TD!$J$33:$K$43,2,0)," ")</f>
        <v>Infraestructura Tecnológica   (Sistemas de Información y Tecnologia)</v>
      </c>
      <c r="U456" s="54" t="str">
        <f t="shared" si="24"/>
        <v>11-Infraestructura Tecnológica   (Sistemas de Información y Tecnologia)</v>
      </c>
      <c r="V456" s="54" t="s">
        <v>240</v>
      </c>
      <c r="W456" s="132" t="str">
        <f>IFERROR(VLOOKUP(V456,TD!$N$33:$O$45,2,0)," ")</f>
        <v>Servicios tecnológicos</v>
      </c>
      <c r="X456" s="54" t="str">
        <f t="shared" si="25"/>
        <v>007_Servicios tecnológicos</v>
      </c>
      <c r="Y456" s="54" t="str">
        <f t="shared" si="26"/>
        <v>11-Infraestructura Tecnológica   (Sistemas de Información y Tecnologia) 007_Servicios tecnológicos</v>
      </c>
      <c r="Z456" s="132" t="str">
        <f t="shared" si="27"/>
        <v>O23011745992024020711007</v>
      </c>
      <c r="AA456" s="132" t="str">
        <f>IFERROR(VLOOKUP(Y456,TD!$K$46:$L$64,2,0)," ")</f>
        <v>PM/0131/0111/45990070207</v>
      </c>
      <c r="AB456" s="57" t="s">
        <v>126</v>
      </c>
      <c r="AC456" s="133" t="s">
        <v>205</v>
      </c>
    </row>
    <row r="457" spans="2:29" s="28" customFormat="1" ht="42.75">
      <c r="B457" s="85">
        <v>20241130</v>
      </c>
      <c r="C457" s="53" t="s">
        <v>209</v>
      </c>
      <c r="D457" s="130" t="s">
        <v>163</v>
      </c>
      <c r="E457" s="54" t="s">
        <v>364</v>
      </c>
      <c r="F457" s="130" t="s">
        <v>608</v>
      </c>
      <c r="G457" s="130" t="s">
        <v>97</v>
      </c>
      <c r="H457" s="117" t="s">
        <v>638</v>
      </c>
      <c r="I457" s="131">
        <v>8</v>
      </c>
      <c r="J457" s="131">
        <v>7</v>
      </c>
      <c r="K457" s="56">
        <v>0</v>
      </c>
      <c r="L457" s="57">
        <f>30000000-10000000-4555560</f>
        <v>15444440</v>
      </c>
      <c r="M457" s="130" t="s">
        <v>173</v>
      </c>
      <c r="N457" s="57" t="s">
        <v>124</v>
      </c>
      <c r="O457" s="54" t="s">
        <v>216</v>
      </c>
      <c r="P457" s="132" t="str">
        <f>IFERROR(VLOOKUP(C457,TD!$B$32:$F$36,2,0)," ")</f>
        <v>O230117</v>
      </c>
      <c r="Q457" s="132" t="str">
        <f>IFERROR(VLOOKUP(C457,TD!$B$32:$F$36,3,0)," ")</f>
        <v>4599</v>
      </c>
      <c r="R457" s="132">
        <f>IFERROR(VLOOKUP(C457,TD!$B$32:$F$36,4,0)," ")</f>
        <v>20240207</v>
      </c>
      <c r="S457" s="54" t="s">
        <v>180</v>
      </c>
      <c r="T457" s="132" t="str">
        <f>IFERROR(VLOOKUP(S457,TD!$J$33:$K$43,2,0)," ")</f>
        <v>Infraestructura Tecnológica   (Sistemas de Información y Tecnologia)</v>
      </c>
      <c r="U457" s="54" t="str">
        <f t="shared" si="24"/>
        <v>11-Infraestructura Tecnológica   (Sistemas de Información y Tecnologia)</v>
      </c>
      <c r="V457" s="54" t="s">
        <v>240</v>
      </c>
      <c r="W457" s="132" t="str">
        <f>IFERROR(VLOOKUP(V457,TD!$N$33:$O$45,2,0)," ")</f>
        <v>Servicios tecnológicos</v>
      </c>
      <c r="X457" s="54" t="str">
        <f t="shared" si="25"/>
        <v>007_Servicios tecnológicos</v>
      </c>
      <c r="Y457" s="54" t="str">
        <f t="shared" si="26"/>
        <v>11-Infraestructura Tecnológica   (Sistemas de Información y Tecnologia) 007_Servicios tecnológicos</v>
      </c>
      <c r="Z457" s="132" t="str">
        <f t="shared" si="27"/>
        <v>O23011745992024020711007</v>
      </c>
      <c r="AA457" s="132" t="str">
        <f>IFERROR(VLOOKUP(Y457,TD!$K$46:$L$64,2,0)," ")</f>
        <v>PM/0131/0111/45990070207</v>
      </c>
      <c r="AB457" s="57" t="s">
        <v>126</v>
      </c>
      <c r="AC457" s="133" t="s">
        <v>205</v>
      </c>
    </row>
    <row r="458" spans="2:29" s="28" customFormat="1" ht="57">
      <c r="B458" s="85">
        <v>20241132</v>
      </c>
      <c r="C458" s="53" t="s">
        <v>209</v>
      </c>
      <c r="D458" s="130" t="s">
        <v>163</v>
      </c>
      <c r="E458" s="54" t="s">
        <v>364</v>
      </c>
      <c r="F458" s="130" t="s">
        <v>609</v>
      </c>
      <c r="G458" s="130" t="s">
        <v>156</v>
      </c>
      <c r="H458" s="117">
        <v>80111600</v>
      </c>
      <c r="I458" s="131">
        <v>9</v>
      </c>
      <c r="J458" s="131">
        <v>4</v>
      </c>
      <c r="K458" s="56">
        <v>20</v>
      </c>
      <c r="L458" s="57">
        <f>45000000-3000000</f>
        <v>42000000</v>
      </c>
      <c r="M458" s="130" t="s">
        <v>173</v>
      </c>
      <c r="N458" s="57" t="s">
        <v>114</v>
      </c>
      <c r="O458" s="54" t="s">
        <v>217</v>
      </c>
      <c r="P458" s="132" t="str">
        <f>IFERROR(VLOOKUP(C458,TD!$B$32:$F$36,2,0)," ")</f>
        <v>O230117</v>
      </c>
      <c r="Q458" s="132" t="str">
        <f>IFERROR(VLOOKUP(C458,TD!$B$32:$F$36,3,0)," ")</f>
        <v>4599</v>
      </c>
      <c r="R458" s="132">
        <f>IFERROR(VLOOKUP(C458,TD!$B$32:$F$36,4,0)," ")</f>
        <v>20240207</v>
      </c>
      <c r="S458" s="54" t="s">
        <v>180</v>
      </c>
      <c r="T458" s="132" t="str">
        <f>IFERROR(VLOOKUP(S458,TD!$J$33:$K$43,2,0)," ")</f>
        <v>Infraestructura Tecnológica   (Sistemas de Información y Tecnologia)</v>
      </c>
      <c r="U458" s="54" t="str">
        <f t="shared" si="24"/>
        <v>11-Infraestructura Tecnológica   (Sistemas de Información y Tecnologia)</v>
      </c>
      <c r="V458" s="54" t="s">
        <v>240</v>
      </c>
      <c r="W458" s="132" t="str">
        <f>IFERROR(VLOOKUP(V458,TD!$N$33:$O$45,2,0)," ")</f>
        <v>Servicios tecnológicos</v>
      </c>
      <c r="X458" s="54" t="str">
        <f t="shared" si="25"/>
        <v>007_Servicios tecnológicos</v>
      </c>
      <c r="Y458" s="54" t="str">
        <f t="shared" si="26"/>
        <v>11-Infraestructura Tecnológica   (Sistemas de Información y Tecnologia) 007_Servicios tecnológicos</v>
      </c>
      <c r="Z458" s="132" t="str">
        <f t="shared" si="27"/>
        <v>O23011745992024020711007</v>
      </c>
      <c r="AA458" s="132" t="str">
        <f>IFERROR(VLOOKUP(Y458,TD!$K$46:$L$64,2,0)," ")</f>
        <v>PM/0131/0111/45990070207</v>
      </c>
      <c r="AB458" s="57" t="s">
        <v>139</v>
      </c>
      <c r="AC458" s="133" t="s">
        <v>205</v>
      </c>
    </row>
    <row r="459" spans="2:29" s="28" customFormat="1" ht="57">
      <c r="B459" s="85">
        <v>20241133</v>
      </c>
      <c r="C459" s="53" t="s">
        <v>209</v>
      </c>
      <c r="D459" s="130" t="s">
        <v>163</v>
      </c>
      <c r="E459" s="54" t="s">
        <v>364</v>
      </c>
      <c r="F459" s="130" t="s">
        <v>610</v>
      </c>
      <c r="G459" s="130" t="s">
        <v>156</v>
      </c>
      <c r="H459" s="117">
        <v>80111600</v>
      </c>
      <c r="I459" s="131">
        <v>8</v>
      </c>
      <c r="J459" s="131">
        <v>5</v>
      </c>
      <c r="K459" s="56">
        <v>0</v>
      </c>
      <c r="L459" s="57">
        <v>37500000</v>
      </c>
      <c r="M459" s="130" t="s">
        <v>173</v>
      </c>
      <c r="N459" s="57" t="s">
        <v>114</v>
      </c>
      <c r="O459" s="54" t="s">
        <v>217</v>
      </c>
      <c r="P459" s="132" t="str">
        <f>IFERROR(VLOOKUP(C459,TD!$B$32:$F$36,2,0)," ")</f>
        <v>O230117</v>
      </c>
      <c r="Q459" s="132" t="str">
        <f>IFERROR(VLOOKUP(C459,TD!$B$32:$F$36,3,0)," ")</f>
        <v>4599</v>
      </c>
      <c r="R459" s="132">
        <f>IFERROR(VLOOKUP(C459,TD!$B$32:$F$36,4,0)," ")</f>
        <v>20240207</v>
      </c>
      <c r="S459" s="54" t="s">
        <v>180</v>
      </c>
      <c r="T459" s="132" t="str">
        <f>IFERROR(VLOOKUP(S459,TD!$J$33:$K$43,2,0)," ")</f>
        <v>Infraestructura Tecnológica   (Sistemas de Información y Tecnologia)</v>
      </c>
      <c r="U459" s="54" t="str">
        <f t="shared" ref="U459:U522" si="28">CONCATENATE(S459,"-",T459)</f>
        <v>11-Infraestructura Tecnológica   (Sistemas de Información y Tecnologia)</v>
      </c>
      <c r="V459" s="54" t="s">
        <v>240</v>
      </c>
      <c r="W459" s="132" t="str">
        <f>IFERROR(VLOOKUP(V459,TD!$N$33:$O$45,2,0)," ")</f>
        <v>Servicios tecnológicos</v>
      </c>
      <c r="X459" s="54" t="str">
        <f t="shared" ref="X459:X522" si="29">CONCATENATE(V459,"_",W459)</f>
        <v>007_Servicios tecnológicos</v>
      </c>
      <c r="Y459" s="54" t="str">
        <f t="shared" ref="Y459:Y522" si="30">CONCATENATE(U459," ",X459)</f>
        <v>11-Infraestructura Tecnológica   (Sistemas de Información y Tecnologia) 007_Servicios tecnológicos</v>
      </c>
      <c r="Z459" s="132" t="str">
        <f t="shared" ref="Z459:Z522" si="31">CONCATENATE(P459,Q459,R459,S459,V459)</f>
        <v>O23011745992024020711007</v>
      </c>
      <c r="AA459" s="132" t="str">
        <f>IFERROR(VLOOKUP(Y459,TD!$K$46:$L$64,2,0)," ")</f>
        <v>PM/0131/0111/45990070207</v>
      </c>
      <c r="AB459" s="57" t="s">
        <v>139</v>
      </c>
      <c r="AC459" s="133" t="s">
        <v>205</v>
      </c>
    </row>
    <row r="460" spans="2:29" s="28" customFormat="1" ht="57">
      <c r="B460" s="85">
        <v>20241134</v>
      </c>
      <c r="C460" s="53" t="s">
        <v>209</v>
      </c>
      <c r="D460" s="130" t="s">
        <v>163</v>
      </c>
      <c r="E460" s="54" t="s">
        <v>364</v>
      </c>
      <c r="F460" s="130" t="s">
        <v>611</v>
      </c>
      <c r="G460" s="130" t="s">
        <v>156</v>
      </c>
      <c r="H460" s="117">
        <v>80111600</v>
      </c>
      <c r="I460" s="131">
        <v>8</v>
      </c>
      <c r="J460" s="131">
        <v>5</v>
      </c>
      <c r="K460" s="56">
        <v>0</v>
      </c>
      <c r="L460" s="57">
        <f>49000000-7000000-7000000</f>
        <v>35000000</v>
      </c>
      <c r="M460" s="130" t="s">
        <v>173</v>
      </c>
      <c r="N460" s="57" t="s">
        <v>114</v>
      </c>
      <c r="O460" s="54" t="s">
        <v>216</v>
      </c>
      <c r="P460" s="132" t="str">
        <f>IFERROR(VLOOKUP(C460,TD!$B$32:$F$36,2,0)," ")</f>
        <v>O230117</v>
      </c>
      <c r="Q460" s="132" t="str">
        <f>IFERROR(VLOOKUP(C460,TD!$B$32:$F$36,3,0)," ")</f>
        <v>4599</v>
      </c>
      <c r="R460" s="132">
        <f>IFERROR(VLOOKUP(C460,TD!$B$32:$F$36,4,0)," ")</f>
        <v>20240207</v>
      </c>
      <c r="S460" s="54" t="s">
        <v>180</v>
      </c>
      <c r="T460" s="132" t="str">
        <f>IFERROR(VLOOKUP(S460,TD!$J$33:$K$43,2,0)," ")</f>
        <v>Infraestructura Tecnológica   (Sistemas de Información y Tecnologia)</v>
      </c>
      <c r="U460" s="54" t="str">
        <f t="shared" si="28"/>
        <v>11-Infraestructura Tecnológica   (Sistemas de Información y Tecnologia)</v>
      </c>
      <c r="V460" s="54" t="s">
        <v>240</v>
      </c>
      <c r="W460" s="132" t="str">
        <f>IFERROR(VLOOKUP(V460,TD!$N$33:$O$45,2,0)," ")</f>
        <v>Servicios tecnológicos</v>
      </c>
      <c r="X460" s="54" t="str">
        <f t="shared" si="29"/>
        <v>007_Servicios tecnológicos</v>
      </c>
      <c r="Y460" s="54" t="str">
        <f t="shared" si="30"/>
        <v>11-Infraestructura Tecnológica   (Sistemas de Información y Tecnologia) 007_Servicios tecnológicos</v>
      </c>
      <c r="Z460" s="132" t="str">
        <f t="shared" si="31"/>
        <v>O23011745992024020711007</v>
      </c>
      <c r="AA460" s="132" t="str">
        <f>IFERROR(VLOOKUP(Y460,TD!$K$46:$L$64,2,0)," ")</f>
        <v>PM/0131/0111/45990070207</v>
      </c>
      <c r="AB460" s="57" t="s">
        <v>139</v>
      </c>
      <c r="AC460" s="133" t="s">
        <v>205</v>
      </c>
    </row>
    <row r="461" spans="2:29" s="28" customFormat="1" ht="57">
      <c r="B461" s="85">
        <v>20241135</v>
      </c>
      <c r="C461" s="53" t="s">
        <v>209</v>
      </c>
      <c r="D461" s="130" t="s">
        <v>163</v>
      </c>
      <c r="E461" s="54" t="s">
        <v>364</v>
      </c>
      <c r="F461" s="130" t="s">
        <v>612</v>
      </c>
      <c r="G461" s="130" t="s">
        <v>156</v>
      </c>
      <c r="H461" s="117">
        <v>80111600</v>
      </c>
      <c r="I461" s="131">
        <v>8</v>
      </c>
      <c r="J461" s="131">
        <v>5</v>
      </c>
      <c r="K461" s="56">
        <v>0</v>
      </c>
      <c r="L461" s="57">
        <f>43200000-7200000</f>
        <v>36000000</v>
      </c>
      <c r="M461" s="130" t="s">
        <v>173</v>
      </c>
      <c r="N461" s="57" t="s">
        <v>114</v>
      </c>
      <c r="O461" s="54" t="s">
        <v>215</v>
      </c>
      <c r="P461" s="132" t="str">
        <f>IFERROR(VLOOKUP(C461,TD!$B$32:$F$36,2,0)," ")</f>
        <v>O230117</v>
      </c>
      <c r="Q461" s="132" t="str">
        <f>IFERROR(VLOOKUP(C461,TD!$B$32:$F$36,3,0)," ")</f>
        <v>4599</v>
      </c>
      <c r="R461" s="132">
        <f>IFERROR(VLOOKUP(C461,TD!$B$32:$F$36,4,0)," ")</f>
        <v>20240207</v>
      </c>
      <c r="S461" s="54" t="s">
        <v>180</v>
      </c>
      <c r="T461" s="132" t="str">
        <f>IFERROR(VLOOKUP(S461,TD!$J$33:$K$43,2,0)," ")</f>
        <v>Infraestructura Tecnológica   (Sistemas de Información y Tecnologia)</v>
      </c>
      <c r="U461" s="54" t="str">
        <f t="shared" si="28"/>
        <v>11-Infraestructura Tecnológica   (Sistemas de Información y Tecnologia)</v>
      </c>
      <c r="V461" s="54" t="s">
        <v>240</v>
      </c>
      <c r="W461" s="132" t="str">
        <f>IFERROR(VLOOKUP(V461,TD!$N$33:$O$45,2,0)," ")</f>
        <v>Servicios tecnológicos</v>
      </c>
      <c r="X461" s="54" t="str">
        <f t="shared" si="29"/>
        <v>007_Servicios tecnológicos</v>
      </c>
      <c r="Y461" s="54" t="str">
        <f t="shared" si="30"/>
        <v>11-Infraestructura Tecnológica   (Sistemas de Información y Tecnologia) 007_Servicios tecnológicos</v>
      </c>
      <c r="Z461" s="132" t="str">
        <f t="shared" si="31"/>
        <v>O23011745992024020711007</v>
      </c>
      <c r="AA461" s="132" t="str">
        <f>IFERROR(VLOOKUP(Y461,TD!$K$46:$L$64,2,0)," ")</f>
        <v>PM/0131/0111/45990070207</v>
      </c>
      <c r="AB461" s="57" t="s">
        <v>139</v>
      </c>
      <c r="AC461" s="133" t="s">
        <v>205</v>
      </c>
    </row>
    <row r="462" spans="2:29" s="28" customFormat="1" ht="57">
      <c r="B462" s="85">
        <v>20241136</v>
      </c>
      <c r="C462" s="53" t="s">
        <v>209</v>
      </c>
      <c r="D462" s="130" t="s">
        <v>163</v>
      </c>
      <c r="E462" s="54" t="s">
        <v>364</v>
      </c>
      <c r="F462" s="130" t="s">
        <v>613</v>
      </c>
      <c r="G462" s="130" t="s">
        <v>156</v>
      </c>
      <c r="H462" s="117">
        <v>80111600</v>
      </c>
      <c r="I462" s="131">
        <v>8</v>
      </c>
      <c r="J462" s="131">
        <v>5</v>
      </c>
      <c r="K462" s="56">
        <v>0</v>
      </c>
      <c r="L462" s="57">
        <f>48000000-8000000</f>
        <v>40000000</v>
      </c>
      <c r="M462" s="130" t="s">
        <v>173</v>
      </c>
      <c r="N462" s="57" t="s">
        <v>114</v>
      </c>
      <c r="O462" s="54" t="s">
        <v>216</v>
      </c>
      <c r="P462" s="132" t="str">
        <f>IFERROR(VLOOKUP(C462,TD!$B$32:$F$36,2,0)," ")</f>
        <v>O230117</v>
      </c>
      <c r="Q462" s="132" t="str">
        <f>IFERROR(VLOOKUP(C462,TD!$B$32:$F$36,3,0)," ")</f>
        <v>4599</v>
      </c>
      <c r="R462" s="132">
        <f>IFERROR(VLOOKUP(C462,TD!$B$32:$F$36,4,0)," ")</f>
        <v>20240207</v>
      </c>
      <c r="S462" s="54" t="s">
        <v>180</v>
      </c>
      <c r="T462" s="132" t="str">
        <f>IFERROR(VLOOKUP(S462,TD!$J$33:$K$43,2,0)," ")</f>
        <v>Infraestructura Tecnológica   (Sistemas de Información y Tecnologia)</v>
      </c>
      <c r="U462" s="54" t="str">
        <f t="shared" si="28"/>
        <v>11-Infraestructura Tecnológica   (Sistemas de Información y Tecnologia)</v>
      </c>
      <c r="V462" s="54" t="s">
        <v>240</v>
      </c>
      <c r="W462" s="132" t="str">
        <f>IFERROR(VLOOKUP(V462,TD!$N$33:$O$45,2,0)," ")</f>
        <v>Servicios tecnológicos</v>
      </c>
      <c r="X462" s="54" t="str">
        <f t="shared" si="29"/>
        <v>007_Servicios tecnológicos</v>
      </c>
      <c r="Y462" s="54" t="str">
        <f t="shared" si="30"/>
        <v>11-Infraestructura Tecnológica   (Sistemas de Información y Tecnologia) 007_Servicios tecnológicos</v>
      </c>
      <c r="Z462" s="132" t="str">
        <f t="shared" si="31"/>
        <v>O23011745992024020711007</v>
      </c>
      <c r="AA462" s="132" t="str">
        <f>IFERROR(VLOOKUP(Y462,TD!$K$46:$L$64,2,0)," ")</f>
        <v>PM/0131/0111/45990070207</v>
      </c>
      <c r="AB462" s="57" t="s">
        <v>139</v>
      </c>
      <c r="AC462" s="133" t="s">
        <v>205</v>
      </c>
    </row>
    <row r="463" spans="2:29" s="28" customFormat="1" ht="57">
      <c r="B463" s="85">
        <v>20241138</v>
      </c>
      <c r="C463" s="53" t="s">
        <v>209</v>
      </c>
      <c r="D463" s="130" t="s">
        <v>163</v>
      </c>
      <c r="E463" s="54" t="s">
        <v>364</v>
      </c>
      <c r="F463" s="130" t="s">
        <v>615</v>
      </c>
      <c r="G463" s="130" t="s">
        <v>156</v>
      </c>
      <c r="H463" s="117">
        <v>80111600</v>
      </c>
      <c r="I463" s="131">
        <v>8</v>
      </c>
      <c r="J463" s="131">
        <v>4</v>
      </c>
      <c r="K463" s="56">
        <v>20</v>
      </c>
      <c r="L463" s="57">
        <f>43200000-9600000</f>
        <v>33600000</v>
      </c>
      <c r="M463" s="130" t="s">
        <v>173</v>
      </c>
      <c r="N463" s="57" t="s">
        <v>114</v>
      </c>
      <c r="O463" s="54" t="s">
        <v>216</v>
      </c>
      <c r="P463" s="132" t="str">
        <f>IFERROR(VLOOKUP(C463,TD!$B$32:$F$36,2,0)," ")</f>
        <v>O230117</v>
      </c>
      <c r="Q463" s="132" t="str">
        <f>IFERROR(VLOOKUP(C463,TD!$B$32:$F$36,3,0)," ")</f>
        <v>4599</v>
      </c>
      <c r="R463" s="132">
        <f>IFERROR(VLOOKUP(C463,TD!$B$32:$F$36,4,0)," ")</f>
        <v>20240207</v>
      </c>
      <c r="S463" s="54" t="s">
        <v>180</v>
      </c>
      <c r="T463" s="132" t="str">
        <f>IFERROR(VLOOKUP(S463,TD!$J$33:$K$43,2,0)," ")</f>
        <v>Infraestructura Tecnológica   (Sistemas de Información y Tecnologia)</v>
      </c>
      <c r="U463" s="54" t="str">
        <f t="shared" si="28"/>
        <v>11-Infraestructura Tecnológica   (Sistemas de Información y Tecnologia)</v>
      </c>
      <c r="V463" s="54" t="s">
        <v>240</v>
      </c>
      <c r="W463" s="132" t="str">
        <f>IFERROR(VLOOKUP(V463,TD!$N$33:$O$45,2,0)," ")</f>
        <v>Servicios tecnológicos</v>
      </c>
      <c r="X463" s="54" t="str">
        <f t="shared" si="29"/>
        <v>007_Servicios tecnológicos</v>
      </c>
      <c r="Y463" s="54" t="str">
        <f t="shared" si="30"/>
        <v>11-Infraestructura Tecnológica   (Sistemas de Información y Tecnologia) 007_Servicios tecnológicos</v>
      </c>
      <c r="Z463" s="132" t="str">
        <f t="shared" si="31"/>
        <v>O23011745992024020711007</v>
      </c>
      <c r="AA463" s="132" t="str">
        <f>IFERROR(VLOOKUP(Y463,TD!$K$46:$L$64,2,0)," ")</f>
        <v>PM/0131/0111/45990070207</v>
      </c>
      <c r="AB463" s="57" t="s">
        <v>139</v>
      </c>
      <c r="AC463" s="133" t="s">
        <v>205</v>
      </c>
    </row>
    <row r="464" spans="2:29" s="28" customFormat="1" ht="57">
      <c r="B464" s="85">
        <v>20241139</v>
      </c>
      <c r="C464" s="53" t="s">
        <v>209</v>
      </c>
      <c r="D464" s="130" t="s">
        <v>163</v>
      </c>
      <c r="E464" s="54" t="s">
        <v>364</v>
      </c>
      <c r="F464" s="130" t="s">
        <v>616</v>
      </c>
      <c r="G464" s="130" t="s">
        <v>156</v>
      </c>
      <c r="H464" s="117">
        <v>80111600</v>
      </c>
      <c r="I464" s="131">
        <v>8</v>
      </c>
      <c r="J464" s="131">
        <v>5</v>
      </c>
      <c r="K464" s="56">
        <v>0</v>
      </c>
      <c r="L464" s="57">
        <f>39000000-3000000</f>
        <v>36000000</v>
      </c>
      <c r="M464" s="130" t="s">
        <v>173</v>
      </c>
      <c r="N464" s="57" t="s">
        <v>114</v>
      </c>
      <c r="O464" s="54" t="s">
        <v>215</v>
      </c>
      <c r="P464" s="132" t="str">
        <f>IFERROR(VLOOKUP(C464,TD!$B$32:$F$36,2,0)," ")</f>
        <v>O230117</v>
      </c>
      <c r="Q464" s="132" t="str">
        <f>IFERROR(VLOOKUP(C464,TD!$B$32:$F$36,3,0)," ")</f>
        <v>4599</v>
      </c>
      <c r="R464" s="132">
        <f>IFERROR(VLOOKUP(C464,TD!$B$32:$F$36,4,0)," ")</f>
        <v>20240207</v>
      </c>
      <c r="S464" s="54" t="s">
        <v>180</v>
      </c>
      <c r="T464" s="132" t="str">
        <f>IFERROR(VLOOKUP(S464,TD!$J$33:$K$43,2,0)," ")</f>
        <v>Infraestructura Tecnológica   (Sistemas de Información y Tecnologia)</v>
      </c>
      <c r="U464" s="54" t="str">
        <f t="shared" si="28"/>
        <v>11-Infraestructura Tecnológica   (Sistemas de Información y Tecnologia)</v>
      </c>
      <c r="V464" s="54" t="s">
        <v>240</v>
      </c>
      <c r="W464" s="132" t="str">
        <f>IFERROR(VLOOKUP(V464,TD!$N$33:$O$45,2,0)," ")</f>
        <v>Servicios tecnológicos</v>
      </c>
      <c r="X464" s="54" t="str">
        <f t="shared" si="29"/>
        <v>007_Servicios tecnológicos</v>
      </c>
      <c r="Y464" s="54" t="str">
        <f t="shared" si="30"/>
        <v>11-Infraestructura Tecnológica   (Sistemas de Información y Tecnologia) 007_Servicios tecnológicos</v>
      </c>
      <c r="Z464" s="132" t="str">
        <f t="shared" si="31"/>
        <v>O23011745992024020711007</v>
      </c>
      <c r="AA464" s="132" t="str">
        <f>IFERROR(VLOOKUP(Y464,TD!$K$46:$L$64,2,0)," ")</f>
        <v>PM/0131/0111/45990070207</v>
      </c>
      <c r="AB464" s="57" t="s">
        <v>139</v>
      </c>
      <c r="AC464" s="133" t="s">
        <v>205</v>
      </c>
    </row>
    <row r="465" spans="2:29" s="28" customFormat="1" ht="57">
      <c r="B465" s="85">
        <v>20241140</v>
      </c>
      <c r="C465" s="53" t="s">
        <v>209</v>
      </c>
      <c r="D465" s="130" t="s">
        <v>163</v>
      </c>
      <c r="E465" s="54" t="s">
        <v>364</v>
      </c>
      <c r="F465" s="130" t="s">
        <v>617</v>
      </c>
      <c r="G465" s="130" t="s">
        <v>156</v>
      </c>
      <c r="H465" s="117">
        <v>80111600</v>
      </c>
      <c r="I465" s="131">
        <v>8</v>
      </c>
      <c r="J465" s="131">
        <v>5</v>
      </c>
      <c r="K465" s="56">
        <v>0</v>
      </c>
      <c r="L465" s="57">
        <f>50400000-7200000-7200000+2400000</f>
        <v>38400000</v>
      </c>
      <c r="M465" s="130" t="s">
        <v>173</v>
      </c>
      <c r="N465" s="57" t="s">
        <v>114</v>
      </c>
      <c r="O465" s="54" t="s">
        <v>218</v>
      </c>
      <c r="P465" s="132" t="str">
        <f>IFERROR(VLOOKUP(C465,TD!$B$32:$F$36,2,0)," ")</f>
        <v>O230117</v>
      </c>
      <c r="Q465" s="132" t="str">
        <f>IFERROR(VLOOKUP(C465,TD!$B$32:$F$36,3,0)," ")</f>
        <v>4599</v>
      </c>
      <c r="R465" s="132">
        <f>IFERROR(VLOOKUP(C465,TD!$B$32:$F$36,4,0)," ")</f>
        <v>20240207</v>
      </c>
      <c r="S465" s="54" t="s">
        <v>180</v>
      </c>
      <c r="T465" s="132" t="str">
        <f>IFERROR(VLOOKUP(S465,TD!$J$33:$K$43,2,0)," ")</f>
        <v>Infraestructura Tecnológica   (Sistemas de Información y Tecnologia)</v>
      </c>
      <c r="U465" s="54" t="str">
        <f t="shared" si="28"/>
        <v>11-Infraestructura Tecnológica   (Sistemas de Información y Tecnologia)</v>
      </c>
      <c r="V465" s="54" t="s">
        <v>240</v>
      </c>
      <c r="W465" s="132" t="str">
        <f>IFERROR(VLOOKUP(V465,TD!$N$33:$O$45,2,0)," ")</f>
        <v>Servicios tecnológicos</v>
      </c>
      <c r="X465" s="54" t="str">
        <f t="shared" si="29"/>
        <v>007_Servicios tecnológicos</v>
      </c>
      <c r="Y465" s="54" t="str">
        <f t="shared" si="30"/>
        <v>11-Infraestructura Tecnológica   (Sistemas de Información y Tecnologia) 007_Servicios tecnológicos</v>
      </c>
      <c r="Z465" s="132" t="str">
        <f t="shared" si="31"/>
        <v>O23011745992024020711007</v>
      </c>
      <c r="AA465" s="132" t="str">
        <f>IFERROR(VLOOKUP(Y465,TD!$K$46:$L$64,2,0)," ")</f>
        <v>PM/0131/0111/45990070207</v>
      </c>
      <c r="AB465" s="57" t="s">
        <v>139</v>
      </c>
      <c r="AC465" s="133" t="s">
        <v>205</v>
      </c>
    </row>
    <row r="466" spans="2:29" s="28" customFormat="1" ht="57">
      <c r="B466" s="85">
        <v>20241142</v>
      </c>
      <c r="C466" s="53" t="s">
        <v>209</v>
      </c>
      <c r="D466" s="130" t="s">
        <v>163</v>
      </c>
      <c r="E466" s="54" t="s">
        <v>364</v>
      </c>
      <c r="F466" s="130" t="s">
        <v>619</v>
      </c>
      <c r="G466" s="130" t="s">
        <v>156</v>
      </c>
      <c r="H466" s="117">
        <v>80111600</v>
      </c>
      <c r="I466" s="131">
        <v>8</v>
      </c>
      <c r="J466" s="131">
        <v>5</v>
      </c>
      <c r="K466" s="56">
        <v>0</v>
      </c>
      <c r="L466" s="57">
        <v>36000000</v>
      </c>
      <c r="M466" s="130" t="s">
        <v>173</v>
      </c>
      <c r="N466" s="57" t="s">
        <v>114</v>
      </c>
      <c r="O466" s="54" t="s">
        <v>216</v>
      </c>
      <c r="P466" s="132" t="str">
        <f>IFERROR(VLOOKUP(C466,TD!$B$32:$F$36,2,0)," ")</f>
        <v>O230117</v>
      </c>
      <c r="Q466" s="132" t="str">
        <f>IFERROR(VLOOKUP(C466,TD!$B$32:$F$36,3,0)," ")</f>
        <v>4599</v>
      </c>
      <c r="R466" s="132">
        <f>IFERROR(VLOOKUP(C466,TD!$B$32:$F$36,4,0)," ")</f>
        <v>20240207</v>
      </c>
      <c r="S466" s="54" t="s">
        <v>180</v>
      </c>
      <c r="T466" s="132" t="str">
        <f>IFERROR(VLOOKUP(S466,TD!$J$33:$K$43,2,0)," ")</f>
        <v>Infraestructura Tecnológica   (Sistemas de Información y Tecnologia)</v>
      </c>
      <c r="U466" s="54" t="str">
        <f t="shared" si="28"/>
        <v>11-Infraestructura Tecnológica   (Sistemas de Información y Tecnologia)</v>
      </c>
      <c r="V466" s="54" t="s">
        <v>240</v>
      </c>
      <c r="W466" s="132" t="str">
        <f>IFERROR(VLOOKUP(V466,TD!$N$33:$O$45,2,0)," ")</f>
        <v>Servicios tecnológicos</v>
      </c>
      <c r="X466" s="54" t="str">
        <f t="shared" si="29"/>
        <v>007_Servicios tecnológicos</v>
      </c>
      <c r="Y466" s="54" t="str">
        <f t="shared" si="30"/>
        <v>11-Infraestructura Tecnológica   (Sistemas de Información y Tecnologia) 007_Servicios tecnológicos</v>
      </c>
      <c r="Z466" s="132" t="str">
        <f t="shared" si="31"/>
        <v>O23011745992024020711007</v>
      </c>
      <c r="AA466" s="132" t="str">
        <f>IFERROR(VLOOKUP(Y466,TD!$K$46:$L$64,2,0)," ")</f>
        <v>PM/0131/0111/45990070207</v>
      </c>
      <c r="AB466" s="57" t="s">
        <v>139</v>
      </c>
      <c r="AC466" s="133" t="s">
        <v>205</v>
      </c>
    </row>
    <row r="467" spans="2:29" s="28" customFormat="1" ht="57">
      <c r="B467" s="85">
        <v>20241144</v>
      </c>
      <c r="C467" s="53" t="s">
        <v>209</v>
      </c>
      <c r="D467" s="130" t="s">
        <v>163</v>
      </c>
      <c r="E467" s="54" t="s">
        <v>364</v>
      </c>
      <c r="F467" s="130" t="s">
        <v>621</v>
      </c>
      <c r="G467" s="130" t="s">
        <v>156</v>
      </c>
      <c r="H467" s="117">
        <v>80111600</v>
      </c>
      <c r="I467" s="131">
        <v>8</v>
      </c>
      <c r="J467" s="131">
        <v>5</v>
      </c>
      <c r="K467" s="56">
        <v>0</v>
      </c>
      <c r="L467" s="57">
        <v>30000000</v>
      </c>
      <c r="M467" s="130" t="s">
        <v>173</v>
      </c>
      <c r="N467" s="57" t="s">
        <v>114</v>
      </c>
      <c r="O467" s="54" t="s">
        <v>215</v>
      </c>
      <c r="P467" s="132" t="str">
        <f>IFERROR(VLOOKUP(C467,TD!$B$32:$F$36,2,0)," ")</f>
        <v>O230117</v>
      </c>
      <c r="Q467" s="132" t="str">
        <f>IFERROR(VLOOKUP(C467,TD!$B$32:$F$36,3,0)," ")</f>
        <v>4599</v>
      </c>
      <c r="R467" s="132">
        <f>IFERROR(VLOOKUP(C467,TD!$B$32:$F$36,4,0)," ")</f>
        <v>20240207</v>
      </c>
      <c r="S467" s="54" t="s">
        <v>180</v>
      </c>
      <c r="T467" s="132" t="str">
        <f>IFERROR(VLOOKUP(S467,TD!$J$33:$K$43,2,0)," ")</f>
        <v>Infraestructura Tecnológica   (Sistemas de Información y Tecnologia)</v>
      </c>
      <c r="U467" s="54" t="str">
        <f t="shared" si="28"/>
        <v>11-Infraestructura Tecnológica   (Sistemas de Información y Tecnologia)</v>
      </c>
      <c r="V467" s="54" t="s">
        <v>240</v>
      </c>
      <c r="W467" s="132" t="str">
        <f>IFERROR(VLOOKUP(V467,TD!$N$33:$O$45,2,0)," ")</f>
        <v>Servicios tecnológicos</v>
      </c>
      <c r="X467" s="54" t="str">
        <f t="shared" si="29"/>
        <v>007_Servicios tecnológicos</v>
      </c>
      <c r="Y467" s="54" t="str">
        <f t="shared" si="30"/>
        <v>11-Infraestructura Tecnológica   (Sistemas de Información y Tecnologia) 007_Servicios tecnológicos</v>
      </c>
      <c r="Z467" s="132" t="str">
        <f t="shared" si="31"/>
        <v>O23011745992024020711007</v>
      </c>
      <c r="AA467" s="132" t="str">
        <f>IFERROR(VLOOKUP(Y467,TD!$K$46:$L$64,2,0)," ")</f>
        <v>PM/0131/0111/45990070207</v>
      </c>
      <c r="AB467" s="57" t="s">
        <v>139</v>
      </c>
      <c r="AC467" s="133" t="s">
        <v>205</v>
      </c>
    </row>
    <row r="468" spans="2:29" s="28" customFormat="1" ht="57">
      <c r="B468" s="85">
        <v>20241145</v>
      </c>
      <c r="C468" s="53" t="s">
        <v>209</v>
      </c>
      <c r="D468" s="130" t="s">
        <v>163</v>
      </c>
      <c r="E468" s="54" t="s">
        <v>364</v>
      </c>
      <c r="F468" s="130" t="s">
        <v>622</v>
      </c>
      <c r="G468" s="130" t="s">
        <v>156</v>
      </c>
      <c r="H468" s="117">
        <v>80111600</v>
      </c>
      <c r="I468" s="131">
        <v>9</v>
      </c>
      <c r="J468" s="131">
        <v>4</v>
      </c>
      <c r="K468" s="56">
        <v>0</v>
      </c>
      <c r="L468" s="57">
        <f>25000000-1000000</f>
        <v>24000000</v>
      </c>
      <c r="M468" s="130" t="s">
        <v>173</v>
      </c>
      <c r="N468" s="57" t="s">
        <v>114</v>
      </c>
      <c r="O468" s="54" t="s">
        <v>216</v>
      </c>
      <c r="P468" s="132" t="str">
        <f>IFERROR(VLOOKUP(C468,TD!$B$32:$F$36,2,0)," ")</f>
        <v>O230117</v>
      </c>
      <c r="Q468" s="132" t="str">
        <f>IFERROR(VLOOKUP(C468,TD!$B$32:$F$36,3,0)," ")</f>
        <v>4599</v>
      </c>
      <c r="R468" s="132">
        <f>IFERROR(VLOOKUP(C468,TD!$B$32:$F$36,4,0)," ")</f>
        <v>20240207</v>
      </c>
      <c r="S468" s="54" t="s">
        <v>180</v>
      </c>
      <c r="T468" s="132" t="str">
        <f>IFERROR(VLOOKUP(S468,TD!$J$33:$K$43,2,0)," ")</f>
        <v>Infraestructura Tecnológica   (Sistemas de Información y Tecnologia)</v>
      </c>
      <c r="U468" s="54" t="str">
        <f t="shared" si="28"/>
        <v>11-Infraestructura Tecnológica   (Sistemas de Información y Tecnologia)</v>
      </c>
      <c r="V468" s="54" t="s">
        <v>240</v>
      </c>
      <c r="W468" s="132" t="str">
        <f>IFERROR(VLOOKUP(V468,TD!$N$33:$O$45,2,0)," ")</f>
        <v>Servicios tecnológicos</v>
      </c>
      <c r="X468" s="54" t="str">
        <f t="shared" si="29"/>
        <v>007_Servicios tecnológicos</v>
      </c>
      <c r="Y468" s="54" t="str">
        <f t="shared" si="30"/>
        <v>11-Infraestructura Tecnológica   (Sistemas de Información y Tecnologia) 007_Servicios tecnológicos</v>
      </c>
      <c r="Z468" s="132" t="str">
        <f t="shared" si="31"/>
        <v>O23011745992024020711007</v>
      </c>
      <c r="AA468" s="132" t="str">
        <f>IFERROR(VLOOKUP(Y468,TD!$K$46:$L$64,2,0)," ")</f>
        <v>PM/0131/0111/45990070207</v>
      </c>
      <c r="AB468" s="57" t="s">
        <v>139</v>
      </c>
      <c r="AC468" s="133" t="s">
        <v>205</v>
      </c>
    </row>
    <row r="469" spans="2:29" s="28" customFormat="1" ht="71.25">
      <c r="B469" s="85">
        <v>20241146</v>
      </c>
      <c r="C469" s="53" t="s">
        <v>209</v>
      </c>
      <c r="D469" s="130" t="s">
        <v>163</v>
      </c>
      <c r="E469" s="54" t="s">
        <v>364</v>
      </c>
      <c r="F469" s="130" t="s">
        <v>623</v>
      </c>
      <c r="G469" s="130" t="s">
        <v>156</v>
      </c>
      <c r="H469" s="117">
        <v>80111600</v>
      </c>
      <c r="I469" s="131">
        <v>8</v>
      </c>
      <c r="J469" s="131">
        <v>5</v>
      </c>
      <c r="K469" s="56">
        <v>0</v>
      </c>
      <c r="L469" s="57">
        <f>36000000-6000000</f>
        <v>30000000</v>
      </c>
      <c r="M469" s="130" t="s">
        <v>173</v>
      </c>
      <c r="N469" s="57" t="s">
        <v>114</v>
      </c>
      <c r="O469" s="54" t="s">
        <v>216</v>
      </c>
      <c r="P469" s="132" t="str">
        <f>IFERROR(VLOOKUP(C469,TD!$B$32:$F$36,2,0)," ")</f>
        <v>O230117</v>
      </c>
      <c r="Q469" s="132" t="str">
        <f>IFERROR(VLOOKUP(C469,TD!$B$32:$F$36,3,0)," ")</f>
        <v>4599</v>
      </c>
      <c r="R469" s="132">
        <f>IFERROR(VLOOKUP(C469,TD!$B$32:$F$36,4,0)," ")</f>
        <v>20240207</v>
      </c>
      <c r="S469" s="54" t="s">
        <v>180</v>
      </c>
      <c r="T469" s="132" t="str">
        <f>IFERROR(VLOOKUP(S469,TD!$J$33:$K$43,2,0)," ")</f>
        <v>Infraestructura Tecnológica   (Sistemas de Información y Tecnologia)</v>
      </c>
      <c r="U469" s="54" t="str">
        <f t="shared" si="28"/>
        <v>11-Infraestructura Tecnológica   (Sistemas de Información y Tecnologia)</v>
      </c>
      <c r="V469" s="54" t="s">
        <v>240</v>
      </c>
      <c r="W469" s="132" t="str">
        <f>IFERROR(VLOOKUP(V469,TD!$N$33:$O$45,2,0)," ")</f>
        <v>Servicios tecnológicos</v>
      </c>
      <c r="X469" s="54" t="str">
        <f t="shared" si="29"/>
        <v>007_Servicios tecnológicos</v>
      </c>
      <c r="Y469" s="54" t="str">
        <f t="shared" si="30"/>
        <v>11-Infraestructura Tecnológica   (Sistemas de Información y Tecnologia) 007_Servicios tecnológicos</v>
      </c>
      <c r="Z469" s="132" t="str">
        <f t="shared" si="31"/>
        <v>O23011745992024020711007</v>
      </c>
      <c r="AA469" s="132" t="str">
        <f>IFERROR(VLOOKUP(Y469,TD!$K$46:$L$64,2,0)," ")</f>
        <v>PM/0131/0111/45990070207</v>
      </c>
      <c r="AB469" s="57" t="s">
        <v>139</v>
      </c>
      <c r="AC469" s="133" t="s">
        <v>205</v>
      </c>
    </row>
    <row r="470" spans="2:29" s="28" customFormat="1" ht="57">
      <c r="B470" s="85">
        <v>20241147</v>
      </c>
      <c r="C470" s="53" t="s">
        <v>209</v>
      </c>
      <c r="D470" s="130" t="s">
        <v>163</v>
      </c>
      <c r="E470" s="54" t="s">
        <v>364</v>
      </c>
      <c r="F470" s="130" t="s">
        <v>624</v>
      </c>
      <c r="G470" s="130" t="s">
        <v>157</v>
      </c>
      <c r="H470" s="117">
        <v>80111600</v>
      </c>
      <c r="I470" s="131">
        <v>10</v>
      </c>
      <c r="J470" s="131">
        <v>3</v>
      </c>
      <c r="K470" s="56">
        <v>15</v>
      </c>
      <c r="L470" s="57">
        <f>9250000+1850000</f>
        <v>11100000</v>
      </c>
      <c r="M470" s="130" t="s">
        <v>173</v>
      </c>
      <c r="N470" s="57" t="s">
        <v>114</v>
      </c>
      <c r="O470" s="54" t="s">
        <v>216</v>
      </c>
      <c r="P470" s="132" t="str">
        <f>IFERROR(VLOOKUP(C470,TD!$B$32:$F$36,2,0)," ")</f>
        <v>O230117</v>
      </c>
      <c r="Q470" s="132" t="str">
        <f>IFERROR(VLOOKUP(C470,TD!$B$32:$F$36,3,0)," ")</f>
        <v>4599</v>
      </c>
      <c r="R470" s="132">
        <f>IFERROR(VLOOKUP(C470,TD!$B$32:$F$36,4,0)," ")</f>
        <v>20240207</v>
      </c>
      <c r="S470" s="54" t="s">
        <v>180</v>
      </c>
      <c r="T470" s="132" t="str">
        <f>IFERROR(VLOOKUP(S470,TD!$J$33:$K$43,2,0)," ")</f>
        <v>Infraestructura Tecnológica   (Sistemas de Información y Tecnologia)</v>
      </c>
      <c r="U470" s="54" t="str">
        <f t="shared" si="28"/>
        <v>11-Infraestructura Tecnológica   (Sistemas de Información y Tecnologia)</v>
      </c>
      <c r="V470" s="54" t="s">
        <v>240</v>
      </c>
      <c r="W470" s="132" t="str">
        <f>IFERROR(VLOOKUP(V470,TD!$N$33:$O$45,2,0)," ")</f>
        <v>Servicios tecnológicos</v>
      </c>
      <c r="X470" s="54" t="str">
        <f t="shared" si="29"/>
        <v>007_Servicios tecnológicos</v>
      </c>
      <c r="Y470" s="54" t="str">
        <f t="shared" si="30"/>
        <v>11-Infraestructura Tecnológica   (Sistemas de Información y Tecnologia) 007_Servicios tecnológicos</v>
      </c>
      <c r="Z470" s="132" t="str">
        <f t="shared" si="31"/>
        <v>O23011745992024020711007</v>
      </c>
      <c r="AA470" s="132" t="str">
        <f>IFERROR(VLOOKUP(Y470,TD!$K$46:$L$64,2,0)," ")</f>
        <v>PM/0131/0111/45990070207</v>
      </c>
      <c r="AB470" s="57" t="s">
        <v>139</v>
      </c>
      <c r="AC470" s="133" t="s">
        <v>205</v>
      </c>
    </row>
    <row r="471" spans="2:29" s="28" customFormat="1" ht="57">
      <c r="B471" s="85">
        <v>20241150</v>
      </c>
      <c r="C471" s="53" t="s">
        <v>209</v>
      </c>
      <c r="D471" s="130" t="s">
        <v>163</v>
      </c>
      <c r="E471" s="54" t="s">
        <v>364</v>
      </c>
      <c r="F471" s="130" t="s">
        <v>786</v>
      </c>
      <c r="G471" s="130" t="s">
        <v>157</v>
      </c>
      <c r="H471" s="117">
        <v>80111600</v>
      </c>
      <c r="I471" s="131">
        <v>8</v>
      </c>
      <c r="J471" s="131">
        <v>4</v>
      </c>
      <c r="K471" s="56">
        <v>0</v>
      </c>
      <c r="L471" s="57">
        <f>18000000-1200000</f>
        <v>16800000</v>
      </c>
      <c r="M471" s="130" t="s">
        <v>173</v>
      </c>
      <c r="N471" s="57" t="s">
        <v>114</v>
      </c>
      <c r="O471" s="54" t="s">
        <v>216</v>
      </c>
      <c r="P471" s="132" t="str">
        <f>IFERROR(VLOOKUP(C471,TD!$B$32:$F$36,2,0)," ")</f>
        <v>O230117</v>
      </c>
      <c r="Q471" s="132" t="str">
        <f>IFERROR(VLOOKUP(C471,TD!$B$32:$F$36,3,0)," ")</f>
        <v>4599</v>
      </c>
      <c r="R471" s="132">
        <f>IFERROR(VLOOKUP(C471,TD!$B$32:$F$36,4,0)," ")</f>
        <v>20240207</v>
      </c>
      <c r="S471" s="54" t="s">
        <v>180</v>
      </c>
      <c r="T471" s="132" t="str">
        <f>IFERROR(VLOOKUP(S471,TD!$J$33:$K$43,2,0)," ")</f>
        <v>Infraestructura Tecnológica   (Sistemas de Información y Tecnologia)</v>
      </c>
      <c r="U471" s="54" t="str">
        <f t="shared" si="28"/>
        <v>11-Infraestructura Tecnológica   (Sistemas de Información y Tecnologia)</v>
      </c>
      <c r="V471" s="54" t="s">
        <v>240</v>
      </c>
      <c r="W471" s="132" t="str">
        <f>IFERROR(VLOOKUP(V471,TD!$N$33:$O$45,2,0)," ")</f>
        <v>Servicios tecnológicos</v>
      </c>
      <c r="X471" s="54" t="str">
        <f t="shared" si="29"/>
        <v>007_Servicios tecnológicos</v>
      </c>
      <c r="Y471" s="54" t="str">
        <f t="shared" si="30"/>
        <v>11-Infraestructura Tecnológica   (Sistemas de Información y Tecnologia) 007_Servicios tecnológicos</v>
      </c>
      <c r="Z471" s="132" t="str">
        <f t="shared" si="31"/>
        <v>O23011745992024020711007</v>
      </c>
      <c r="AA471" s="132" t="str">
        <f>IFERROR(VLOOKUP(Y471,TD!$K$46:$L$64,2,0)," ")</f>
        <v>PM/0131/0111/45990070207</v>
      </c>
      <c r="AB471" s="57" t="s">
        <v>139</v>
      </c>
      <c r="AC471" s="133" t="s">
        <v>205</v>
      </c>
    </row>
    <row r="472" spans="2:29" s="28" customFormat="1" ht="57">
      <c r="B472" s="85">
        <v>20241151</v>
      </c>
      <c r="C472" s="53" t="s">
        <v>209</v>
      </c>
      <c r="D472" s="130" t="s">
        <v>163</v>
      </c>
      <c r="E472" s="54" t="s">
        <v>364</v>
      </c>
      <c r="F472" s="130" t="s">
        <v>627</v>
      </c>
      <c r="G472" s="130" t="s">
        <v>156</v>
      </c>
      <c r="H472" s="117">
        <v>80111600</v>
      </c>
      <c r="I472" s="131">
        <v>8</v>
      </c>
      <c r="J472" s="131">
        <v>5</v>
      </c>
      <c r="K472" s="56">
        <v>0</v>
      </c>
      <c r="L472" s="57">
        <f>49440000-8240000</f>
        <v>41200000</v>
      </c>
      <c r="M472" s="130" t="s">
        <v>173</v>
      </c>
      <c r="N472" s="57" t="s">
        <v>114</v>
      </c>
      <c r="O472" s="54" t="s">
        <v>216</v>
      </c>
      <c r="P472" s="132" t="str">
        <f>IFERROR(VLOOKUP(C472,TD!$B$32:$F$36,2,0)," ")</f>
        <v>O230117</v>
      </c>
      <c r="Q472" s="132" t="str">
        <f>IFERROR(VLOOKUP(C472,TD!$B$32:$F$36,3,0)," ")</f>
        <v>4599</v>
      </c>
      <c r="R472" s="132">
        <f>IFERROR(VLOOKUP(C472,TD!$B$32:$F$36,4,0)," ")</f>
        <v>20240207</v>
      </c>
      <c r="S472" s="54" t="s">
        <v>180</v>
      </c>
      <c r="T472" s="132" t="str">
        <f>IFERROR(VLOOKUP(S472,TD!$J$33:$K$43,2,0)," ")</f>
        <v>Infraestructura Tecnológica   (Sistemas de Información y Tecnologia)</v>
      </c>
      <c r="U472" s="54" t="str">
        <f t="shared" si="28"/>
        <v>11-Infraestructura Tecnológica   (Sistemas de Información y Tecnologia)</v>
      </c>
      <c r="V472" s="54" t="s">
        <v>240</v>
      </c>
      <c r="W472" s="132" t="str">
        <f>IFERROR(VLOOKUP(V472,TD!$N$33:$O$45,2,0)," ")</f>
        <v>Servicios tecnológicos</v>
      </c>
      <c r="X472" s="54" t="str">
        <f t="shared" si="29"/>
        <v>007_Servicios tecnológicos</v>
      </c>
      <c r="Y472" s="54" t="str">
        <f t="shared" si="30"/>
        <v>11-Infraestructura Tecnológica   (Sistemas de Información y Tecnologia) 007_Servicios tecnológicos</v>
      </c>
      <c r="Z472" s="132" t="str">
        <f t="shared" si="31"/>
        <v>O23011745992024020711007</v>
      </c>
      <c r="AA472" s="132" t="str">
        <f>IFERROR(VLOOKUP(Y472,TD!$K$46:$L$64,2,0)," ")</f>
        <v>PM/0131/0111/45990070207</v>
      </c>
      <c r="AB472" s="57" t="s">
        <v>139</v>
      </c>
      <c r="AC472" s="133" t="s">
        <v>205</v>
      </c>
    </row>
    <row r="473" spans="2:29" s="28" customFormat="1" ht="85.5">
      <c r="B473" s="85">
        <v>20241159</v>
      </c>
      <c r="C473" s="53" t="s">
        <v>347</v>
      </c>
      <c r="D473" s="130" t="s">
        <v>163</v>
      </c>
      <c r="E473" s="54" t="s">
        <v>364</v>
      </c>
      <c r="F473" s="130" t="s">
        <v>737</v>
      </c>
      <c r="G473" s="130" t="s">
        <v>158</v>
      </c>
      <c r="H473" s="117" t="s">
        <v>738</v>
      </c>
      <c r="I473" s="131">
        <v>8</v>
      </c>
      <c r="J473" s="131">
        <v>7</v>
      </c>
      <c r="K473" s="56">
        <v>0</v>
      </c>
      <c r="L473" s="57">
        <f>259000000-833492</f>
        <v>258166508</v>
      </c>
      <c r="M473" s="130" t="s">
        <v>173</v>
      </c>
      <c r="N473" s="57" t="s">
        <v>96</v>
      </c>
      <c r="O473" s="54" t="s">
        <v>348</v>
      </c>
      <c r="P473" s="132" t="str">
        <f>IFERROR(VLOOKUP(C473,TD!$B$32:$F$36,2,0)," ")</f>
        <v>NA</v>
      </c>
      <c r="Q473" s="132" t="str">
        <f>IFERROR(VLOOKUP(C473,TD!$B$32:$F$36,3,0)," ")</f>
        <v>NA</v>
      </c>
      <c r="R473" s="132" t="str">
        <f>IFERROR(VLOOKUP(C473,TD!$B$32:$F$36,4,0)," ")</f>
        <v>NA</v>
      </c>
      <c r="S473" s="54" t="s">
        <v>546</v>
      </c>
      <c r="T473" s="132" t="str">
        <f>IFERROR(VLOOKUP(S473,TD!$J$33:$K$43,2,0)," ")</f>
        <v>N/A</v>
      </c>
      <c r="U473" s="54" t="str">
        <f t="shared" si="28"/>
        <v>N/A-N/A</v>
      </c>
      <c r="V473" s="54" t="s">
        <v>546</v>
      </c>
      <c r="W473" s="132" t="str">
        <f>IFERROR(VLOOKUP(V473,TD!$N$33:$O$45,2,0)," ")</f>
        <v>N/A</v>
      </c>
      <c r="X473" s="54" t="str">
        <f t="shared" si="29"/>
        <v>N/A_N/A</v>
      </c>
      <c r="Y473" s="54" t="str">
        <f t="shared" si="30"/>
        <v>N/A-N/A N/A_N/A</v>
      </c>
      <c r="Z473" s="132" t="str">
        <f t="shared" si="31"/>
        <v>NANANAN/AN/A</v>
      </c>
      <c r="AA473" s="132" t="str">
        <f>IFERROR(VLOOKUP(Y473,TD!$K$46:$L$64,2,0)," ")</f>
        <v>N/A</v>
      </c>
      <c r="AB473" s="57" t="s">
        <v>831</v>
      </c>
      <c r="AC473" s="133" t="s">
        <v>205</v>
      </c>
    </row>
    <row r="474" spans="2:29" s="28" customFormat="1" ht="42.75">
      <c r="B474" s="85">
        <v>20241160</v>
      </c>
      <c r="C474" s="53" t="s">
        <v>347</v>
      </c>
      <c r="D474" s="130" t="s">
        <v>163</v>
      </c>
      <c r="E474" s="54" t="s">
        <v>364</v>
      </c>
      <c r="F474" s="130" t="s">
        <v>630</v>
      </c>
      <c r="G474" s="130" t="s">
        <v>155</v>
      </c>
      <c r="H474" s="117">
        <v>81112100</v>
      </c>
      <c r="I474" s="131">
        <v>10</v>
      </c>
      <c r="J474" s="131">
        <v>5</v>
      </c>
      <c r="K474" s="56">
        <v>0</v>
      </c>
      <c r="L474" s="57">
        <f>159500000-32006750</f>
        <v>127493250</v>
      </c>
      <c r="M474" s="130" t="s">
        <v>173</v>
      </c>
      <c r="N474" s="57" t="s">
        <v>114</v>
      </c>
      <c r="O474" s="54" t="s">
        <v>348</v>
      </c>
      <c r="P474" s="132" t="str">
        <f>IFERROR(VLOOKUP(C474,TD!$B$32:$F$36,2,0)," ")</f>
        <v>NA</v>
      </c>
      <c r="Q474" s="132" t="str">
        <f>IFERROR(VLOOKUP(C474,TD!$B$32:$F$36,3,0)," ")</f>
        <v>NA</v>
      </c>
      <c r="R474" s="132" t="str">
        <f>IFERROR(VLOOKUP(C474,TD!$B$32:$F$36,4,0)," ")</f>
        <v>NA</v>
      </c>
      <c r="S474" s="54" t="s">
        <v>546</v>
      </c>
      <c r="T474" s="132" t="str">
        <f>IFERROR(VLOOKUP(S474,TD!$J$33:$K$43,2,0)," ")</f>
        <v>N/A</v>
      </c>
      <c r="U474" s="54" t="str">
        <f t="shared" si="28"/>
        <v>N/A-N/A</v>
      </c>
      <c r="V474" s="54" t="s">
        <v>546</v>
      </c>
      <c r="W474" s="132" t="str">
        <f>IFERROR(VLOOKUP(V474,TD!$N$33:$O$45,2,0)," ")</f>
        <v>N/A</v>
      </c>
      <c r="X474" s="54" t="str">
        <f t="shared" si="29"/>
        <v>N/A_N/A</v>
      </c>
      <c r="Y474" s="54" t="str">
        <f t="shared" si="30"/>
        <v>N/A-N/A N/A_N/A</v>
      </c>
      <c r="Z474" s="132" t="str">
        <f t="shared" si="31"/>
        <v>NANANAN/AN/A</v>
      </c>
      <c r="AA474" s="132" t="str">
        <f>IFERROR(VLOOKUP(Y474,TD!$K$46:$L$64,2,0)," ")</f>
        <v>N/A</v>
      </c>
      <c r="AB474" s="57" t="s">
        <v>832</v>
      </c>
      <c r="AC474" s="133" t="s">
        <v>205</v>
      </c>
    </row>
    <row r="475" spans="2:29" s="28" customFormat="1" ht="57">
      <c r="B475" s="85">
        <v>20241161</v>
      </c>
      <c r="C475" s="53" t="s">
        <v>347</v>
      </c>
      <c r="D475" s="130" t="s">
        <v>163</v>
      </c>
      <c r="E475" s="54" t="s">
        <v>364</v>
      </c>
      <c r="F475" s="130" t="s">
        <v>800</v>
      </c>
      <c r="G475" s="130" t="s">
        <v>155</v>
      </c>
      <c r="H475" s="117">
        <v>43233200</v>
      </c>
      <c r="I475" s="131">
        <v>12</v>
      </c>
      <c r="J475" s="131">
        <v>3</v>
      </c>
      <c r="K475" s="56">
        <v>0</v>
      </c>
      <c r="L475" s="57">
        <f>28166508-166508+32006750</f>
        <v>60006750</v>
      </c>
      <c r="M475" s="130" t="s">
        <v>173</v>
      </c>
      <c r="N475" s="57" t="s">
        <v>101</v>
      </c>
      <c r="O475" s="54" t="s">
        <v>348</v>
      </c>
      <c r="P475" s="132" t="str">
        <f>IFERROR(VLOOKUP(C475,TD!$B$32:$F$36,2,0)," ")</f>
        <v>NA</v>
      </c>
      <c r="Q475" s="132" t="str">
        <f>IFERROR(VLOOKUP(C475,TD!$B$32:$F$36,3,0)," ")</f>
        <v>NA</v>
      </c>
      <c r="R475" s="132" t="str">
        <f>IFERROR(VLOOKUP(C475,TD!$B$32:$F$36,4,0)," ")</f>
        <v>NA</v>
      </c>
      <c r="S475" s="54" t="s">
        <v>546</v>
      </c>
      <c r="T475" s="132" t="str">
        <f>IFERROR(VLOOKUP(S475,TD!$J$33:$K$43,2,0)," ")</f>
        <v>N/A</v>
      </c>
      <c r="U475" s="54" t="str">
        <f t="shared" si="28"/>
        <v>N/A-N/A</v>
      </c>
      <c r="V475" s="54" t="s">
        <v>546</v>
      </c>
      <c r="W475" s="132" t="str">
        <f>IFERROR(VLOOKUP(V475,TD!$N$33:$O$45,2,0)," ")</f>
        <v>N/A</v>
      </c>
      <c r="X475" s="54" t="str">
        <f t="shared" si="29"/>
        <v>N/A_N/A</v>
      </c>
      <c r="Y475" s="54" t="str">
        <f t="shared" si="30"/>
        <v>N/A-N/A N/A_N/A</v>
      </c>
      <c r="Z475" s="132" t="str">
        <f t="shared" si="31"/>
        <v>NANANAN/AN/A</v>
      </c>
      <c r="AA475" s="132" t="str">
        <f>IFERROR(VLOOKUP(Y475,TD!$K$46:$L$64,2,0)," ")</f>
        <v>N/A</v>
      </c>
      <c r="AB475" s="57" t="s">
        <v>831</v>
      </c>
      <c r="AC475" s="133" t="s">
        <v>206</v>
      </c>
    </row>
    <row r="476" spans="2:29" s="28" customFormat="1" ht="42.75">
      <c r="B476" s="85">
        <v>20241162</v>
      </c>
      <c r="C476" s="53" t="s">
        <v>347</v>
      </c>
      <c r="D476" s="130" t="s">
        <v>163</v>
      </c>
      <c r="E476" s="54" t="s">
        <v>364</v>
      </c>
      <c r="F476" s="130" t="s">
        <v>631</v>
      </c>
      <c r="G476" s="130" t="s">
        <v>150</v>
      </c>
      <c r="H476" s="117" t="s">
        <v>639</v>
      </c>
      <c r="I476" s="131">
        <v>9</v>
      </c>
      <c r="J476" s="131">
        <v>1</v>
      </c>
      <c r="K476" s="56">
        <v>0</v>
      </c>
      <c r="L476" s="57">
        <f>32500000+1000000</f>
        <v>33500000</v>
      </c>
      <c r="M476" s="130" t="s">
        <v>173</v>
      </c>
      <c r="N476" s="57" t="s">
        <v>124</v>
      </c>
      <c r="O476" s="54" t="s">
        <v>348</v>
      </c>
      <c r="P476" s="132" t="str">
        <f>IFERROR(VLOOKUP(C476,TD!$B$32:$F$36,2,0)," ")</f>
        <v>NA</v>
      </c>
      <c r="Q476" s="132" t="str">
        <f>IFERROR(VLOOKUP(C476,TD!$B$32:$F$36,3,0)," ")</f>
        <v>NA</v>
      </c>
      <c r="R476" s="132" t="str">
        <f>IFERROR(VLOOKUP(C476,TD!$B$32:$F$36,4,0)," ")</f>
        <v>NA</v>
      </c>
      <c r="S476" s="54" t="s">
        <v>546</v>
      </c>
      <c r="T476" s="132" t="str">
        <f>IFERROR(VLOOKUP(S476,TD!$J$33:$K$43,2,0)," ")</f>
        <v>N/A</v>
      </c>
      <c r="U476" s="54" t="str">
        <f t="shared" si="28"/>
        <v>N/A-N/A</v>
      </c>
      <c r="V476" s="54" t="s">
        <v>546</v>
      </c>
      <c r="W476" s="132" t="str">
        <f>IFERROR(VLOOKUP(V476,TD!$N$33:$O$45,2,0)," ")</f>
        <v>N/A</v>
      </c>
      <c r="X476" s="54" t="str">
        <f t="shared" si="29"/>
        <v>N/A_N/A</v>
      </c>
      <c r="Y476" s="54" t="str">
        <f t="shared" si="30"/>
        <v>N/A-N/A N/A_N/A</v>
      </c>
      <c r="Z476" s="132" t="str">
        <f t="shared" si="31"/>
        <v>NANANAN/AN/A</v>
      </c>
      <c r="AA476" s="132" t="str">
        <f>IFERROR(VLOOKUP(Y476,TD!$K$46:$L$64,2,0)," ")</f>
        <v>N/A</v>
      </c>
      <c r="AB476" s="57" t="s">
        <v>833</v>
      </c>
      <c r="AC476" s="133" t="s">
        <v>205</v>
      </c>
    </row>
    <row r="477" spans="2:29" s="28" customFormat="1" ht="42.75">
      <c r="B477" s="85">
        <v>20241163</v>
      </c>
      <c r="C477" s="53" t="s">
        <v>347</v>
      </c>
      <c r="D477" s="130" t="s">
        <v>163</v>
      </c>
      <c r="E477" s="54" t="s">
        <v>364</v>
      </c>
      <c r="F477" s="130" t="s">
        <v>632</v>
      </c>
      <c r="G477" s="130" t="s">
        <v>159</v>
      </c>
      <c r="H477" s="117" t="s">
        <v>640</v>
      </c>
      <c r="I477" s="131">
        <v>12</v>
      </c>
      <c r="J477" s="131">
        <v>12</v>
      </c>
      <c r="K477" s="56">
        <v>0</v>
      </c>
      <c r="L477" s="57">
        <v>6400000</v>
      </c>
      <c r="M477" s="130" t="s">
        <v>173</v>
      </c>
      <c r="N477" s="57" t="s">
        <v>101</v>
      </c>
      <c r="O477" s="54" t="s">
        <v>348</v>
      </c>
      <c r="P477" s="132" t="str">
        <f>IFERROR(VLOOKUP(C477,TD!$B$32:$F$36,2,0)," ")</f>
        <v>NA</v>
      </c>
      <c r="Q477" s="132" t="str">
        <f>IFERROR(VLOOKUP(C477,TD!$B$32:$F$36,3,0)," ")</f>
        <v>NA</v>
      </c>
      <c r="R477" s="132" t="str">
        <f>IFERROR(VLOOKUP(C477,TD!$B$32:$F$36,4,0)," ")</f>
        <v>NA</v>
      </c>
      <c r="S477" s="54" t="s">
        <v>546</v>
      </c>
      <c r="T477" s="132" t="str">
        <f>IFERROR(VLOOKUP(S477,TD!$J$33:$K$43,2,0)," ")</f>
        <v>N/A</v>
      </c>
      <c r="U477" s="54" t="str">
        <f t="shared" si="28"/>
        <v>N/A-N/A</v>
      </c>
      <c r="V477" s="54" t="s">
        <v>546</v>
      </c>
      <c r="W477" s="132" t="str">
        <f>IFERROR(VLOOKUP(V477,TD!$N$33:$O$45,2,0)," ")</f>
        <v>N/A</v>
      </c>
      <c r="X477" s="54" t="str">
        <f t="shared" si="29"/>
        <v>N/A_N/A</v>
      </c>
      <c r="Y477" s="54" t="str">
        <f t="shared" si="30"/>
        <v>N/A-N/A N/A_N/A</v>
      </c>
      <c r="Z477" s="132" t="str">
        <f t="shared" si="31"/>
        <v>NANANAN/AN/A</v>
      </c>
      <c r="AA477" s="132" t="str">
        <f>IFERROR(VLOOKUP(Y477,TD!$K$46:$L$64,2,0)," ")</f>
        <v>N/A</v>
      </c>
      <c r="AB477" s="57" t="s">
        <v>832</v>
      </c>
      <c r="AC477" s="133" t="s">
        <v>205</v>
      </c>
    </row>
    <row r="478" spans="2:29" s="28" customFormat="1" ht="28.5">
      <c r="B478" s="85">
        <v>20241164</v>
      </c>
      <c r="C478" s="53" t="s">
        <v>347</v>
      </c>
      <c r="D478" s="130" t="s">
        <v>170</v>
      </c>
      <c r="E478" s="54" t="s">
        <v>456</v>
      </c>
      <c r="F478" s="130" t="s">
        <v>645</v>
      </c>
      <c r="G478" s="130" t="s">
        <v>110</v>
      </c>
      <c r="H478" s="117">
        <v>53102710</v>
      </c>
      <c r="I478" s="131">
        <v>8</v>
      </c>
      <c r="J478" s="131">
        <v>3</v>
      </c>
      <c r="K478" s="56">
        <v>0</v>
      </c>
      <c r="L478" s="57">
        <v>250000000</v>
      </c>
      <c r="M478" s="130" t="s">
        <v>173</v>
      </c>
      <c r="N478" s="57" t="s">
        <v>96</v>
      </c>
      <c r="O478" s="54" t="s">
        <v>348</v>
      </c>
      <c r="P478" s="132" t="str">
        <f>IFERROR(VLOOKUP(C478,TD!$B$32:$F$36,2,0)," ")</f>
        <v>NA</v>
      </c>
      <c r="Q478" s="132" t="str">
        <f>IFERROR(VLOOKUP(C478,TD!$B$32:$F$36,3,0)," ")</f>
        <v>NA</v>
      </c>
      <c r="R478" s="132" t="str">
        <f>IFERROR(VLOOKUP(C478,TD!$B$32:$F$36,4,0)," ")</f>
        <v>NA</v>
      </c>
      <c r="S478" s="54" t="s">
        <v>546</v>
      </c>
      <c r="T478" s="132" t="str">
        <f>IFERROR(VLOOKUP(S478,TD!$J$33:$K$43,2,0)," ")</f>
        <v>N/A</v>
      </c>
      <c r="U478" s="54" t="str">
        <f t="shared" si="28"/>
        <v>N/A-N/A</v>
      </c>
      <c r="V478" s="54" t="s">
        <v>546</v>
      </c>
      <c r="W478" s="132" t="str">
        <f>IFERROR(VLOOKUP(V478,TD!$N$33:$O$45,2,0)," ")</f>
        <v>N/A</v>
      </c>
      <c r="X478" s="54" t="str">
        <f t="shared" si="29"/>
        <v>N/A_N/A</v>
      </c>
      <c r="Y478" s="54" t="str">
        <f t="shared" si="30"/>
        <v>N/A-N/A N/A_N/A</v>
      </c>
      <c r="Z478" s="132" t="str">
        <f t="shared" si="31"/>
        <v>NANANAN/AN/A</v>
      </c>
      <c r="AA478" s="132" t="str">
        <f>IFERROR(VLOOKUP(Y478,TD!$K$46:$L$64,2,0)," ")</f>
        <v>N/A</v>
      </c>
      <c r="AB478" s="57" t="s">
        <v>349</v>
      </c>
      <c r="AC478" s="133" t="s">
        <v>205</v>
      </c>
    </row>
    <row r="479" spans="2:29" s="28" customFormat="1" ht="42.75">
      <c r="B479" s="85">
        <v>20241167</v>
      </c>
      <c r="C479" s="53" t="s">
        <v>347</v>
      </c>
      <c r="D479" s="130" t="s">
        <v>166</v>
      </c>
      <c r="E479" s="54" t="s">
        <v>857</v>
      </c>
      <c r="F479" s="130" t="s">
        <v>648</v>
      </c>
      <c r="G479" s="130" t="s">
        <v>97</v>
      </c>
      <c r="H479" s="118" t="s">
        <v>546</v>
      </c>
      <c r="I479" s="131">
        <v>9</v>
      </c>
      <c r="J479" s="131">
        <v>0</v>
      </c>
      <c r="K479" s="56">
        <v>0</v>
      </c>
      <c r="L479" s="57">
        <v>170000000</v>
      </c>
      <c r="M479" s="130" t="s">
        <v>173</v>
      </c>
      <c r="N479" s="57" t="s">
        <v>129</v>
      </c>
      <c r="O479" s="54" t="s">
        <v>348</v>
      </c>
      <c r="P479" s="132" t="str">
        <f>IFERROR(VLOOKUP(C479,TD!$B$32:$F$36,2,0)," ")</f>
        <v>NA</v>
      </c>
      <c r="Q479" s="132" t="str">
        <f>IFERROR(VLOOKUP(C479,TD!$B$32:$F$36,3,0)," ")</f>
        <v>NA</v>
      </c>
      <c r="R479" s="132" t="str">
        <f>IFERROR(VLOOKUP(C479,TD!$B$32:$F$36,4,0)," ")</f>
        <v>NA</v>
      </c>
      <c r="S479" s="54" t="s">
        <v>546</v>
      </c>
      <c r="T479" s="132" t="str">
        <f>IFERROR(VLOOKUP(S479,TD!$J$33:$K$43,2,0)," ")</f>
        <v>N/A</v>
      </c>
      <c r="U479" s="54" t="str">
        <f t="shared" si="28"/>
        <v>N/A-N/A</v>
      </c>
      <c r="V479" s="54" t="s">
        <v>546</v>
      </c>
      <c r="W479" s="132" t="str">
        <f>IFERROR(VLOOKUP(V479,TD!$N$33:$O$45,2,0)," ")</f>
        <v>N/A</v>
      </c>
      <c r="X479" s="54" t="str">
        <f t="shared" si="29"/>
        <v>N/A_N/A</v>
      </c>
      <c r="Y479" s="54" t="str">
        <f t="shared" si="30"/>
        <v>N/A-N/A N/A_N/A</v>
      </c>
      <c r="Z479" s="132" t="str">
        <f t="shared" si="31"/>
        <v>NANANAN/AN/A</v>
      </c>
      <c r="AA479" s="132" t="str">
        <f>IFERROR(VLOOKUP(Y479,TD!$K$46:$L$64,2,0)," ")</f>
        <v>N/A</v>
      </c>
      <c r="AB479" s="57" t="s">
        <v>349</v>
      </c>
      <c r="AC479" s="133" t="s">
        <v>205</v>
      </c>
    </row>
    <row r="480" spans="2:29" s="28" customFormat="1" ht="57">
      <c r="B480" s="85">
        <v>20241169</v>
      </c>
      <c r="C480" s="53" t="s">
        <v>209</v>
      </c>
      <c r="D480" s="130" t="s">
        <v>169</v>
      </c>
      <c r="E480" s="54" t="s">
        <v>804</v>
      </c>
      <c r="F480" s="130" t="s">
        <v>686</v>
      </c>
      <c r="G480" s="130" t="s">
        <v>157</v>
      </c>
      <c r="H480" s="117">
        <v>80111600</v>
      </c>
      <c r="I480" s="131">
        <v>8</v>
      </c>
      <c r="J480" s="131">
        <v>4</v>
      </c>
      <c r="K480" s="56">
        <v>0</v>
      </c>
      <c r="L480" s="57">
        <v>12000000</v>
      </c>
      <c r="M480" s="130" t="s">
        <v>173</v>
      </c>
      <c r="N480" s="57" t="s">
        <v>114</v>
      </c>
      <c r="O480" s="54" t="s">
        <v>212</v>
      </c>
      <c r="P480" s="132" t="str">
        <f>IFERROR(VLOOKUP(C480,TD!$B$32:$F$36,2,0)," ")</f>
        <v>O230117</v>
      </c>
      <c r="Q480" s="132" t="str">
        <f>IFERROR(VLOOKUP(C480,TD!$B$32:$F$36,3,0)," ")</f>
        <v>4599</v>
      </c>
      <c r="R480" s="132">
        <f>IFERROR(VLOOKUP(C480,TD!$B$32:$F$36,4,0)," ")</f>
        <v>20240207</v>
      </c>
      <c r="S480" s="54" t="s">
        <v>194</v>
      </c>
      <c r="T480" s="132" t="str">
        <f>IFERROR(VLOOKUP(S480,TD!$J$33:$K$43,2,0)," ")</f>
        <v>Servicios para la planeación y sistemas de gestión y comunicación estratégica</v>
      </c>
      <c r="U480" s="54" t="str">
        <f t="shared" si="28"/>
        <v>13-Servicios para la planeación y sistemas de gestión y comunicación estratégica</v>
      </c>
      <c r="V480" s="54" t="s">
        <v>241</v>
      </c>
      <c r="W480" s="132" t="str">
        <f>IFERROR(VLOOKUP(V480,TD!$N$33:$O$45,2,0)," ")</f>
        <v>Servicio de asistencia técnica</v>
      </c>
      <c r="X480" s="54" t="str">
        <f t="shared" si="29"/>
        <v>031_Servicio de asistencia técnica</v>
      </c>
      <c r="Y480" s="54" t="str">
        <f t="shared" si="30"/>
        <v>13-Servicios para la planeación y sistemas de gestión y comunicación estratégica 031_Servicio de asistencia técnica</v>
      </c>
      <c r="Z480" s="132" t="str">
        <f t="shared" si="31"/>
        <v>O23011745992024020713031</v>
      </c>
      <c r="AA480" s="132" t="str">
        <f>IFERROR(VLOOKUP(Y480,TD!$K$46:$L$64,2,0)," ")</f>
        <v>PM/0131/0113/45990310207</v>
      </c>
      <c r="AB480" s="57" t="s">
        <v>139</v>
      </c>
      <c r="AC480" s="133" t="s">
        <v>205</v>
      </c>
    </row>
    <row r="481" spans="2:29" s="28" customFormat="1" ht="57">
      <c r="B481" s="85">
        <v>20241170</v>
      </c>
      <c r="C481" s="53" t="s">
        <v>209</v>
      </c>
      <c r="D481" s="130" t="s">
        <v>169</v>
      </c>
      <c r="E481" s="54" t="s">
        <v>804</v>
      </c>
      <c r="F481" s="130" t="s">
        <v>767</v>
      </c>
      <c r="G481" s="130" t="s">
        <v>156</v>
      </c>
      <c r="H481" s="117">
        <v>80111600</v>
      </c>
      <c r="I481" s="131">
        <v>8</v>
      </c>
      <c r="J481" s="131">
        <v>4</v>
      </c>
      <c r="K481" s="56">
        <v>0</v>
      </c>
      <c r="L481" s="57">
        <v>24000000</v>
      </c>
      <c r="M481" s="130" t="s">
        <v>173</v>
      </c>
      <c r="N481" s="57" t="s">
        <v>114</v>
      </c>
      <c r="O481" s="54" t="s">
        <v>212</v>
      </c>
      <c r="P481" s="132" t="str">
        <f>IFERROR(VLOOKUP(C481,TD!$B$32:$F$36,2,0)," ")</f>
        <v>O230117</v>
      </c>
      <c r="Q481" s="132" t="str">
        <f>IFERROR(VLOOKUP(C481,TD!$B$32:$F$36,3,0)," ")</f>
        <v>4599</v>
      </c>
      <c r="R481" s="132">
        <f>IFERROR(VLOOKUP(C481,TD!$B$32:$F$36,4,0)," ")</f>
        <v>20240207</v>
      </c>
      <c r="S481" s="54" t="s">
        <v>194</v>
      </c>
      <c r="T481" s="132" t="str">
        <f>IFERROR(VLOOKUP(S481,TD!$J$33:$K$43,2,0)," ")</f>
        <v>Servicios para la planeación y sistemas de gestión y comunicación estratégica</v>
      </c>
      <c r="U481" s="54" t="str">
        <f t="shared" si="28"/>
        <v>13-Servicios para la planeación y sistemas de gestión y comunicación estratégica</v>
      </c>
      <c r="V481" s="54" t="s">
        <v>241</v>
      </c>
      <c r="W481" s="132" t="str">
        <f>IFERROR(VLOOKUP(V481,TD!$N$33:$O$45,2,0)," ")</f>
        <v>Servicio de asistencia técnica</v>
      </c>
      <c r="X481" s="54" t="str">
        <f t="shared" si="29"/>
        <v>031_Servicio de asistencia técnica</v>
      </c>
      <c r="Y481" s="54" t="str">
        <f t="shared" si="30"/>
        <v>13-Servicios para la planeación y sistemas de gestión y comunicación estratégica 031_Servicio de asistencia técnica</v>
      </c>
      <c r="Z481" s="132" t="str">
        <f t="shared" si="31"/>
        <v>O23011745992024020713031</v>
      </c>
      <c r="AA481" s="132" t="str">
        <f>IFERROR(VLOOKUP(Y481,TD!$K$46:$L$64,2,0)," ")</f>
        <v>PM/0131/0113/45990310207</v>
      </c>
      <c r="AB481" s="57" t="s">
        <v>139</v>
      </c>
      <c r="AC481" s="133" t="s">
        <v>205</v>
      </c>
    </row>
    <row r="482" spans="2:29" s="28" customFormat="1" ht="57">
      <c r="B482" s="85">
        <v>20241171</v>
      </c>
      <c r="C482" s="53" t="s">
        <v>209</v>
      </c>
      <c r="D482" s="130" t="s">
        <v>169</v>
      </c>
      <c r="E482" s="54" t="s">
        <v>804</v>
      </c>
      <c r="F482" s="130" t="s">
        <v>687</v>
      </c>
      <c r="G482" s="130" t="s">
        <v>157</v>
      </c>
      <c r="H482" s="117">
        <v>80111600</v>
      </c>
      <c r="I482" s="131">
        <v>8</v>
      </c>
      <c r="J482" s="131">
        <v>3</v>
      </c>
      <c r="K482" s="56">
        <v>0</v>
      </c>
      <c r="L482" s="57">
        <v>9340000</v>
      </c>
      <c r="M482" s="130" t="s">
        <v>173</v>
      </c>
      <c r="N482" s="57" t="s">
        <v>114</v>
      </c>
      <c r="O482" s="54" t="s">
        <v>212</v>
      </c>
      <c r="P482" s="132" t="str">
        <f>IFERROR(VLOOKUP(C482,TD!$B$32:$F$36,2,0)," ")</f>
        <v>O230117</v>
      </c>
      <c r="Q482" s="132" t="str">
        <f>IFERROR(VLOOKUP(C482,TD!$B$32:$F$36,3,0)," ")</f>
        <v>4599</v>
      </c>
      <c r="R482" s="132">
        <f>IFERROR(VLOOKUP(C482,TD!$B$32:$F$36,4,0)," ")</f>
        <v>20240207</v>
      </c>
      <c r="S482" s="54" t="s">
        <v>194</v>
      </c>
      <c r="T482" s="132" t="str">
        <f>IFERROR(VLOOKUP(S482,TD!$J$33:$K$43,2,0)," ")</f>
        <v>Servicios para la planeación y sistemas de gestión y comunicación estratégica</v>
      </c>
      <c r="U482" s="54" t="str">
        <f t="shared" si="28"/>
        <v>13-Servicios para la planeación y sistemas de gestión y comunicación estratégica</v>
      </c>
      <c r="V482" s="54" t="s">
        <v>241</v>
      </c>
      <c r="W482" s="132" t="str">
        <f>IFERROR(VLOOKUP(V482,TD!$N$33:$O$45,2,0)," ")</f>
        <v>Servicio de asistencia técnica</v>
      </c>
      <c r="X482" s="54" t="str">
        <f t="shared" si="29"/>
        <v>031_Servicio de asistencia técnica</v>
      </c>
      <c r="Y482" s="54" t="str">
        <f t="shared" si="30"/>
        <v>13-Servicios para la planeación y sistemas de gestión y comunicación estratégica 031_Servicio de asistencia técnica</v>
      </c>
      <c r="Z482" s="132" t="str">
        <f t="shared" si="31"/>
        <v>O23011745992024020713031</v>
      </c>
      <c r="AA482" s="132" t="str">
        <f>IFERROR(VLOOKUP(Y482,TD!$K$46:$L$64,2,0)," ")</f>
        <v>PM/0131/0113/45990310207</v>
      </c>
      <c r="AB482" s="57" t="s">
        <v>139</v>
      </c>
      <c r="AC482" s="133" t="s">
        <v>205</v>
      </c>
    </row>
    <row r="483" spans="2:29" s="28" customFormat="1" ht="57">
      <c r="B483" s="85">
        <v>20241172</v>
      </c>
      <c r="C483" s="53" t="s">
        <v>209</v>
      </c>
      <c r="D483" s="130" t="s">
        <v>169</v>
      </c>
      <c r="E483" s="54" t="s">
        <v>804</v>
      </c>
      <c r="F483" s="130" t="s">
        <v>688</v>
      </c>
      <c r="G483" s="130" t="s">
        <v>156</v>
      </c>
      <c r="H483" s="117">
        <v>80111600</v>
      </c>
      <c r="I483" s="131">
        <v>8</v>
      </c>
      <c r="J483" s="131">
        <v>5</v>
      </c>
      <c r="K483" s="56">
        <v>0</v>
      </c>
      <c r="L483" s="57">
        <v>30900000</v>
      </c>
      <c r="M483" s="130" t="s">
        <v>173</v>
      </c>
      <c r="N483" s="57" t="s">
        <v>114</v>
      </c>
      <c r="O483" s="54" t="s">
        <v>212</v>
      </c>
      <c r="P483" s="132" t="str">
        <f>IFERROR(VLOOKUP(C483,TD!$B$32:$F$36,2,0)," ")</f>
        <v>O230117</v>
      </c>
      <c r="Q483" s="132" t="str">
        <f>IFERROR(VLOOKUP(C483,TD!$B$32:$F$36,3,0)," ")</f>
        <v>4599</v>
      </c>
      <c r="R483" s="132">
        <f>IFERROR(VLOOKUP(C483,TD!$B$32:$F$36,4,0)," ")</f>
        <v>20240207</v>
      </c>
      <c r="S483" s="54" t="s">
        <v>194</v>
      </c>
      <c r="T483" s="132" t="str">
        <f>IFERROR(VLOOKUP(S483,TD!$J$33:$K$43,2,0)," ")</f>
        <v>Servicios para la planeación y sistemas de gestión y comunicación estratégica</v>
      </c>
      <c r="U483" s="54" t="str">
        <f t="shared" si="28"/>
        <v>13-Servicios para la planeación y sistemas de gestión y comunicación estratégica</v>
      </c>
      <c r="V483" s="54" t="s">
        <v>241</v>
      </c>
      <c r="W483" s="132" t="str">
        <f>IFERROR(VLOOKUP(V483,TD!$N$33:$O$45,2,0)," ")</f>
        <v>Servicio de asistencia técnica</v>
      </c>
      <c r="X483" s="54" t="str">
        <f t="shared" si="29"/>
        <v>031_Servicio de asistencia técnica</v>
      </c>
      <c r="Y483" s="54" t="str">
        <f t="shared" si="30"/>
        <v>13-Servicios para la planeación y sistemas de gestión y comunicación estratégica 031_Servicio de asistencia técnica</v>
      </c>
      <c r="Z483" s="132" t="str">
        <f t="shared" si="31"/>
        <v>O23011745992024020713031</v>
      </c>
      <c r="AA483" s="132" t="str">
        <f>IFERROR(VLOOKUP(Y483,TD!$K$46:$L$64,2,0)," ")</f>
        <v>PM/0131/0113/45990310207</v>
      </c>
      <c r="AB483" s="57" t="s">
        <v>139</v>
      </c>
      <c r="AC483" s="133" t="s">
        <v>205</v>
      </c>
    </row>
    <row r="484" spans="2:29" s="28" customFormat="1" ht="57">
      <c r="B484" s="85">
        <v>20241173</v>
      </c>
      <c r="C484" s="53" t="s">
        <v>209</v>
      </c>
      <c r="D484" s="130" t="s">
        <v>169</v>
      </c>
      <c r="E484" s="54" t="s">
        <v>804</v>
      </c>
      <c r="F484" s="130" t="s">
        <v>689</v>
      </c>
      <c r="G484" s="130" t="s">
        <v>156</v>
      </c>
      <c r="H484" s="117">
        <v>80111600</v>
      </c>
      <c r="I484" s="131">
        <v>8</v>
      </c>
      <c r="J484" s="131">
        <v>2</v>
      </c>
      <c r="K484" s="56">
        <v>0</v>
      </c>
      <c r="L484" s="57">
        <v>8000000</v>
      </c>
      <c r="M484" s="130" t="s">
        <v>173</v>
      </c>
      <c r="N484" s="57" t="s">
        <v>114</v>
      </c>
      <c r="O484" s="54" t="s">
        <v>212</v>
      </c>
      <c r="P484" s="132" t="str">
        <f>IFERROR(VLOOKUP(C484,TD!$B$32:$F$36,2,0)," ")</f>
        <v>O230117</v>
      </c>
      <c r="Q484" s="132" t="str">
        <f>IFERROR(VLOOKUP(C484,TD!$B$32:$F$36,3,0)," ")</f>
        <v>4599</v>
      </c>
      <c r="R484" s="132">
        <f>IFERROR(VLOOKUP(C484,TD!$B$32:$F$36,4,0)," ")</f>
        <v>20240207</v>
      </c>
      <c r="S484" s="54" t="s">
        <v>194</v>
      </c>
      <c r="T484" s="132" t="str">
        <f>IFERROR(VLOOKUP(S484,TD!$J$33:$K$43,2,0)," ")</f>
        <v>Servicios para la planeación y sistemas de gestión y comunicación estratégica</v>
      </c>
      <c r="U484" s="54" t="str">
        <f t="shared" si="28"/>
        <v>13-Servicios para la planeación y sistemas de gestión y comunicación estratégica</v>
      </c>
      <c r="V484" s="54" t="s">
        <v>241</v>
      </c>
      <c r="W484" s="132" t="str">
        <f>IFERROR(VLOOKUP(V484,TD!$N$33:$O$45,2,0)," ")</f>
        <v>Servicio de asistencia técnica</v>
      </c>
      <c r="X484" s="54" t="str">
        <f t="shared" si="29"/>
        <v>031_Servicio de asistencia técnica</v>
      </c>
      <c r="Y484" s="54" t="str">
        <f t="shared" si="30"/>
        <v>13-Servicios para la planeación y sistemas de gestión y comunicación estratégica 031_Servicio de asistencia técnica</v>
      </c>
      <c r="Z484" s="132" t="str">
        <f t="shared" si="31"/>
        <v>O23011745992024020713031</v>
      </c>
      <c r="AA484" s="132" t="str">
        <f>IFERROR(VLOOKUP(Y484,TD!$K$46:$L$64,2,0)," ")</f>
        <v>PM/0131/0113/45990310207</v>
      </c>
      <c r="AB484" s="57" t="s">
        <v>139</v>
      </c>
      <c r="AC484" s="133" t="s">
        <v>205</v>
      </c>
    </row>
    <row r="485" spans="2:29" s="28" customFormat="1" ht="57">
      <c r="B485" s="85">
        <v>20241174</v>
      </c>
      <c r="C485" s="53" t="s">
        <v>209</v>
      </c>
      <c r="D485" s="130" t="s">
        <v>169</v>
      </c>
      <c r="E485" s="54" t="s">
        <v>804</v>
      </c>
      <c r="F485" s="130" t="s">
        <v>690</v>
      </c>
      <c r="G485" s="130" t="s">
        <v>156</v>
      </c>
      <c r="H485" s="117">
        <v>80111600</v>
      </c>
      <c r="I485" s="131">
        <v>8</v>
      </c>
      <c r="J485" s="131">
        <v>4</v>
      </c>
      <c r="K485" s="56">
        <v>0</v>
      </c>
      <c r="L485" s="57">
        <v>30000000</v>
      </c>
      <c r="M485" s="130" t="s">
        <v>173</v>
      </c>
      <c r="N485" s="57" t="s">
        <v>114</v>
      </c>
      <c r="O485" s="54" t="s">
        <v>212</v>
      </c>
      <c r="P485" s="132" t="str">
        <f>IFERROR(VLOOKUP(C485,TD!$B$32:$F$36,2,0)," ")</f>
        <v>O230117</v>
      </c>
      <c r="Q485" s="132" t="str">
        <f>IFERROR(VLOOKUP(C485,TD!$B$32:$F$36,3,0)," ")</f>
        <v>4599</v>
      </c>
      <c r="R485" s="132">
        <f>IFERROR(VLOOKUP(C485,TD!$B$32:$F$36,4,0)," ")</f>
        <v>20240207</v>
      </c>
      <c r="S485" s="54" t="s">
        <v>194</v>
      </c>
      <c r="T485" s="132" t="str">
        <f>IFERROR(VLOOKUP(S485,TD!$J$33:$K$43,2,0)," ")</f>
        <v>Servicios para la planeación y sistemas de gestión y comunicación estratégica</v>
      </c>
      <c r="U485" s="54" t="str">
        <f t="shared" si="28"/>
        <v>13-Servicios para la planeación y sistemas de gestión y comunicación estratégica</v>
      </c>
      <c r="V485" s="54" t="s">
        <v>241</v>
      </c>
      <c r="W485" s="132" t="str">
        <f>IFERROR(VLOOKUP(V485,TD!$N$33:$O$45,2,0)," ")</f>
        <v>Servicio de asistencia técnica</v>
      </c>
      <c r="X485" s="54" t="str">
        <f t="shared" si="29"/>
        <v>031_Servicio de asistencia técnica</v>
      </c>
      <c r="Y485" s="54" t="str">
        <f t="shared" si="30"/>
        <v>13-Servicios para la planeación y sistemas de gestión y comunicación estratégica 031_Servicio de asistencia técnica</v>
      </c>
      <c r="Z485" s="132" t="str">
        <f t="shared" si="31"/>
        <v>O23011745992024020713031</v>
      </c>
      <c r="AA485" s="132" t="str">
        <f>IFERROR(VLOOKUP(Y485,TD!$K$46:$L$64,2,0)," ")</f>
        <v>PM/0131/0113/45990310207</v>
      </c>
      <c r="AB485" s="57" t="s">
        <v>139</v>
      </c>
      <c r="AC485" s="133" t="s">
        <v>205</v>
      </c>
    </row>
    <row r="486" spans="2:29" s="28" customFormat="1" ht="57">
      <c r="B486" s="85">
        <v>20241175</v>
      </c>
      <c r="C486" s="53" t="s">
        <v>209</v>
      </c>
      <c r="D486" s="130" t="s">
        <v>169</v>
      </c>
      <c r="E486" s="54" t="s">
        <v>804</v>
      </c>
      <c r="F486" s="130" t="s">
        <v>691</v>
      </c>
      <c r="G486" s="130" t="s">
        <v>157</v>
      </c>
      <c r="H486" s="117">
        <v>80111600</v>
      </c>
      <c r="I486" s="131">
        <v>8</v>
      </c>
      <c r="J486" s="131">
        <v>2</v>
      </c>
      <c r="K486" s="56">
        <v>0</v>
      </c>
      <c r="L486" s="57">
        <v>7260000</v>
      </c>
      <c r="M486" s="130" t="s">
        <v>173</v>
      </c>
      <c r="N486" s="57" t="s">
        <v>114</v>
      </c>
      <c r="O486" s="54" t="s">
        <v>212</v>
      </c>
      <c r="P486" s="132" t="str">
        <f>IFERROR(VLOOKUP(C486,TD!$B$32:$F$36,2,0)," ")</f>
        <v>O230117</v>
      </c>
      <c r="Q486" s="132" t="str">
        <f>IFERROR(VLOOKUP(C486,TD!$B$32:$F$36,3,0)," ")</f>
        <v>4599</v>
      </c>
      <c r="R486" s="132">
        <f>IFERROR(VLOOKUP(C486,TD!$B$32:$F$36,4,0)," ")</f>
        <v>20240207</v>
      </c>
      <c r="S486" s="54" t="s">
        <v>194</v>
      </c>
      <c r="T486" s="132" t="str">
        <f>IFERROR(VLOOKUP(S486,TD!$J$33:$K$43,2,0)," ")</f>
        <v>Servicios para la planeación y sistemas de gestión y comunicación estratégica</v>
      </c>
      <c r="U486" s="54" t="str">
        <f t="shared" si="28"/>
        <v>13-Servicios para la planeación y sistemas de gestión y comunicación estratégica</v>
      </c>
      <c r="V486" s="54" t="s">
        <v>241</v>
      </c>
      <c r="W486" s="132" t="str">
        <f>IFERROR(VLOOKUP(V486,TD!$N$33:$O$45,2,0)," ")</f>
        <v>Servicio de asistencia técnica</v>
      </c>
      <c r="X486" s="54" t="str">
        <f t="shared" si="29"/>
        <v>031_Servicio de asistencia técnica</v>
      </c>
      <c r="Y486" s="54" t="str">
        <f t="shared" si="30"/>
        <v>13-Servicios para la planeación y sistemas de gestión y comunicación estratégica 031_Servicio de asistencia técnica</v>
      </c>
      <c r="Z486" s="132" t="str">
        <f t="shared" si="31"/>
        <v>O23011745992024020713031</v>
      </c>
      <c r="AA486" s="132" t="str">
        <f>IFERROR(VLOOKUP(Y486,TD!$K$46:$L$64,2,0)," ")</f>
        <v>PM/0131/0113/45990310207</v>
      </c>
      <c r="AB486" s="57" t="s">
        <v>139</v>
      </c>
      <c r="AC486" s="133" t="s">
        <v>205</v>
      </c>
    </row>
    <row r="487" spans="2:29" s="28" customFormat="1" ht="57">
      <c r="B487" s="85">
        <v>20241176</v>
      </c>
      <c r="C487" s="53" t="s">
        <v>210</v>
      </c>
      <c r="D487" s="130" t="s">
        <v>169</v>
      </c>
      <c r="E487" s="54" t="s">
        <v>804</v>
      </c>
      <c r="F487" s="130" t="s">
        <v>701</v>
      </c>
      <c r="G487" s="130" t="s">
        <v>120</v>
      </c>
      <c r="H487" s="117">
        <v>72101509</v>
      </c>
      <c r="I487" s="131">
        <v>7</v>
      </c>
      <c r="J487" s="131">
        <v>4</v>
      </c>
      <c r="K487" s="56">
        <v>15</v>
      </c>
      <c r="L487" s="57">
        <v>22500000</v>
      </c>
      <c r="M487" s="130" t="s">
        <v>173</v>
      </c>
      <c r="N487" s="57" t="s">
        <v>96</v>
      </c>
      <c r="O487" s="54" t="s">
        <v>225</v>
      </c>
      <c r="P487" s="132" t="str">
        <f>IFERROR(VLOOKUP(C487,TD!$B$32:$F$36,2,0)," ")</f>
        <v>O230117</v>
      </c>
      <c r="Q487" s="132" t="str">
        <f>IFERROR(VLOOKUP(C487,TD!$B$32:$F$36,3,0)," ")</f>
        <v>4503</v>
      </c>
      <c r="R487" s="132">
        <f>IFERROR(VLOOKUP(C487,TD!$B$32:$F$36,4,0)," ")</f>
        <v>20240255</v>
      </c>
      <c r="S487" s="54" t="s">
        <v>192</v>
      </c>
      <c r="T487" s="132" t="str">
        <f>IFERROR(VLOOKUP(S487,TD!$J$33:$K$43,2,0)," ")</f>
        <v>Servicio de apoyo   logístico  en eventos operativos y/o emergencias.</v>
      </c>
      <c r="U487" s="54" t="str">
        <f t="shared" si="28"/>
        <v>12-Servicio de apoyo   logístico  en eventos operativos y/o emergencias.</v>
      </c>
      <c r="V487" s="54" t="s">
        <v>233</v>
      </c>
      <c r="W487" s="132" t="str">
        <f>IFERROR(VLOOKUP(V487,TD!$N$33:$O$45,2,0)," ")</f>
        <v>Servicio de atención a emergencias y desastres</v>
      </c>
      <c r="X487" s="54" t="str">
        <f t="shared" si="29"/>
        <v>004_Servicio de atención a emergencias y desastres</v>
      </c>
      <c r="Y487" s="54" t="str">
        <f t="shared" si="30"/>
        <v>12-Servicio de apoyo   logístico  en eventos operativos y/o emergencias. 004_Servicio de atención a emergencias y desastres</v>
      </c>
      <c r="Z487" s="132" t="str">
        <f t="shared" si="31"/>
        <v>O23011745032024025512004</v>
      </c>
      <c r="AA487" s="132" t="str">
        <f>IFERROR(VLOOKUP(Y487,TD!$K$46:$L$64,2,0)," ")</f>
        <v>PM/0131/0112/45030040255</v>
      </c>
      <c r="AB487" s="57" t="s">
        <v>88</v>
      </c>
      <c r="AC487" s="133" t="s">
        <v>205</v>
      </c>
    </row>
    <row r="488" spans="2:29" s="28" customFormat="1" ht="57">
      <c r="B488" s="85">
        <v>20241177</v>
      </c>
      <c r="C488" s="53" t="s">
        <v>209</v>
      </c>
      <c r="D488" s="130" t="s">
        <v>166</v>
      </c>
      <c r="E488" s="54" t="s">
        <v>857</v>
      </c>
      <c r="F488" s="130" t="s">
        <v>707</v>
      </c>
      <c r="G488" s="130" t="s">
        <v>156</v>
      </c>
      <c r="H488" s="117">
        <v>80111600</v>
      </c>
      <c r="I488" s="131">
        <v>8</v>
      </c>
      <c r="J488" s="131">
        <v>4</v>
      </c>
      <c r="K488" s="56">
        <v>15</v>
      </c>
      <c r="L488" s="57">
        <v>31500000</v>
      </c>
      <c r="M488" s="130" t="s">
        <v>173</v>
      </c>
      <c r="N488" s="57" t="s">
        <v>114</v>
      </c>
      <c r="O488" s="54" t="s">
        <v>214</v>
      </c>
      <c r="P488" s="132" t="str">
        <f>IFERROR(VLOOKUP(C488,TD!$B$32:$F$36,2,0)," ")</f>
        <v>O230117</v>
      </c>
      <c r="Q488" s="132" t="str">
        <f>IFERROR(VLOOKUP(C488,TD!$B$32:$F$36,3,0)," ")</f>
        <v>4599</v>
      </c>
      <c r="R488" s="132">
        <f>IFERROR(VLOOKUP(C488,TD!$B$32:$F$36,4,0)," ")</f>
        <v>20240207</v>
      </c>
      <c r="S488" s="54" t="s">
        <v>194</v>
      </c>
      <c r="T488" s="132" t="str">
        <f>IFERROR(VLOOKUP(S488,TD!$J$33:$K$43,2,0)," ")</f>
        <v>Servicios para la planeación y sistemas de gestión y comunicación estratégica</v>
      </c>
      <c r="U488" s="54" t="str">
        <f t="shared" si="28"/>
        <v>13-Servicios para la planeación y sistemas de gestión y comunicación estratégica</v>
      </c>
      <c r="V488" s="54" t="s">
        <v>242</v>
      </c>
      <c r="W488" s="132" t="str">
        <f>IFERROR(VLOOKUP(V488,TD!$N$33:$O$45,2,0)," ")</f>
        <v>Servicio de Implementación Sistemas de Gestión</v>
      </c>
      <c r="X488" s="54" t="str">
        <f t="shared" si="29"/>
        <v>023_Servicio de Implementación Sistemas de Gestión</v>
      </c>
      <c r="Y488" s="54" t="str">
        <f t="shared" si="30"/>
        <v>13-Servicios para la planeación y sistemas de gestión y comunicación estratégica 023_Servicio de Implementación Sistemas de Gestión</v>
      </c>
      <c r="Z488" s="132" t="str">
        <f t="shared" si="31"/>
        <v>O23011745992024020713023</v>
      </c>
      <c r="AA488" s="132" t="str">
        <f>IFERROR(VLOOKUP(Y488,TD!$K$46:$L$64,2,0)," ")</f>
        <v>PM/0131/0113/45990230207</v>
      </c>
      <c r="AB488" s="57" t="s">
        <v>139</v>
      </c>
      <c r="AC488" s="133" t="s">
        <v>205</v>
      </c>
    </row>
    <row r="489" spans="2:29" s="28" customFormat="1" ht="57">
      <c r="B489" s="85">
        <v>20241178</v>
      </c>
      <c r="C489" s="53" t="s">
        <v>209</v>
      </c>
      <c r="D489" s="130" t="s">
        <v>166</v>
      </c>
      <c r="E489" s="54" t="s">
        <v>857</v>
      </c>
      <c r="F489" s="130" t="s">
        <v>708</v>
      </c>
      <c r="G489" s="130" t="s">
        <v>156</v>
      </c>
      <c r="H489" s="117">
        <v>80111600</v>
      </c>
      <c r="I489" s="131">
        <v>8</v>
      </c>
      <c r="J489" s="131">
        <v>4</v>
      </c>
      <c r="K489" s="56">
        <v>15</v>
      </c>
      <c r="L489" s="57">
        <f>33750000+20000000-20000000</f>
        <v>33750000</v>
      </c>
      <c r="M489" s="130" t="s">
        <v>173</v>
      </c>
      <c r="N489" s="57" t="s">
        <v>114</v>
      </c>
      <c r="O489" s="54" t="s">
        <v>214</v>
      </c>
      <c r="P489" s="132" t="str">
        <f>IFERROR(VLOOKUP(C489,TD!$B$32:$F$36,2,0)," ")</f>
        <v>O230117</v>
      </c>
      <c r="Q489" s="132" t="str">
        <f>IFERROR(VLOOKUP(C489,TD!$B$32:$F$36,3,0)," ")</f>
        <v>4599</v>
      </c>
      <c r="R489" s="132">
        <f>IFERROR(VLOOKUP(C489,TD!$B$32:$F$36,4,0)," ")</f>
        <v>20240207</v>
      </c>
      <c r="S489" s="54" t="s">
        <v>194</v>
      </c>
      <c r="T489" s="132" t="str">
        <f>IFERROR(VLOOKUP(S489,TD!$J$33:$K$43,2,0)," ")</f>
        <v>Servicios para la planeación y sistemas de gestión y comunicación estratégica</v>
      </c>
      <c r="U489" s="54" t="str">
        <f t="shared" si="28"/>
        <v>13-Servicios para la planeación y sistemas de gestión y comunicación estratégica</v>
      </c>
      <c r="V489" s="54" t="s">
        <v>242</v>
      </c>
      <c r="W489" s="132" t="str">
        <f>IFERROR(VLOOKUP(V489,TD!$N$33:$O$45,2,0)," ")</f>
        <v>Servicio de Implementación Sistemas de Gestión</v>
      </c>
      <c r="X489" s="54" t="str">
        <f t="shared" si="29"/>
        <v>023_Servicio de Implementación Sistemas de Gestión</v>
      </c>
      <c r="Y489" s="54" t="str">
        <f t="shared" si="30"/>
        <v>13-Servicios para la planeación y sistemas de gestión y comunicación estratégica 023_Servicio de Implementación Sistemas de Gestión</v>
      </c>
      <c r="Z489" s="132" t="str">
        <f t="shared" si="31"/>
        <v>O23011745992024020713023</v>
      </c>
      <c r="AA489" s="132" t="str">
        <f>IFERROR(VLOOKUP(Y489,TD!$K$46:$L$64,2,0)," ")</f>
        <v>PM/0131/0113/45990230207</v>
      </c>
      <c r="AB489" s="57" t="s">
        <v>139</v>
      </c>
      <c r="AC489" s="133" t="s">
        <v>205</v>
      </c>
    </row>
    <row r="490" spans="2:29" s="28" customFormat="1" ht="71.25">
      <c r="B490" s="85">
        <v>20241179</v>
      </c>
      <c r="C490" s="53" t="s">
        <v>209</v>
      </c>
      <c r="D490" s="130" t="s">
        <v>166</v>
      </c>
      <c r="E490" s="54" t="s">
        <v>857</v>
      </c>
      <c r="F490" s="130" t="s">
        <v>709</v>
      </c>
      <c r="G490" s="130" t="s">
        <v>157</v>
      </c>
      <c r="H490" s="117">
        <v>80111600</v>
      </c>
      <c r="I490" s="131">
        <v>8</v>
      </c>
      <c r="J490" s="131">
        <v>4</v>
      </c>
      <c r="K490" s="56">
        <v>3</v>
      </c>
      <c r="L490" s="57">
        <v>34750000</v>
      </c>
      <c r="M490" s="130" t="s">
        <v>173</v>
      </c>
      <c r="N490" s="57" t="s">
        <v>114</v>
      </c>
      <c r="O490" s="54" t="s">
        <v>214</v>
      </c>
      <c r="P490" s="132" t="str">
        <f>IFERROR(VLOOKUP(C490,TD!$B$32:$F$36,2,0)," ")</f>
        <v>O230117</v>
      </c>
      <c r="Q490" s="132" t="str">
        <f>IFERROR(VLOOKUP(C490,TD!$B$32:$F$36,3,0)," ")</f>
        <v>4599</v>
      </c>
      <c r="R490" s="132">
        <f>IFERROR(VLOOKUP(C490,TD!$B$32:$F$36,4,0)," ")</f>
        <v>20240207</v>
      </c>
      <c r="S490" s="54" t="s">
        <v>194</v>
      </c>
      <c r="T490" s="132" t="str">
        <f>IFERROR(VLOOKUP(S490,TD!$J$33:$K$43,2,0)," ")</f>
        <v>Servicios para la planeación y sistemas de gestión y comunicación estratégica</v>
      </c>
      <c r="U490" s="54" t="str">
        <f t="shared" si="28"/>
        <v>13-Servicios para la planeación y sistemas de gestión y comunicación estratégica</v>
      </c>
      <c r="V490" s="54" t="s">
        <v>242</v>
      </c>
      <c r="W490" s="132" t="str">
        <f>IFERROR(VLOOKUP(V490,TD!$N$33:$O$45,2,0)," ")</f>
        <v>Servicio de Implementación Sistemas de Gestión</v>
      </c>
      <c r="X490" s="54" t="str">
        <f t="shared" si="29"/>
        <v>023_Servicio de Implementación Sistemas de Gestión</v>
      </c>
      <c r="Y490" s="54" t="str">
        <f t="shared" si="30"/>
        <v>13-Servicios para la planeación y sistemas de gestión y comunicación estratégica 023_Servicio de Implementación Sistemas de Gestión</v>
      </c>
      <c r="Z490" s="132" t="str">
        <f t="shared" si="31"/>
        <v>O23011745992024020713023</v>
      </c>
      <c r="AA490" s="132" t="str">
        <f>IFERROR(VLOOKUP(Y490,TD!$K$46:$L$64,2,0)," ")</f>
        <v>PM/0131/0113/45990230207</v>
      </c>
      <c r="AB490" s="57" t="s">
        <v>139</v>
      </c>
      <c r="AC490" s="133" t="s">
        <v>205</v>
      </c>
    </row>
    <row r="491" spans="2:29" s="28" customFormat="1" ht="57">
      <c r="B491" s="85">
        <v>20241180</v>
      </c>
      <c r="C491" s="53" t="s">
        <v>209</v>
      </c>
      <c r="D491" s="130" t="s">
        <v>167</v>
      </c>
      <c r="E491" s="54" t="s">
        <v>839</v>
      </c>
      <c r="F491" s="130" t="s">
        <v>564</v>
      </c>
      <c r="G491" s="130" t="s">
        <v>157</v>
      </c>
      <c r="H491" s="117">
        <v>80111600</v>
      </c>
      <c r="I491" s="131">
        <v>8</v>
      </c>
      <c r="J491" s="56">
        <v>5</v>
      </c>
      <c r="K491" s="56">
        <v>0</v>
      </c>
      <c r="L491" s="57">
        <v>13857200</v>
      </c>
      <c r="M491" s="130" t="s">
        <v>173</v>
      </c>
      <c r="N491" s="57" t="s">
        <v>114</v>
      </c>
      <c r="O491" s="54" t="s">
        <v>220</v>
      </c>
      <c r="P491" s="132" t="str">
        <f>IFERROR(VLOOKUP(C491,TD!$B$32:$F$36,2,0)," ")</f>
        <v>O230117</v>
      </c>
      <c r="Q491" s="132" t="str">
        <f>IFERROR(VLOOKUP(C491,TD!$B$32:$F$36,3,0)," ")</f>
        <v>4599</v>
      </c>
      <c r="R491" s="132">
        <f>IFERROR(VLOOKUP(C491,TD!$B$32:$F$36,4,0)," ")</f>
        <v>20240207</v>
      </c>
      <c r="S491" s="54" t="s">
        <v>186</v>
      </c>
      <c r="T491" s="132" t="str">
        <f>IFERROR(VLOOKUP(S491,TD!$J$33:$K$43,2,0)," ")</f>
        <v>Infraestructura física, mantenimiento y dotación (Sedes construidas, mantenidas reforzadas)</v>
      </c>
      <c r="U491" s="54" t="str">
        <f t="shared" si="28"/>
        <v>08-Infraestructura física, mantenimiento y dotación (Sedes construidas, mantenidas reforzadas)</v>
      </c>
      <c r="V491" s="54" t="s">
        <v>239</v>
      </c>
      <c r="W491" s="132" t="str">
        <f>IFERROR(VLOOKUP(V491,TD!$N$33:$O$45,2,0)," ")</f>
        <v>Sedes mantenidas</v>
      </c>
      <c r="X491" s="54" t="str">
        <f t="shared" si="29"/>
        <v>016_Sedes mantenidas</v>
      </c>
      <c r="Y491" s="54" t="str">
        <f t="shared" si="30"/>
        <v>08-Infraestructura física, mantenimiento y dotación (Sedes construidas, mantenidas reforzadas) 016_Sedes mantenidas</v>
      </c>
      <c r="Z491" s="132" t="str">
        <f t="shared" si="31"/>
        <v>O23011745992024020708016</v>
      </c>
      <c r="AA491" s="132" t="str">
        <f>IFERROR(VLOOKUP(Y491,TD!$K$46:$L$64,2,0)," ")</f>
        <v>PM/0131/0108/45990160207</v>
      </c>
      <c r="AB491" s="57" t="s">
        <v>139</v>
      </c>
      <c r="AC491" s="133" t="s">
        <v>205</v>
      </c>
    </row>
    <row r="492" spans="2:29" s="28" customFormat="1" ht="57">
      <c r="B492" s="85">
        <v>20241181</v>
      </c>
      <c r="C492" s="53" t="s">
        <v>209</v>
      </c>
      <c r="D492" s="130" t="s">
        <v>167</v>
      </c>
      <c r="E492" s="54" t="s">
        <v>839</v>
      </c>
      <c r="F492" s="130" t="s">
        <v>564</v>
      </c>
      <c r="G492" s="130" t="s">
        <v>157</v>
      </c>
      <c r="H492" s="117">
        <v>80111600</v>
      </c>
      <c r="I492" s="131">
        <v>8</v>
      </c>
      <c r="J492" s="56">
        <v>5</v>
      </c>
      <c r="K492" s="56">
        <v>0</v>
      </c>
      <c r="L492" s="57">
        <v>13857200</v>
      </c>
      <c r="M492" s="130" t="s">
        <v>173</v>
      </c>
      <c r="N492" s="57" t="s">
        <v>114</v>
      </c>
      <c r="O492" s="54" t="s">
        <v>220</v>
      </c>
      <c r="P492" s="132" t="str">
        <f>IFERROR(VLOOKUP(C492,TD!$B$32:$F$36,2,0)," ")</f>
        <v>O230117</v>
      </c>
      <c r="Q492" s="132" t="str">
        <f>IFERROR(VLOOKUP(C492,TD!$B$32:$F$36,3,0)," ")</f>
        <v>4599</v>
      </c>
      <c r="R492" s="132">
        <f>IFERROR(VLOOKUP(C492,TD!$B$32:$F$36,4,0)," ")</f>
        <v>20240207</v>
      </c>
      <c r="S492" s="54" t="s">
        <v>186</v>
      </c>
      <c r="T492" s="132" t="str">
        <f>IFERROR(VLOOKUP(S492,TD!$J$33:$K$43,2,0)," ")</f>
        <v>Infraestructura física, mantenimiento y dotación (Sedes construidas, mantenidas reforzadas)</v>
      </c>
      <c r="U492" s="54" t="str">
        <f t="shared" si="28"/>
        <v>08-Infraestructura física, mantenimiento y dotación (Sedes construidas, mantenidas reforzadas)</v>
      </c>
      <c r="V492" s="54" t="s">
        <v>239</v>
      </c>
      <c r="W492" s="132" t="str">
        <f>IFERROR(VLOOKUP(V492,TD!$N$33:$O$45,2,0)," ")</f>
        <v>Sedes mantenidas</v>
      </c>
      <c r="X492" s="54" t="str">
        <f t="shared" si="29"/>
        <v>016_Sedes mantenidas</v>
      </c>
      <c r="Y492" s="54" t="str">
        <f t="shared" si="30"/>
        <v>08-Infraestructura física, mantenimiento y dotación (Sedes construidas, mantenidas reforzadas) 016_Sedes mantenidas</v>
      </c>
      <c r="Z492" s="132" t="str">
        <f t="shared" si="31"/>
        <v>O23011745992024020708016</v>
      </c>
      <c r="AA492" s="132" t="str">
        <f>IFERROR(VLOOKUP(Y492,TD!$K$46:$L$64,2,0)," ")</f>
        <v>PM/0131/0108/45990160207</v>
      </c>
      <c r="AB492" s="57" t="s">
        <v>139</v>
      </c>
      <c r="AC492" s="133" t="s">
        <v>205</v>
      </c>
    </row>
    <row r="493" spans="2:29" s="28" customFormat="1" ht="57">
      <c r="B493" s="85">
        <v>20241182</v>
      </c>
      <c r="C493" s="53" t="s">
        <v>209</v>
      </c>
      <c r="D493" s="130" t="s">
        <v>167</v>
      </c>
      <c r="E493" s="54" t="s">
        <v>839</v>
      </c>
      <c r="F493" s="130" t="s">
        <v>564</v>
      </c>
      <c r="G493" s="130" t="s">
        <v>157</v>
      </c>
      <c r="H493" s="117">
        <v>80111600</v>
      </c>
      <c r="I493" s="131">
        <v>8</v>
      </c>
      <c r="J493" s="56">
        <v>3</v>
      </c>
      <c r="K493" s="56">
        <v>0</v>
      </c>
      <c r="L493" s="57">
        <v>8314320</v>
      </c>
      <c r="M493" s="130" t="s">
        <v>173</v>
      </c>
      <c r="N493" s="57" t="s">
        <v>114</v>
      </c>
      <c r="O493" s="54" t="s">
        <v>220</v>
      </c>
      <c r="P493" s="132" t="str">
        <f>IFERROR(VLOOKUP(C493,TD!$B$32:$F$36,2,0)," ")</f>
        <v>O230117</v>
      </c>
      <c r="Q493" s="132" t="str">
        <f>IFERROR(VLOOKUP(C493,TD!$B$32:$F$36,3,0)," ")</f>
        <v>4599</v>
      </c>
      <c r="R493" s="132">
        <f>IFERROR(VLOOKUP(C493,TD!$B$32:$F$36,4,0)," ")</f>
        <v>20240207</v>
      </c>
      <c r="S493" s="54" t="s">
        <v>186</v>
      </c>
      <c r="T493" s="132" t="str">
        <f>IFERROR(VLOOKUP(S493,TD!$J$33:$K$43,2,0)," ")</f>
        <v>Infraestructura física, mantenimiento y dotación (Sedes construidas, mantenidas reforzadas)</v>
      </c>
      <c r="U493" s="54" t="str">
        <f t="shared" si="28"/>
        <v>08-Infraestructura física, mantenimiento y dotación (Sedes construidas, mantenidas reforzadas)</v>
      </c>
      <c r="V493" s="54" t="s">
        <v>239</v>
      </c>
      <c r="W493" s="132" t="str">
        <f>IFERROR(VLOOKUP(V493,TD!$N$33:$O$45,2,0)," ")</f>
        <v>Sedes mantenidas</v>
      </c>
      <c r="X493" s="54" t="str">
        <f t="shared" si="29"/>
        <v>016_Sedes mantenidas</v>
      </c>
      <c r="Y493" s="54" t="str">
        <f t="shared" si="30"/>
        <v>08-Infraestructura física, mantenimiento y dotación (Sedes construidas, mantenidas reforzadas) 016_Sedes mantenidas</v>
      </c>
      <c r="Z493" s="132" t="str">
        <f t="shared" si="31"/>
        <v>O23011745992024020708016</v>
      </c>
      <c r="AA493" s="132" t="str">
        <f>IFERROR(VLOOKUP(Y493,TD!$K$46:$L$64,2,0)," ")</f>
        <v>PM/0131/0108/45990160207</v>
      </c>
      <c r="AB493" s="57" t="s">
        <v>139</v>
      </c>
      <c r="AC493" s="133" t="s">
        <v>205</v>
      </c>
    </row>
    <row r="494" spans="2:29" s="28" customFormat="1" ht="57">
      <c r="B494" s="85">
        <v>20241183</v>
      </c>
      <c r="C494" s="53" t="s">
        <v>209</v>
      </c>
      <c r="D494" s="130" t="s">
        <v>167</v>
      </c>
      <c r="E494" s="54" t="s">
        <v>839</v>
      </c>
      <c r="F494" s="130" t="s">
        <v>711</v>
      </c>
      <c r="G494" s="130" t="s">
        <v>156</v>
      </c>
      <c r="H494" s="117">
        <v>80111600</v>
      </c>
      <c r="I494" s="131">
        <v>8</v>
      </c>
      <c r="J494" s="56">
        <v>5</v>
      </c>
      <c r="K494" s="56">
        <v>0</v>
      </c>
      <c r="L494" s="57">
        <v>36380000</v>
      </c>
      <c r="M494" s="130" t="s">
        <v>173</v>
      </c>
      <c r="N494" s="57" t="s">
        <v>114</v>
      </c>
      <c r="O494" s="54" t="s">
        <v>220</v>
      </c>
      <c r="P494" s="132" t="str">
        <f>IFERROR(VLOOKUP(C494,TD!$B$32:$F$36,2,0)," ")</f>
        <v>O230117</v>
      </c>
      <c r="Q494" s="132" t="str">
        <f>IFERROR(VLOOKUP(C494,TD!$B$32:$F$36,3,0)," ")</f>
        <v>4599</v>
      </c>
      <c r="R494" s="132">
        <f>IFERROR(VLOOKUP(C494,TD!$B$32:$F$36,4,0)," ")</f>
        <v>20240207</v>
      </c>
      <c r="S494" s="54" t="s">
        <v>186</v>
      </c>
      <c r="T494" s="132" t="str">
        <f>IFERROR(VLOOKUP(S494,TD!$J$33:$K$43,2,0)," ")</f>
        <v>Infraestructura física, mantenimiento y dotación (Sedes construidas, mantenidas reforzadas)</v>
      </c>
      <c r="U494" s="54" t="str">
        <f t="shared" si="28"/>
        <v>08-Infraestructura física, mantenimiento y dotación (Sedes construidas, mantenidas reforzadas)</v>
      </c>
      <c r="V494" s="54" t="s">
        <v>239</v>
      </c>
      <c r="W494" s="132" t="str">
        <f>IFERROR(VLOOKUP(V494,TD!$N$33:$O$45,2,0)," ")</f>
        <v>Sedes mantenidas</v>
      </c>
      <c r="X494" s="54" t="str">
        <f t="shared" si="29"/>
        <v>016_Sedes mantenidas</v>
      </c>
      <c r="Y494" s="54" t="str">
        <f t="shared" si="30"/>
        <v>08-Infraestructura física, mantenimiento y dotación (Sedes construidas, mantenidas reforzadas) 016_Sedes mantenidas</v>
      </c>
      <c r="Z494" s="132" t="str">
        <f t="shared" si="31"/>
        <v>O23011745992024020708016</v>
      </c>
      <c r="AA494" s="132" t="str">
        <f>IFERROR(VLOOKUP(Y494,TD!$K$46:$L$64,2,0)," ")</f>
        <v>PM/0131/0108/45990160207</v>
      </c>
      <c r="AB494" s="57" t="s">
        <v>139</v>
      </c>
      <c r="AC494" s="133" t="s">
        <v>205</v>
      </c>
    </row>
    <row r="495" spans="2:29" s="28" customFormat="1" ht="57">
      <c r="B495" s="85">
        <v>20241184</v>
      </c>
      <c r="C495" s="53" t="s">
        <v>209</v>
      </c>
      <c r="D495" s="130" t="s">
        <v>167</v>
      </c>
      <c r="E495" s="54" t="s">
        <v>839</v>
      </c>
      <c r="F495" s="130" t="s">
        <v>712</v>
      </c>
      <c r="G495" s="130" t="s">
        <v>156</v>
      </c>
      <c r="H495" s="117">
        <v>80111600</v>
      </c>
      <c r="I495" s="131">
        <v>8</v>
      </c>
      <c r="J495" s="56">
        <v>4</v>
      </c>
      <c r="K495" s="56">
        <v>0</v>
      </c>
      <c r="L495" s="57">
        <v>16000000</v>
      </c>
      <c r="M495" s="130" t="s">
        <v>173</v>
      </c>
      <c r="N495" s="57" t="s">
        <v>114</v>
      </c>
      <c r="O495" s="54" t="s">
        <v>220</v>
      </c>
      <c r="P495" s="132" t="str">
        <f>IFERROR(VLOOKUP(C495,TD!$B$32:$F$36,2,0)," ")</f>
        <v>O230117</v>
      </c>
      <c r="Q495" s="132" t="str">
        <f>IFERROR(VLOOKUP(C495,TD!$B$32:$F$36,3,0)," ")</f>
        <v>4599</v>
      </c>
      <c r="R495" s="132">
        <f>IFERROR(VLOOKUP(C495,TD!$B$32:$F$36,4,0)," ")</f>
        <v>20240207</v>
      </c>
      <c r="S495" s="54" t="s">
        <v>186</v>
      </c>
      <c r="T495" s="132" t="str">
        <f>IFERROR(VLOOKUP(S495,TD!$J$33:$K$43,2,0)," ")</f>
        <v>Infraestructura física, mantenimiento y dotación (Sedes construidas, mantenidas reforzadas)</v>
      </c>
      <c r="U495" s="54" t="str">
        <f t="shared" si="28"/>
        <v>08-Infraestructura física, mantenimiento y dotación (Sedes construidas, mantenidas reforzadas)</v>
      </c>
      <c r="V495" s="54" t="s">
        <v>239</v>
      </c>
      <c r="W495" s="132" t="str">
        <f>IFERROR(VLOOKUP(V495,TD!$N$33:$O$45,2,0)," ")</f>
        <v>Sedes mantenidas</v>
      </c>
      <c r="X495" s="54" t="str">
        <f t="shared" si="29"/>
        <v>016_Sedes mantenidas</v>
      </c>
      <c r="Y495" s="54" t="str">
        <f t="shared" si="30"/>
        <v>08-Infraestructura física, mantenimiento y dotación (Sedes construidas, mantenidas reforzadas) 016_Sedes mantenidas</v>
      </c>
      <c r="Z495" s="132" t="str">
        <f t="shared" si="31"/>
        <v>O23011745992024020708016</v>
      </c>
      <c r="AA495" s="132" t="str">
        <f>IFERROR(VLOOKUP(Y495,TD!$K$46:$L$64,2,0)," ")</f>
        <v>PM/0131/0108/45990160207</v>
      </c>
      <c r="AB495" s="57" t="s">
        <v>139</v>
      </c>
      <c r="AC495" s="133" t="s">
        <v>205</v>
      </c>
    </row>
    <row r="496" spans="2:29" s="28" customFormat="1" ht="57">
      <c r="B496" s="85">
        <v>20241187</v>
      </c>
      <c r="C496" s="53" t="s">
        <v>209</v>
      </c>
      <c r="D496" s="130" t="s">
        <v>167</v>
      </c>
      <c r="E496" s="54" t="s">
        <v>839</v>
      </c>
      <c r="F496" s="130" t="s">
        <v>713</v>
      </c>
      <c r="G496" s="130" t="s">
        <v>156</v>
      </c>
      <c r="H496" s="117">
        <v>80111600</v>
      </c>
      <c r="I496" s="131">
        <v>8</v>
      </c>
      <c r="J496" s="56">
        <v>5</v>
      </c>
      <c r="K496" s="56">
        <v>0</v>
      </c>
      <c r="L496" s="57">
        <v>37450000</v>
      </c>
      <c r="M496" s="130" t="s">
        <v>173</v>
      </c>
      <c r="N496" s="57" t="s">
        <v>114</v>
      </c>
      <c r="O496" s="54" t="s">
        <v>220</v>
      </c>
      <c r="P496" s="132" t="str">
        <f>IFERROR(VLOOKUP(C496,TD!$B$32:$F$36,2,0)," ")</f>
        <v>O230117</v>
      </c>
      <c r="Q496" s="132" t="str">
        <f>IFERROR(VLOOKUP(C496,TD!$B$32:$F$36,3,0)," ")</f>
        <v>4599</v>
      </c>
      <c r="R496" s="132">
        <f>IFERROR(VLOOKUP(C496,TD!$B$32:$F$36,4,0)," ")</f>
        <v>20240207</v>
      </c>
      <c r="S496" s="54" t="s">
        <v>186</v>
      </c>
      <c r="T496" s="132" t="str">
        <f>IFERROR(VLOOKUP(S496,TD!$J$33:$K$43,2,0)," ")</f>
        <v>Infraestructura física, mantenimiento y dotación (Sedes construidas, mantenidas reforzadas)</v>
      </c>
      <c r="U496" s="54" t="str">
        <f t="shared" si="28"/>
        <v>08-Infraestructura física, mantenimiento y dotación (Sedes construidas, mantenidas reforzadas)</v>
      </c>
      <c r="V496" s="54" t="s">
        <v>239</v>
      </c>
      <c r="W496" s="132" t="str">
        <f>IFERROR(VLOOKUP(V496,TD!$N$33:$O$45,2,0)," ")</f>
        <v>Sedes mantenidas</v>
      </c>
      <c r="X496" s="54" t="str">
        <f t="shared" si="29"/>
        <v>016_Sedes mantenidas</v>
      </c>
      <c r="Y496" s="54" t="str">
        <f t="shared" si="30"/>
        <v>08-Infraestructura física, mantenimiento y dotación (Sedes construidas, mantenidas reforzadas) 016_Sedes mantenidas</v>
      </c>
      <c r="Z496" s="132" t="str">
        <f t="shared" si="31"/>
        <v>O23011745992024020708016</v>
      </c>
      <c r="AA496" s="132" t="str">
        <f>IFERROR(VLOOKUP(Y496,TD!$K$46:$L$64,2,0)," ")</f>
        <v>PM/0131/0108/45990160207</v>
      </c>
      <c r="AB496" s="57" t="s">
        <v>139</v>
      </c>
      <c r="AC496" s="133" t="s">
        <v>205</v>
      </c>
    </row>
    <row r="497" spans="2:29" s="28" customFormat="1" ht="57">
      <c r="B497" s="85">
        <v>20241188</v>
      </c>
      <c r="C497" s="53" t="s">
        <v>209</v>
      </c>
      <c r="D497" s="130" t="s">
        <v>167</v>
      </c>
      <c r="E497" s="54" t="s">
        <v>839</v>
      </c>
      <c r="F497" s="130" t="s">
        <v>714</v>
      </c>
      <c r="G497" s="130" t="s">
        <v>156</v>
      </c>
      <c r="H497" s="117">
        <v>80111600</v>
      </c>
      <c r="I497" s="131">
        <v>8</v>
      </c>
      <c r="J497" s="56">
        <v>5</v>
      </c>
      <c r="K497" s="56">
        <v>0</v>
      </c>
      <c r="L497" s="57">
        <v>34000000</v>
      </c>
      <c r="M497" s="130" t="s">
        <v>173</v>
      </c>
      <c r="N497" s="57" t="s">
        <v>114</v>
      </c>
      <c r="O497" s="54" t="s">
        <v>220</v>
      </c>
      <c r="P497" s="132" t="str">
        <f>IFERROR(VLOOKUP(C497,TD!$B$32:$F$36,2,0)," ")</f>
        <v>O230117</v>
      </c>
      <c r="Q497" s="132" t="str">
        <f>IFERROR(VLOOKUP(C497,TD!$B$32:$F$36,3,0)," ")</f>
        <v>4599</v>
      </c>
      <c r="R497" s="132">
        <f>IFERROR(VLOOKUP(C497,TD!$B$32:$F$36,4,0)," ")</f>
        <v>20240207</v>
      </c>
      <c r="S497" s="54" t="s">
        <v>186</v>
      </c>
      <c r="T497" s="132" t="str">
        <f>IFERROR(VLOOKUP(S497,TD!$J$33:$K$43,2,0)," ")</f>
        <v>Infraestructura física, mantenimiento y dotación (Sedes construidas, mantenidas reforzadas)</v>
      </c>
      <c r="U497" s="54" t="str">
        <f t="shared" si="28"/>
        <v>08-Infraestructura física, mantenimiento y dotación (Sedes construidas, mantenidas reforzadas)</v>
      </c>
      <c r="V497" s="54" t="s">
        <v>239</v>
      </c>
      <c r="W497" s="132" t="str">
        <f>IFERROR(VLOOKUP(V497,TD!$N$33:$O$45,2,0)," ")</f>
        <v>Sedes mantenidas</v>
      </c>
      <c r="X497" s="54" t="str">
        <f t="shared" si="29"/>
        <v>016_Sedes mantenidas</v>
      </c>
      <c r="Y497" s="54" t="str">
        <f t="shared" si="30"/>
        <v>08-Infraestructura física, mantenimiento y dotación (Sedes construidas, mantenidas reforzadas) 016_Sedes mantenidas</v>
      </c>
      <c r="Z497" s="132" t="str">
        <f t="shared" si="31"/>
        <v>O23011745992024020708016</v>
      </c>
      <c r="AA497" s="132" t="str">
        <f>IFERROR(VLOOKUP(Y497,TD!$K$46:$L$64,2,0)," ")</f>
        <v>PM/0131/0108/45990160207</v>
      </c>
      <c r="AB497" s="57" t="s">
        <v>139</v>
      </c>
      <c r="AC497" s="133" t="s">
        <v>205</v>
      </c>
    </row>
    <row r="498" spans="2:29" s="28" customFormat="1" ht="57">
      <c r="B498" s="85">
        <v>20241189</v>
      </c>
      <c r="C498" s="53" t="s">
        <v>209</v>
      </c>
      <c r="D498" s="130" t="s">
        <v>167</v>
      </c>
      <c r="E498" s="54" t="s">
        <v>839</v>
      </c>
      <c r="F498" s="130" t="s">
        <v>715</v>
      </c>
      <c r="G498" s="130" t="s">
        <v>157</v>
      </c>
      <c r="H498" s="117">
        <v>80111600</v>
      </c>
      <c r="I498" s="131">
        <v>8</v>
      </c>
      <c r="J498" s="56">
        <v>5</v>
      </c>
      <c r="K498" s="56">
        <v>0</v>
      </c>
      <c r="L498" s="57">
        <v>13857200</v>
      </c>
      <c r="M498" s="130" t="s">
        <v>173</v>
      </c>
      <c r="N498" s="57" t="s">
        <v>114</v>
      </c>
      <c r="O498" s="54" t="s">
        <v>220</v>
      </c>
      <c r="P498" s="132" t="str">
        <f>IFERROR(VLOOKUP(C498,TD!$B$32:$F$36,2,0)," ")</f>
        <v>O230117</v>
      </c>
      <c r="Q498" s="132" t="str">
        <f>IFERROR(VLOOKUP(C498,TD!$B$32:$F$36,3,0)," ")</f>
        <v>4599</v>
      </c>
      <c r="R498" s="132">
        <f>IFERROR(VLOOKUP(C498,TD!$B$32:$F$36,4,0)," ")</f>
        <v>20240207</v>
      </c>
      <c r="S498" s="54" t="s">
        <v>186</v>
      </c>
      <c r="T498" s="132" t="str">
        <f>IFERROR(VLOOKUP(S498,TD!$J$33:$K$43,2,0)," ")</f>
        <v>Infraestructura física, mantenimiento y dotación (Sedes construidas, mantenidas reforzadas)</v>
      </c>
      <c r="U498" s="54" t="str">
        <f t="shared" si="28"/>
        <v>08-Infraestructura física, mantenimiento y dotación (Sedes construidas, mantenidas reforzadas)</v>
      </c>
      <c r="V498" s="54" t="s">
        <v>239</v>
      </c>
      <c r="W498" s="132" t="str">
        <f>IFERROR(VLOOKUP(V498,TD!$N$33:$O$45,2,0)," ")</f>
        <v>Sedes mantenidas</v>
      </c>
      <c r="X498" s="54" t="str">
        <f t="shared" si="29"/>
        <v>016_Sedes mantenidas</v>
      </c>
      <c r="Y498" s="54" t="str">
        <f t="shared" si="30"/>
        <v>08-Infraestructura física, mantenimiento y dotación (Sedes construidas, mantenidas reforzadas) 016_Sedes mantenidas</v>
      </c>
      <c r="Z498" s="132" t="str">
        <f t="shared" si="31"/>
        <v>O23011745992024020708016</v>
      </c>
      <c r="AA498" s="132" t="str">
        <f>IFERROR(VLOOKUP(Y498,TD!$K$46:$L$64,2,0)," ")</f>
        <v>PM/0131/0108/45990160207</v>
      </c>
      <c r="AB498" s="57" t="s">
        <v>139</v>
      </c>
      <c r="AC498" s="133" t="s">
        <v>205</v>
      </c>
    </row>
    <row r="499" spans="2:29" s="28" customFormat="1" ht="57">
      <c r="B499" s="85">
        <v>20241190</v>
      </c>
      <c r="C499" s="53" t="s">
        <v>209</v>
      </c>
      <c r="D499" s="130" t="s">
        <v>167</v>
      </c>
      <c r="E499" s="54" t="s">
        <v>839</v>
      </c>
      <c r="F499" s="130" t="s">
        <v>716</v>
      </c>
      <c r="G499" s="130" t="s">
        <v>156</v>
      </c>
      <c r="H499" s="117">
        <v>80111600</v>
      </c>
      <c r="I499" s="131">
        <v>8</v>
      </c>
      <c r="J499" s="56">
        <v>5</v>
      </c>
      <c r="K499" s="56">
        <v>0</v>
      </c>
      <c r="L499" s="57">
        <v>25452000</v>
      </c>
      <c r="M499" s="130" t="s">
        <v>173</v>
      </c>
      <c r="N499" s="57" t="s">
        <v>114</v>
      </c>
      <c r="O499" s="54" t="s">
        <v>220</v>
      </c>
      <c r="P499" s="132" t="str">
        <f>IFERROR(VLOOKUP(C499,TD!$B$32:$F$36,2,0)," ")</f>
        <v>O230117</v>
      </c>
      <c r="Q499" s="132" t="str">
        <f>IFERROR(VLOOKUP(C499,TD!$B$32:$F$36,3,0)," ")</f>
        <v>4599</v>
      </c>
      <c r="R499" s="132">
        <f>IFERROR(VLOOKUP(C499,TD!$B$32:$F$36,4,0)," ")</f>
        <v>20240207</v>
      </c>
      <c r="S499" s="54" t="s">
        <v>186</v>
      </c>
      <c r="T499" s="132" t="str">
        <f>IFERROR(VLOOKUP(S499,TD!$J$33:$K$43,2,0)," ")</f>
        <v>Infraestructura física, mantenimiento y dotación (Sedes construidas, mantenidas reforzadas)</v>
      </c>
      <c r="U499" s="54" t="str">
        <f t="shared" si="28"/>
        <v>08-Infraestructura física, mantenimiento y dotación (Sedes construidas, mantenidas reforzadas)</v>
      </c>
      <c r="V499" s="54" t="s">
        <v>239</v>
      </c>
      <c r="W499" s="132" t="str">
        <f>IFERROR(VLOOKUP(V499,TD!$N$33:$O$45,2,0)," ")</f>
        <v>Sedes mantenidas</v>
      </c>
      <c r="X499" s="54" t="str">
        <f t="shared" si="29"/>
        <v>016_Sedes mantenidas</v>
      </c>
      <c r="Y499" s="54" t="str">
        <f t="shared" si="30"/>
        <v>08-Infraestructura física, mantenimiento y dotación (Sedes construidas, mantenidas reforzadas) 016_Sedes mantenidas</v>
      </c>
      <c r="Z499" s="132" t="str">
        <f t="shared" si="31"/>
        <v>O23011745992024020708016</v>
      </c>
      <c r="AA499" s="132" t="str">
        <f>IFERROR(VLOOKUP(Y499,TD!$K$46:$L$64,2,0)," ")</f>
        <v>PM/0131/0108/45990160207</v>
      </c>
      <c r="AB499" s="57" t="s">
        <v>139</v>
      </c>
      <c r="AC499" s="133" t="s">
        <v>205</v>
      </c>
    </row>
    <row r="500" spans="2:29" s="28" customFormat="1" ht="57">
      <c r="B500" s="85">
        <v>20241191</v>
      </c>
      <c r="C500" s="53" t="s">
        <v>209</v>
      </c>
      <c r="D500" s="130" t="s">
        <v>167</v>
      </c>
      <c r="E500" s="54" t="s">
        <v>839</v>
      </c>
      <c r="F500" s="130" t="s">
        <v>717</v>
      </c>
      <c r="G500" s="130" t="s">
        <v>157</v>
      </c>
      <c r="H500" s="117">
        <v>80111600</v>
      </c>
      <c r="I500" s="131">
        <v>8</v>
      </c>
      <c r="J500" s="56">
        <v>5</v>
      </c>
      <c r="K500" s="56">
        <v>0</v>
      </c>
      <c r="L500" s="57">
        <v>13857200</v>
      </c>
      <c r="M500" s="130" t="s">
        <v>173</v>
      </c>
      <c r="N500" s="57" t="s">
        <v>114</v>
      </c>
      <c r="O500" s="54" t="s">
        <v>220</v>
      </c>
      <c r="P500" s="132" t="str">
        <f>IFERROR(VLOOKUP(C500,TD!$B$32:$F$36,2,0)," ")</f>
        <v>O230117</v>
      </c>
      <c r="Q500" s="132" t="str">
        <f>IFERROR(VLOOKUP(C500,TD!$B$32:$F$36,3,0)," ")</f>
        <v>4599</v>
      </c>
      <c r="R500" s="132">
        <f>IFERROR(VLOOKUP(C500,TD!$B$32:$F$36,4,0)," ")</f>
        <v>20240207</v>
      </c>
      <c r="S500" s="54" t="s">
        <v>186</v>
      </c>
      <c r="T500" s="132" t="str">
        <f>IFERROR(VLOOKUP(S500,TD!$J$33:$K$43,2,0)," ")</f>
        <v>Infraestructura física, mantenimiento y dotación (Sedes construidas, mantenidas reforzadas)</v>
      </c>
      <c r="U500" s="54" t="str">
        <f t="shared" si="28"/>
        <v>08-Infraestructura física, mantenimiento y dotación (Sedes construidas, mantenidas reforzadas)</v>
      </c>
      <c r="V500" s="54" t="s">
        <v>239</v>
      </c>
      <c r="W500" s="132" t="str">
        <f>IFERROR(VLOOKUP(V500,TD!$N$33:$O$45,2,0)," ")</f>
        <v>Sedes mantenidas</v>
      </c>
      <c r="X500" s="54" t="str">
        <f t="shared" si="29"/>
        <v>016_Sedes mantenidas</v>
      </c>
      <c r="Y500" s="54" t="str">
        <f t="shared" si="30"/>
        <v>08-Infraestructura física, mantenimiento y dotación (Sedes construidas, mantenidas reforzadas) 016_Sedes mantenidas</v>
      </c>
      <c r="Z500" s="132" t="str">
        <f t="shared" si="31"/>
        <v>O23011745992024020708016</v>
      </c>
      <c r="AA500" s="132" t="str">
        <f>IFERROR(VLOOKUP(Y500,TD!$K$46:$L$64,2,0)," ")</f>
        <v>PM/0131/0108/45990160207</v>
      </c>
      <c r="AB500" s="57" t="s">
        <v>139</v>
      </c>
      <c r="AC500" s="133" t="s">
        <v>205</v>
      </c>
    </row>
    <row r="501" spans="2:29" s="28" customFormat="1" ht="57">
      <c r="B501" s="85">
        <v>20241192</v>
      </c>
      <c r="C501" s="53" t="s">
        <v>209</v>
      </c>
      <c r="D501" s="130" t="s">
        <v>167</v>
      </c>
      <c r="E501" s="54" t="s">
        <v>839</v>
      </c>
      <c r="F501" s="130" t="s">
        <v>718</v>
      </c>
      <c r="G501" s="130" t="s">
        <v>157</v>
      </c>
      <c r="H501" s="117">
        <v>80111600</v>
      </c>
      <c r="I501" s="131">
        <v>8</v>
      </c>
      <c r="J501" s="56">
        <v>4</v>
      </c>
      <c r="K501" s="56">
        <v>0</v>
      </c>
      <c r="L501" s="57">
        <v>11085760</v>
      </c>
      <c r="M501" s="130" t="s">
        <v>173</v>
      </c>
      <c r="N501" s="57" t="s">
        <v>114</v>
      </c>
      <c r="O501" s="54" t="s">
        <v>220</v>
      </c>
      <c r="P501" s="132" t="str">
        <f>IFERROR(VLOOKUP(C501,TD!$B$32:$F$36,2,0)," ")</f>
        <v>O230117</v>
      </c>
      <c r="Q501" s="132" t="str">
        <f>IFERROR(VLOOKUP(C501,TD!$B$32:$F$36,3,0)," ")</f>
        <v>4599</v>
      </c>
      <c r="R501" s="132">
        <f>IFERROR(VLOOKUP(C501,TD!$B$32:$F$36,4,0)," ")</f>
        <v>20240207</v>
      </c>
      <c r="S501" s="54" t="s">
        <v>186</v>
      </c>
      <c r="T501" s="132" t="str">
        <f>IFERROR(VLOOKUP(S501,TD!$J$33:$K$43,2,0)," ")</f>
        <v>Infraestructura física, mantenimiento y dotación (Sedes construidas, mantenidas reforzadas)</v>
      </c>
      <c r="U501" s="54" t="str">
        <f t="shared" si="28"/>
        <v>08-Infraestructura física, mantenimiento y dotación (Sedes construidas, mantenidas reforzadas)</v>
      </c>
      <c r="V501" s="54" t="s">
        <v>239</v>
      </c>
      <c r="W501" s="132" t="str">
        <f>IFERROR(VLOOKUP(V501,TD!$N$33:$O$45,2,0)," ")</f>
        <v>Sedes mantenidas</v>
      </c>
      <c r="X501" s="54" t="str">
        <f t="shared" si="29"/>
        <v>016_Sedes mantenidas</v>
      </c>
      <c r="Y501" s="54" t="str">
        <f t="shared" si="30"/>
        <v>08-Infraestructura física, mantenimiento y dotación (Sedes construidas, mantenidas reforzadas) 016_Sedes mantenidas</v>
      </c>
      <c r="Z501" s="132" t="str">
        <f t="shared" si="31"/>
        <v>O23011745992024020708016</v>
      </c>
      <c r="AA501" s="132" t="str">
        <f>IFERROR(VLOOKUP(Y501,TD!$K$46:$L$64,2,0)," ")</f>
        <v>PM/0131/0108/45990160207</v>
      </c>
      <c r="AB501" s="57" t="s">
        <v>139</v>
      </c>
      <c r="AC501" s="133" t="s">
        <v>205</v>
      </c>
    </row>
    <row r="502" spans="2:29" s="28" customFormat="1" ht="57">
      <c r="B502" s="85">
        <v>20241193</v>
      </c>
      <c r="C502" s="53" t="s">
        <v>209</v>
      </c>
      <c r="D502" s="130" t="s">
        <v>167</v>
      </c>
      <c r="E502" s="54" t="s">
        <v>839</v>
      </c>
      <c r="F502" s="130" t="s">
        <v>717</v>
      </c>
      <c r="G502" s="130" t="s">
        <v>157</v>
      </c>
      <c r="H502" s="117">
        <v>80111600</v>
      </c>
      <c r="I502" s="131">
        <v>8</v>
      </c>
      <c r="J502" s="56">
        <v>4</v>
      </c>
      <c r="K502" s="56">
        <v>0</v>
      </c>
      <c r="L502" s="57">
        <v>11085760</v>
      </c>
      <c r="M502" s="130" t="s">
        <v>173</v>
      </c>
      <c r="N502" s="57" t="s">
        <v>114</v>
      </c>
      <c r="O502" s="54" t="s">
        <v>220</v>
      </c>
      <c r="P502" s="132" t="str">
        <f>IFERROR(VLOOKUP(C502,TD!$B$32:$F$36,2,0)," ")</f>
        <v>O230117</v>
      </c>
      <c r="Q502" s="132" t="str">
        <f>IFERROR(VLOOKUP(C502,TD!$B$32:$F$36,3,0)," ")</f>
        <v>4599</v>
      </c>
      <c r="R502" s="132">
        <f>IFERROR(VLOOKUP(C502,TD!$B$32:$F$36,4,0)," ")</f>
        <v>20240207</v>
      </c>
      <c r="S502" s="54" t="s">
        <v>186</v>
      </c>
      <c r="T502" s="132" t="str">
        <f>IFERROR(VLOOKUP(S502,TD!$J$33:$K$43,2,0)," ")</f>
        <v>Infraestructura física, mantenimiento y dotación (Sedes construidas, mantenidas reforzadas)</v>
      </c>
      <c r="U502" s="54" t="str">
        <f t="shared" si="28"/>
        <v>08-Infraestructura física, mantenimiento y dotación (Sedes construidas, mantenidas reforzadas)</v>
      </c>
      <c r="V502" s="54" t="s">
        <v>239</v>
      </c>
      <c r="W502" s="132" t="str">
        <f>IFERROR(VLOOKUP(V502,TD!$N$33:$O$45,2,0)," ")</f>
        <v>Sedes mantenidas</v>
      </c>
      <c r="X502" s="54" t="str">
        <f t="shared" si="29"/>
        <v>016_Sedes mantenidas</v>
      </c>
      <c r="Y502" s="54" t="str">
        <f t="shared" si="30"/>
        <v>08-Infraestructura física, mantenimiento y dotación (Sedes construidas, mantenidas reforzadas) 016_Sedes mantenidas</v>
      </c>
      <c r="Z502" s="132" t="str">
        <f t="shared" si="31"/>
        <v>O23011745992024020708016</v>
      </c>
      <c r="AA502" s="132" t="str">
        <f>IFERROR(VLOOKUP(Y502,TD!$K$46:$L$64,2,0)," ")</f>
        <v>PM/0131/0108/45990160207</v>
      </c>
      <c r="AB502" s="57" t="s">
        <v>139</v>
      </c>
      <c r="AC502" s="133" t="s">
        <v>205</v>
      </c>
    </row>
    <row r="503" spans="2:29" s="28" customFormat="1" ht="57">
      <c r="B503" s="85">
        <v>20241194</v>
      </c>
      <c r="C503" s="53" t="s">
        <v>209</v>
      </c>
      <c r="D503" s="130" t="s">
        <v>167</v>
      </c>
      <c r="E503" s="54" t="s">
        <v>839</v>
      </c>
      <c r="F503" s="130" t="s">
        <v>717</v>
      </c>
      <c r="G503" s="130" t="s">
        <v>157</v>
      </c>
      <c r="H503" s="117">
        <v>80111600</v>
      </c>
      <c r="I503" s="131">
        <v>8</v>
      </c>
      <c r="J503" s="56">
        <v>4</v>
      </c>
      <c r="K503" s="56">
        <v>0</v>
      </c>
      <c r="L503" s="57">
        <v>11085760</v>
      </c>
      <c r="M503" s="130" t="s">
        <v>173</v>
      </c>
      <c r="N503" s="57" t="s">
        <v>114</v>
      </c>
      <c r="O503" s="54" t="s">
        <v>220</v>
      </c>
      <c r="P503" s="132" t="str">
        <f>IFERROR(VLOOKUP(C503,TD!$B$32:$F$36,2,0)," ")</f>
        <v>O230117</v>
      </c>
      <c r="Q503" s="132" t="str">
        <f>IFERROR(VLOOKUP(C503,TD!$B$32:$F$36,3,0)," ")</f>
        <v>4599</v>
      </c>
      <c r="R503" s="132">
        <f>IFERROR(VLOOKUP(C503,TD!$B$32:$F$36,4,0)," ")</f>
        <v>20240207</v>
      </c>
      <c r="S503" s="54" t="s">
        <v>186</v>
      </c>
      <c r="T503" s="132" t="str">
        <f>IFERROR(VLOOKUP(S503,TD!$J$33:$K$43,2,0)," ")</f>
        <v>Infraestructura física, mantenimiento y dotación (Sedes construidas, mantenidas reforzadas)</v>
      </c>
      <c r="U503" s="54" t="str">
        <f t="shared" si="28"/>
        <v>08-Infraestructura física, mantenimiento y dotación (Sedes construidas, mantenidas reforzadas)</v>
      </c>
      <c r="V503" s="54" t="s">
        <v>239</v>
      </c>
      <c r="W503" s="132" t="str">
        <f>IFERROR(VLOOKUP(V503,TD!$N$33:$O$45,2,0)," ")</f>
        <v>Sedes mantenidas</v>
      </c>
      <c r="X503" s="54" t="str">
        <f t="shared" si="29"/>
        <v>016_Sedes mantenidas</v>
      </c>
      <c r="Y503" s="54" t="str">
        <f t="shared" si="30"/>
        <v>08-Infraestructura física, mantenimiento y dotación (Sedes construidas, mantenidas reforzadas) 016_Sedes mantenidas</v>
      </c>
      <c r="Z503" s="132" t="str">
        <f t="shared" si="31"/>
        <v>O23011745992024020708016</v>
      </c>
      <c r="AA503" s="132" t="str">
        <f>IFERROR(VLOOKUP(Y503,TD!$K$46:$L$64,2,0)," ")</f>
        <v>PM/0131/0108/45990160207</v>
      </c>
      <c r="AB503" s="57" t="s">
        <v>139</v>
      </c>
      <c r="AC503" s="133" t="s">
        <v>205</v>
      </c>
    </row>
    <row r="504" spans="2:29" s="28" customFormat="1" ht="57">
      <c r="B504" s="85">
        <v>20241195</v>
      </c>
      <c r="C504" s="53" t="s">
        <v>209</v>
      </c>
      <c r="D504" s="130" t="s">
        <v>167</v>
      </c>
      <c r="E504" s="54" t="s">
        <v>839</v>
      </c>
      <c r="F504" s="130" t="s">
        <v>719</v>
      </c>
      <c r="G504" s="130" t="s">
        <v>156</v>
      </c>
      <c r="H504" s="117">
        <v>80111600</v>
      </c>
      <c r="I504" s="131">
        <v>8</v>
      </c>
      <c r="J504" s="56">
        <v>5</v>
      </c>
      <c r="K504" s="56">
        <v>0</v>
      </c>
      <c r="L504" s="57">
        <v>21675600</v>
      </c>
      <c r="M504" s="130" t="s">
        <v>173</v>
      </c>
      <c r="N504" s="57" t="s">
        <v>114</v>
      </c>
      <c r="O504" s="54" t="s">
        <v>220</v>
      </c>
      <c r="P504" s="132" t="str">
        <f>IFERROR(VLOOKUP(C504,TD!$B$32:$F$36,2,0)," ")</f>
        <v>O230117</v>
      </c>
      <c r="Q504" s="132" t="str">
        <f>IFERROR(VLOOKUP(C504,TD!$B$32:$F$36,3,0)," ")</f>
        <v>4599</v>
      </c>
      <c r="R504" s="132">
        <f>IFERROR(VLOOKUP(C504,TD!$B$32:$F$36,4,0)," ")</f>
        <v>20240207</v>
      </c>
      <c r="S504" s="54" t="s">
        <v>186</v>
      </c>
      <c r="T504" s="132" t="str">
        <f>IFERROR(VLOOKUP(S504,TD!$J$33:$K$43,2,0)," ")</f>
        <v>Infraestructura física, mantenimiento y dotación (Sedes construidas, mantenidas reforzadas)</v>
      </c>
      <c r="U504" s="54" t="str">
        <f t="shared" si="28"/>
        <v>08-Infraestructura física, mantenimiento y dotación (Sedes construidas, mantenidas reforzadas)</v>
      </c>
      <c r="V504" s="54" t="s">
        <v>239</v>
      </c>
      <c r="W504" s="132" t="str">
        <f>IFERROR(VLOOKUP(V504,TD!$N$33:$O$45,2,0)," ")</f>
        <v>Sedes mantenidas</v>
      </c>
      <c r="X504" s="54" t="str">
        <f t="shared" si="29"/>
        <v>016_Sedes mantenidas</v>
      </c>
      <c r="Y504" s="54" t="str">
        <f t="shared" si="30"/>
        <v>08-Infraestructura física, mantenimiento y dotación (Sedes construidas, mantenidas reforzadas) 016_Sedes mantenidas</v>
      </c>
      <c r="Z504" s="132" t="str">
        <f t="shared" si="31"/>
        <v>O23011745992024020708016</v>
      </c>
      <c r="AA504" s="132" t="str">
        <f>IFERROR(VLOOKUP(Y504,TD!$K$46:$L$64,2,0)," ")</f>
        <v>PM/0131/0108/45990160207</v>
      </c>
      <c r="AB504" s="57" t="s">
        <v>139</v>
      </c>
      <c r="AC504" s="133" t="s">
        <v>205</v>
      </c>
    </row>
    <row r="505" spans="2:29" s="28" customFormat="1" ht="57">
      <c r="B505" s="85">
        <v>20241196</v>
      </c>
      <c r="C505" s="53" t="s">
        <v>209</v>
      </c>
      <c r="D505" s="130" t="s">
        <v>167</v>
      </c>
      <c r="E505" s="54" t="s">
        <v>839</v>
      </c>
      <c r="F505" s="130" t="s">
        <v>720</v>
      </c>
      <c r="G505" s="130" t="s">
        <v>156</v>
      </c>
      <c r="H505" s="117">
        <v>80111600</v>
      </c>
      <c r="I505" s="131">
        <v>8</v>
      </c>
      <c r="J505" s="56">
        <v>3</v>
      </c>
      <c r="K505" s="56">
        <v>0</v>
      </c>
      <c r="L505" s="57">
        <f>17340480-9988046+5000000+652926</f>
        <v>13005360</v>
      </c>
      <c r="M505" s="130" t="s">
        <v>173</v>
      </c>
      <c r="N505" s="57" t="s">
        <v>114</v>
      </c>
      <c r="O505" s="54" t="s">
        <v>220</v>
      </c>
      <c r="P505" s="132" t="str">
        <f>IFERROR(VLOOKUP(C505,TD!$B$32:$F$36,2,0)," ")</f>
        <v>O230117</v>
      </c>
      <c r="Q505" s="132" t="str">
        <f>IFERROR(VLOOKUP(C505,TD!$B$32:$F$36,3,0)," ")</f>
        <v>4599</v>
      </c>
      <c r="R505" s="132">
        <f>IFERROR(VLOOKUP(C505,TD!$B$32:$F$36,4,0)," ")</f>
        <v>20240207</v>
      </c>
      <c r="S505" s="54" t="s">
        <v>186</v>
      </c>
      <c r="T505" s="132" t="str">
        <f>IFERROR(VLOOKUP(S505,TD!$J$33:$K$43,2,0)," ")</f>
        <v>Infraestructura física, mantenimiento y dotación (Sedes construidas, mantenidas reforzadas)</v>
      </c>
      <c r="U505" s="54" t="str">
        <f t="shared" si="28"/>
        <v>08-Infraestructura física, mantenimiento y dotación (Sedes construidas, mantenidas reforzadas)</v>
      </c>
      <c r="V505" s="54" t="s">
        <v>239</v>
      </c>
      <c r="W505" s="132" t="str">
        <f>IFERROR(VLOOKUP(V505,TD!$N$33:$O$45,2,0)," ")</f>
        <v>Sedes mantenidas</v>
      </c>
      <c r="X505" s="54" t="str">
        <f t="shared" si="29"/>
        <v>016_Sedes mantenidas</v>
      </c>
      <c r="Y505" s="54" t="str">
        <f t="shared" si="30"/>
        <v>08-Infraestructura física, mantenimiento y dotación (Sedes construidas, mantenidas reforzadas) 016_Sedes mantenidas</v>
      </c>
      <c r="Z505" s="132" t="str">
        <f t="shared" si="31"/>
        <v>O23011745992024020708016</v>
      </c>
      <c r="AA505" s="132" t="str">
        <f>IFERROR(VLOOKUP(Y505,TD!$K$46:$L$64,2,0)," ")</f>
        <v>PM/0131/0108/45990160207</v>
      </c>
      <c r="AB505" s="57" t="s">
        <v>139</v>
      </c>
      <c r="AC505" s="133" t="s">
        <v>205</v>
      </c>
    </row>
    <row r="506" spans="2:29" s="28" customFormat="1" ht="57">
      <c r="B506" s="85">
        <v>20241197</v>
      </c>
      <c r="C506" s="53" t="s">
        <v>209</v>
      </c>
      <c r="D506" s="130" t="s">
        <v>167</v>
      </c>
      <c r="E506" s="54" t="s">
        <v>839</v>
      </c>
      <c r="F506" s="130" t="s">
        <v>720</v>
      </c>
      <c r="G506" s="130" t="s">
        <v>156</v>
      </c>
      <c r="H506" s="117">
        <v>80111600</v>
      </c>
      <c r="I506" s="131">
        <v>10</v>
      </c>
      <c r="J506" s="56">
        <v>3</v>
      </c>
      <c r="K506" s="56">
        <v>0</v>
      </c>
      <c r="L506" s="57">
        <v>13005360</v>
      </c>
      <c r="M506" s="130" t="s">
        <v>173</v>
      </c>
      <c r="N506" s="57" t="s">
        <v>114</v>
      </c>
      <c r="O506" s="54" t="s">
        <v>220</v>
      </c>
      <c r="P506" s="132" t="str">
        <f>IFERROR(VLOOKUP(C506,TD!$B$32:$F$36,2,0)," ")</f>
        <v>O230117</v>
      </c>
      <c r="Q506" s="132" t="str">
        <f>IFERROR(VLOOKUP(C506,TD!$B$32:$F$36,3,0)," ")</f>
        <v>4599</v>
      </c>
      <c r="R506" s="132">
        <f>IFERROR(VLOOKUP(C506,TD!$B$32:$F$36,4,0)," ")</f>
        <v>20240207</v>
      </c>
      <c r="S506" s="54" t="s">
        <v>186</v>
      </c>
      <c r="T506" s="132" t="str">
        <f>IFERROR(VLOOKUP(S506,TD!$J$33:$K$43,2,0)," ")</f>
        <v>Infraestructura física, mantenimiento y dotación (Sedes construidas, mantenidas reforzadas)</v>
      </c>
      <c r="U506" s="54" t="str">
        <f t="shared" si="28"/>
        <v>08-Infraestructura física, mantenimiento y dotación (Sedes construidas, mantenidas reforzadas)</v>
      </c>
      <c r="V506" s="54" t="s">
        <v>239</v>
      </c>
      <c r="W506" s="132" t="str">
        <f>IFERROR(VLOOKUP(V506,TD!$N$33:$O$45,2,0)," ")</f>
        <v>Sedes mantenidas</v>
      </c>
      <c r="X506" s="54" t="str">
        <f t="shared" si="29"/>
        <v>016_Sedes mantenidas</v>
      </c>
      <c r="Y506" s="54" t="str">
        <f t="shared" si="30"/>
        <v>08-Infraestructura física, mantenimiento y dotación (Sedes construidas, mantenidas reforzadas) 016_Sedes mantenidas</v>
      </c>
      <c r="Z506" s="132" t="str">
        <f t="shared" si="31"/>
        <v>O23011745992024020708016</v>
      </c>
      <c r="AA506" s="132" t="str">
        <f>IFERROR(VLOOKUP(Y506,TD!$K$46:$L$64,2,0)," ")</f>
        <v>PM/0131/0108/45990160207</v>
      </c>
      <c r="AB506" s="57" t="s">
        <v>139</v>
      </c>
      <c r="AC506" s="133" t="s">
        <v>205</v>
      </c>
    </row>
    <row r="507" spans="2:29" s="28" customFormat="1" ht="57">
      <c r="B507" s="85">
        <v>20241198</v>
      </c>
      <c r="C507" s="53" t="s">
        <v>209</v>
      </c>
      <c r="D507" s="130" t="s">
        <v>167</v>
      </c>
      <c r="E507" s="54" t="s">
        <v>839</v>
      </c>
      <c r="F507" s="130" t="s">
        <v>721</v>
      </c>
      <c r="G507" s="130" t="s">
        <v>156</v>
      </c>
      <c r="H507" s="117">
        <v>80111600</v>
      </c>
      <c r="I507" s="131">
        <v>8</v>
      </c>
      <c r="J507" s="56">
        <v>5</v>
      </c>
      <c r="K507" s="56">
        <v>0</v>
      </c>
      <c r="L507" s="57">
        <v>31108000</v>
      </c>
      <c r="M507" s="130" t="s">
        <v>173</v>
      </c>
      <c r="N507" s="57" t="s">
        <v>114</v>
      </c>
      <c r="O507" s="54" t="s">
        <v>220</v>
      </c>
      <c r="P507" s="132" t="str">
        <f>IFERROR(VLOOKUP(C507,TD!$B$32:$F$36,2,0)," ")</f>
        <v>O230117</v>
      </c>
      <c r="Q507" s="132" t="str">
        <f>IFERROR(VLOOKUP(C507,TD!$B$32:$F$36,3,0)," ")</f>
        <v>4599</v>
      </c>
      <c r="R507" s="132">
        <f>IFERROR(VLOOKUP(C507,TD!$B$32:$F$36,4,0)," ")</f>
        <v>20240207</v>
      </c>
      <c r="S507" s="54" t="s">
        <v>186</v>
      </c>
      <c r="T507" s="132" t="str">
        <f>IFERROR(VLOOKUP(S507,TD!$J$33:$K$43,2,0)," ")</f>
        <v>Infraestructura física, mantenimiento y dotación (Sedes construidas, mantenidas reforzadas)</v>
      </c>
      <c r="U507" s="54" t="str">
        <f t="shared" si="28"/>
        <v>08-Infraestructura física, mantenimiento y dotación (Sedes construidas, mantenidas reforzadas)</v>
      </c>
      <c r="V507" s="54" t="s">
        <v>239</v>
      </c>
      <c r="W507" s="132" t="str">
        <f>IFERROR(VLOOKUP(V507,TD!$N$33:$O$45,2,0)," ")</f>
        <v>Sedes mantenidas</v>
      </c>
      <c r="X507" s="54" t="str">
        <f t="shared" si="29"/>
        <v>016_Sedes mantenidas</v>
      </c>
      <c r="Y507" s="54" t="str">
        <f t="shared" si="30"/>
        <v>08-Infraestructura física, mantenimiento y dotación (Sedes construidas, mantenidas reforzadas) 016_Sedes mantenidas</v>
      </c>
      <c r="Z507" s="132" t="str">
        <f t="shared" si="31"/>
        <v>O23011745992024020708016</v>
      </c>
      <c r="AA507" s="132" t="str">
        <f>IFERROR(VLOOKUP(Y507,TD!$K$46:$L$64,2,0)," ")</f>
        <v>PM/0131/0108/45990160207</v>
      </c>
      <c r="AB507" s="57" t="s">
        <v>139</v>
      </c>
      <c r="AC507" s="133" t="s">
        <v>205</v>
      </c>
    </row>
    <row r="508" spans="2:29" s="28" customFormat="1" ht="71.25">
      <c r="B508" s="85">
        <v>20241200</v>
      </c>
      <c r="C508" s="53" t="s">
        <v>209</v>
      </c>
      <c r="D508" s="130" t="s">
        <v>46</v>
      </c>
      <c r="E508" s="54" t="s">
        <v>364</v>
      </c>
      <c r="F508" s="130" t="s">
        <v>723</v>
      </c>
      <c r="G508" s="130" t="s">
        <v>156</v>
      </c>
      <c r="H508" s="117">
        <v>80111600</v>
      </c>
      <c r="I508" s="131">
        <v>8</v>
      </c>
      <c r="J508" s="131">
        <v>4</v>
      </c>
      <c r="K508" s="56">
        <v>0</v>
      </c>
      <c r="L508" s="57">
        <f>32000000+4800000</f>
        <v>36800000</v>
      </c>
      <c r="M508" s="130" t="s">
        <v>173</v>
      </c>
      <c r="N508" s="57" t="s">
        <v>114</v>
      </c>
      <c r="O508" s="54" t="s">
        <v>220</v>
      </c>
      <c r="P508" s="132" t="str">
        <f>IFERROR(VLOOKUP(C508,TD!$B$32:$F$36,2,0)," ")</f>
        <v>O230117</v>
      </c>
      <c r="Q508" s="132" t="str">
        <f>IFERROR(VLOOKUP(C508,TD!$B$32:$F$36,3,0)," ")</f>
        <v>4599</v>
      </c>
      <c r="R508" s="132">
        <f>IFERROR(VLOOKUP(C508,TD!$B$32:$F$36,4,0)," ")</f>
        <v>20240207</v>
      </c>
      <c r="S508" s="54" t="s">
        <v>186</v>
      </c>
      <c r="T508" s="132" t="str">
        <f>IFERROR(VLOOKUP(S508,TD!$J$33:$K$43,2,0)," ")</f>
        <v>Infraestructura física, mantenimiento y dotación (Sedes construidas, mantenidas reforzadas)</v>
      </c>
      <c r="U508" s="54" t="str">
        <f t="shared" si="28"/>
        <v>08-Infraestructura física, mantenimiento y dotación (Sedes construidas, mantenidas reforzadas)</v>
      </c>
      <c r="V508" s="54" t="s">
        <v>239</v>
      </c>
      <c r="W508" s="132" t="str">
        <f>IFERROR(VLOOKUP(V508,TD!$N$33:$O$45,2,0)," ")</f>
        <v>Sedes mantenidas</v>
      </c>
      <c r="X508" s="54" t="str">
        <f t="shared" si="29"/>
        <v>016_Sedes mantenidas</v>
      </c>
      <c r="Y508" s="54" t="str">
        <f t="shared" si="30"/>
        <v>08-Infraestructura física, mantenimiento y dotación (Sedes construidas, mantenidas reforzadas) 016_Sedes mantenidas</v>
      </c>
      <c r="Z508" s="132" t="str">
        <f t="shared" si="31"/>
        <v>O23011745992024020708016</v>
      </c>
      <c r="AA508" s="132" t="str">
        <f>IFERROR(VLOOKUP(Y508,TD!$K$46:$L$64,2,0)," ")</f>
        <v>PM/0131/0108/45990160207</v>
      </c>
      <c r="AB508" s="57" t="s">
        <v>139</v>
      </c>
      <c r="AC508" s="133" t="s">
        <v>205</v>
      </c>
    </row>
    <row r="509" spans="2:29" s="28" customFormat="1" ht="57">
      <c r="B509" s="85">
        <v>20241201</v>
      </c>
      <c r="C509" s="53" t="s">
        <v>209</v>
      </c>
      <c r="D509" s="130" t="s">
        <v>162</v>
      </c>
      <c r="E509" s="54" t="s">
        <v>364</v>
      </c>
      <c r="F509" s="130" t="s">
        <v>724</v>
      </c>
      <c r="G509" s="130" t="s">
        <v>156</v>
      </c>
      <c r="H509" s="117">
        <v>80111600</v>
      </c>
      <c r="I509" s="131">
        <v>8</v>
      </c>
      <c r="J509" s="131">
        <v>5</v>
      </c>
      <c r="K509" s="56">
        <v>0</v>
      </c>
      <c r="L509" s="57">
        <v>46379200</v>
      </c>
      <c r="M509" s="130" t="s">
        <v>173</v>
      </c>
      <c r="N509" s="57" t="s">
        <v>114</v>
      </c>
      <c r="O509" s="54" t="s">
        <v>221</v>
      </c>
      <c r="P509" s="132" t="str">
        <f>IFERROR(VLOOKUP(C509,TD!$B$32:$F$36,2,0)," ")</f>
        <v>O230117</v>
      </c>
      <c r="Q509" s="132" t="str">
        <f>IFERROR(VLOOKUP(C509,TD!$B$32:$F$36,3,0)," ")</f>
        <v>4599</v>
      </c>
      <c r="R509" s="132">
        <f>IFERROR(VLOOKUP(C509,TD!$B$32:$F$36,4,0)," ")</f>
        <v>20240207</v>
      </c>
      <c r="S509" s="54" t="s">
        <v>194</v>
      </c>
      <c r="T509" s="132" t="str">
        <f>IFERROR(VLOOKUP(S509,TD!$J$33:$K$43,2,0)," ")</f>
        <v>Servicios para la planeación y sistemas de gestión y comunicación estratégica</v>
      </c>
      <c r="U509" s="54" t="str">
        <f t="shared" si="28"/>
        <v>13-Servicios para la planeación y sistemas de gestión y comunicación estratégica</v>
      </c>
      <c r="V509" s="54" t="s">
        <v>243</v>
      </c>
      <c r="W509" s="132" t="str">
        <f>IFERROR(VLOOKUP(V509,TD!$N$33:$O$45,2,0)," ")</f>
        <v>Documentos de planeación</v>
      </c>
      <c r="X509" s="54" t="str">
        <f t="shared" si="29"/>
        <v>019_Documentos de planeación</v>
      </c>
      <c r="Y509" s="54" t="str">
        <f t="shared" si="30"/>
        <v>13-Servicios para la planeación y sistemas de gestión y comunicación estratégica 019_Documentos de planeación</v>
      </c>
      <c r="Z509" s="132" t="str">
        <f t="shared" si="31"/>
        <v>O23011745992024020713019</v>
      </c>
      <c r="AA509" s="132" t="str">
        <f>IFERROR(VLOOKUP(Y509,TD!$K$46:$L$64,2,0)," ")</f>
        <v>PM/0131/0113/45990190207</v>
      </c>
      <c r="AB509" s="57" t="s">
        <v>139</v>
      </c>
      <c r="AC509" s="133" t="s">
        <v>205</v>
      </c>
    </row>
    <row r="510" spans="2:29" s="28" customFormat="1" ht="57">
      <c r="B510" s="85">
        <v>20241202</v>
      </c>
      <c r="C510" s="53" t="s">
        <v>209</v>
      </c>
      <c r="D510" s="130" t="s">
        <v>162</v>
      </c>
      <c r="E510" s="54" t="s">
        <v>364</v>
      </c>
      <c r="F510" s="130" t="s">
        <v>725</v>
      </c>
      <c r="G510" s="130" t="s">
        <v>156</v>
      </c>
      <c r="H510" s="117">
        <v>80111600</v>
      </c>
      <c r="I510" s="131">
        <v>8</v>
      </c>
      <c r="J510" s="131">
        <v>5</v>
      </c>
      <c r="K510" s="56">
        <v>0</v>
      </c>
      <c r="L510" s="57">
        <v>30000000</v>
      </c>
      <c r="M510" s="130" t="s">
        <v>173</v>
      </c>
      <c r="N510" s="57" t="s">
        <v>114</v>
      </c>
      <c r="O510" s="54" t="s">
        <v>221</v>
      </c>
      <c r="P510" s="132" t="str">
        <f>IFERROR(VLOOKUP(C510,TD!$B$32:$F$36,2,0)," ")</f>
        <v>O230117</v>
      </c>
      <c r="Q510" s="132" t="str">
        <f>IFERROR(VLOOKUP(C510,TD!$B$32:$F$36,3,0)," ")</f>
        <v>4599</v>
      </c>
      <c r="R510" s="132">
        <f>IFERROR(VLOOKUP(C510,TD!$B$32:$F$36,4,0)," ")</f>
        <v>20240207</v>
      </c>
      <c r="S510" s="54" t="s">
        <v>194</v>
      </c>
      <c r="T510" s="132" t="str">
        <f>IFERROR(VLOOKUP(S510,TD!$J$33:$K$43,2,0)," ")</f>
        <v>Servicios para la planeación y sistemas de gestión y comunicación estratégica</v>
      </c>
      <c r="U510" s="54" t="str">
        <f t="shared" si="28"/>
        <v>13-Servicios para la planeación y sistemas de gestión y comunicación estratégica</v>
      </c>
      <c r="V510" s="54" t="s">
        <v>243</v>
      </c>
      <c r="W510" s="132" t="str">
        <f>IFERROR(VLOOKUP(V510,TD!$N$33:$O$45,2,0)," ")</f>
        <v>Documentos de planeación</v>
      </c>
      <c r="X510" s="54" t="str">
        <f t="shared" si="29"/>
        <v>019_Documentos de planeación</v>
      </c>
      <c r="Y510" s="54" t="str">
        <f t="shared" si="30"/>
        <v>13-Servicios para la planeación y sistemas de gestión y comunicación estratégica 019_Documentos de planeación</v>
      </c>
      <c r="Z510" s="132" t="str">
        <f t="shared" si="31"/>
        <v>O23011745992024020713019</v>
      </c>
      <c r="AA510" s="132" t="str">
        <f>IFERROR(VLOOKUP(Y510,TD!$K$46:$L$64,2,0)," ")</f>
        <v>PM/0131/0113/45990190207</v>
      </c>
      <c r="AB510" s="57" t="s">
        <v>139</v>
      </c>
      <c r="AC510" s="133" t="s">
        <v>205</v>
      </c>
    </row>
    <row r="511" spans="2:29" s="28" customFormat="1" ht="57">
      <c r="B511" s="85">
        <v>20241203</v>
      </c>
      <c r="C511" s="53" t="s">
        <v>210</v>
      </c>
      <c r="D511" s="130" t="s">
        <v>169</v>
      </c>
      <c r="E511" s="54" t="s">
        <v>804</v>
      </c>
      <c r="F511" s="130" t="s">
        <v>728</v>
      </c>
      <c r="G511" s="130" t="s">
        <v>156</v>
      </c>
      <c r="H511" s="117">
        <v>80111600</v>
      </c>
      <c r="I511" s="131">
        <v>8</v>
      </c>
      <c r="J511" s="131">
        <v>5</v>
      </c>
      <c r="K511" s="56">
        <v>0</v>
      </c>
      <c r="L511" s="57">
        <f>32500000-6500000</f>
        <v>26000000</v>
      </c>
      <c r="M511" s="130" t="s">
        <v>173</v>
      </c>
      <c r="N511" s="57" t="s">
        <v>114</v>
      </c>
      <c r="O511" s="54" t="s">
        <v>225</v>
      </c>
      <c r="P511" s="132" t="str">
        <f>IFERROR(VLOOKUP(C511,TD!$B$32:$F$36,2,0)," ")</f>
        <v>O230117</v>
      </c>
      <c r="Q511" s="132" t="str">
        <f>IFERROR(VLOOKUP(C511,TD!$B$32:$F$36,3,0)," ")</f>
        <v>4503</v>
      </c>
      <c r="R511" s="132">
        <f>IFERROR(VLOOKUP(C511,TD!$B$32:$F$36,4,0)," ")</f>
        <v>20240255</v>
      </c>
      <c r="S511" s="54" t="s">
        <v>192</v>
      </c>
      <c r="T511" s="132" t="str">
        <f>IFERROR(VLOOKUP(S511,TD!$J$33:$K$43,2,0)," ")</f>
        <v>Servicio de apoyo   logístico  en eventos operativos y/o emergencias.</v>
      </c>
      <c r="U511" s="54" t="str">
        <f t="shared" si="28"/>
        <v>12-Servicio de apoyo   logístico  en eventos operativos y/o emergencias.</v>
      </c>
      <c r="V511" s="54" t="s">
        <v>233</v>
      </c>
      <c r="W511" s="132" t="str">
        <f>IFERROR(VLOOKUP(V511,TD!$N$33:$O$45,2,0)," ")</f>
        <v>Servicio de atención a emergencias y desastres</v>
      </c>
      <c r="X511" s="54" t="str">
        <f t="shared" si="29"/>
        <v>004_Servicio de atención a emergencias y desastres</v>
      </c>
      <c r="Y511" s="54" t="str">
        <f t="shared" si="30"/>
        <v>12-Servicio de apoyo   logístico  en eventos operativos y/o emergencias. 004_Servicio de atención a emergencias y desastres</v>
      </c>
      <c r="Z511" s="132" t="str">
        <f t="shared" si="31"/>
        <v>O23011745032024025512004</v>
      </c>
      <c r="AA511" s="132" t="str">
        <f>IFERROR(VLOOKUP(Y511,TD!$K$46:$L$64,2,0)," ")</f>
        <v>PM/0131/0112/45030040255</v>
      </c>
      <c r="AB511" s="57" t="s">
        <v>139</v>
      </c>
      <c r="AC511" s="54" t="s">
        <v>205</v>
      </c>
    </row>
    <row r="512" spans="2:29" s="28" customFormat="1" ht="57">
      <c r="B512" s="85">
        <v>20241204</v>
      </c>
      <c r="C512" s="53" t="s">
        <v>210</v>
      </c>
      <c r="D512" s="130" t="s">
        <v>166</v>
      </c>
      <c r="E512" s="54" t="s">
        <v>857</v>
      </c>
      <c r="F512" s="130" t="s">
        <v>729</v>
      </c>
      <c r="G512" s="130" t="s">
        <v>156</v>
      </c>
      <c r="H512" s="117">
        <v>80111600</v>
      </c>
      <c r="I512" s="131">
        <v>8</v>
      </c>
      <c r="J512" s="131">
        <v>5</v>
      </c>
      <c r="K512" s="56">
        <v>0</v>
      </c>
      <c r="L512" s="57">
        <v>32500000</v>
      </c>
      <c r="M512" s="130" t="s">
        <v>173</v>
      </c>
      <c r="N512" s="57" t="s">
        <v>114</v>
      </c>
      <c r="O512" s="54" t="s">
        <v>230</v>
      </c>
      <c r="P512" s="132" t="str">
        <f>IFERROR(VLOOKUP(C512,TD!$B$32:$F$36,2,0)," ")</f>
        <v>O230117</v>
      </c>
      <c r="Q512" s="132" t="str">
        <f>IFERROR(VLOOKUP(C512,TD!$B$32:$F$36,3,0)," ")</f>
        <v>4503</v>
      </c>
      <c r="R512" s="132">
        <f>IFERROR(VLOOKUP(C512,TD!$B$32:$F$36,4,0)," ")</f>
        <v>20240255</v>
      </c>
      <c r="S512" s="54" t="s">
        <v>184</v>
      </c>
      <c r="T512" s="132" t="str">
        <f>IFERROR(VLOOKUP(S512,TD!$J$33:$K$43,2,0)," ")</f>
        <v>Servicio de formación en gestión del riesgo de incendios para el personal UAECOB</v>
      </c>
      <c r="U512" s="54" t="str">
        <f t="shared" si="28"/>
        <v>07-Servicio de formación en gestión del riesgo de incendios para el personal UAECOB</v>
      </c>
      <c r="V512" s="54" t="s">
        <v>234</v>
      </c>
      <c r="W512" s="132" t="str">
        <f>IFERROR(VLOOKUP(V512,TD!$N$33:$O$45,2,0)," ")</f>
        <v>Servicio de educación informal</v>
      </c>
      <c r="X512" s="54" t="str">
        <f t="shared" si="29"/>
        <v>002_Servicio de educación informal</v>
      </c>
      <c r="Y512" s="54" t="str">
        <f t="shared" si="30"/>
        <v>07-Servicio de formación en gestión del riesgo de incendios para el personal UAECOB 002_Servicio de educación informal</v>
      </c>
      <c r="Z512" s="132" t="str">
        <f t="shared" si="31"/>
        <v>O23011745032024025507002</v>
      </c>
      <c r="AA512" s="132" t="str">
        <f>IFERROR(VLOOKUP(Y512,TD!$K$46:$L$64,2,0)," ")</f>
        <v>PM/0131/0107/45030020255</v>
      </c>
      <c r="AB512" s="57" t="s">
        <v>139</v>
      </c>
      <c r="AC512" s="133" t="s">
        <v>205</v>
      </c>
    </row>
    <row r="513" spans="2:29" s="28" customFormat="1" ht="71.25">
      <c r="B513" s="85">
        <v>20241205</v>
      </c>
      <c r="C513" s="53" t="s">
        <v>210</v>
      </c>
      <c r="D513" s="130" t="s">
        <v>167</v>
      </c>
      <c r="E513" s="54" t="s">
        <v>839</v>
      </c>
      <c r="F513" s="130" t="s">
        <v>730</v>
      </c>
      <c r="G513" s="130" t="s">
        <v>156</v>
      </c>
      <c r="H513" s="117">
        <v>80111600</v>
      </c>
      <c r="I513" s="131">
        <v>8</v>
      </c>
      <c r="J513" s="131">
        <v>5</v>
      </c>
      <c r="K513" s="56">
        <v>0</v>
      </c>
      <c r="L513" s="57">
        <v>32500000</v>
      </c>
      <c r="M513" s="130" t="s">
        <v>173</v>
      </c>
      <c r="N513" s="57" t="s">
        <v>114</v>
      </c>
      <c r="O513" s="54" t="s">
        <v>231</v>
      </c>
      <c r="P513" s="132" t="str">
        <f>IFERROR(VLOOKUP(C513,TD!$B$32:$F$36,2,0)," ")</f>
        <v>O230117</v>
      </c>
      <c r="Q513" s="132" t="str">
        <f>IFERROR(VLOOKUP(C513,TD!$B$32:$F$36,3,0)," ")</f>
        <v>4503</v>
      </c>
      <c r="R513" s="132">
        <f>IFERROR(VLOOKUP(C513,TD!$B$32:$F$36,4,0)," ")</f>
        <v>20240255</v>
      </c>
      <c r="S513" s="54" t="s">
        <v>186</v>
      </c>
      <c r="T513" s="132" t="str">
        <f>IFERROR(VLOOKUP(S513,TD!$J$33:$K$43,2,0)," ")</f>
        <v>Infraestructura física, mantenimiento y dotación (Sedes construidas, mantenidas reforzadas)</v>
      </c>
      <c r="U513" s="54" t="str">
        <f t="shared" si="28"/>
        <v>08-Infraestructura física, mantenimiento y dotación (Sedes construidas, mantenidas reforzadas)</v>
      </c>
      <c r="V513" s="54" t="s">
        <v>295</v>
      </c>
      <c r="W513" s="132" t="str">
        <f>IFERROR(VLOOKUP(V513,TD!$N$33:$O$45,2,0)," ")</f>
        <v>Documentos de lineamientos técnicos</v>
      </c>
      <c r="X513" s="54" t="str">
        <f t="shared" si="29"/>
        <v>031__Documentos de lineamientos técnicos</v>
      </c>
      <c r="Y513" s="54" t="str">
        <f t="shared" si="30"/>
        <v>08-Infraestructura física, mantenimiento y dotación (Sedes construidas, mantenidas reforzadas) 031__Documentos de lineamientos técnicos</v>
      </c>
      <c r="Z513" s="132" t="str">
        <f t="shared" si="31"/>
        <v>O23011745032024025508031_</v>
      </c>
      <c r="AA513" s="132" t="str">
        <f>IFERROR(VLOOKUP(Y513,TD!$K$46:$L$64,2,0)," ")</f>
        <v>PM/0131/0108/45030310255</v>
      </c>
      <c r="AB513" s="57" t="s">
        <v>139</v>
      </c>
      <c r="AC513" s="133" t="s">
        <v>205</v>
      </c>
    </row>
    <row r="514" spans="2:29" s="28" customFormat="1" ht="57">
      <c r="B514" s="85">
        <v>20241206</v>
      </c>
      <c r="C514" s="53" t="s">
        <v>210</v>
      </c>
      <c r="D514" s="130" t="s">
        <v>167</v>
      </c>
      <c r="E514" s="54" t="s">
        <v>839</v>
      </c>
      <c r="F514" s="130" t="s">
        <v>731</v>
      </c>
      <c r="G514" s="130" t="s">
        <v>156</v>
      </c>
      <c r="H514" s="117">
        <v>80111600</v>
      </c>
      <c r="I514" s="131">
        <v>8</v>
      </c>
      <c r="J514" s="131">
        <v>5</v>
      </c>
      <c r="K514" s="56">
        <v>0</v>
      </c>
      <c r="L514" s="57">
        <v>32500000</v>
      </c>
      <c r="M514" s="130" t="s">
        <v>173</v>
      </c>
      <c r="N514" s="57" t="s">
        <v>114</v>
      </c>
      <c r="O514" s="54" t="s">
        <v>228</v>
      </c>
      <c r="P514" s="132" t="str">
        <f>IFERROR(VLOOKUP(C514,TD!$B$32:$F$36,2,0)," ")</f>
        <v>O230117</v>
      </c>
      <c r="Q514" s="132" t="str">
        <f>IFERROR(VLOOKUP(C514,TD!$B$32:$F$36,3,0)," ")</f>
        <v>4503</v>
      </c>
      <c r="R514" s="132">
        <f>IFERROR(VLOOKUP(C514,TD!$B$32:$F$36,4,0)," ")</f>
        <v>20240255</v>
      </c>
      <c r="S514" s="54" t="s">
        <v>186</v>
      </c>
      <c r="T514" s="132" t="str">
        <f>IFERROR(VLOOKUP(S514,TD!$J$33:$K$43,2,0)," ")</f>
        <v>Infraestructura física, mantenimiento y dotación (Sedes construidas, mantenidas reforzadas)</v>
      </c>
      <c r="U514" s="54" t="str">
        <f t="shared" si="28"/>
        <v>08-Infraestructura física, mantenimiento y dotación (Sedes construidas, mantenidas reforzadas)</v>
      </c>
      <c r="V514" s="54" t="s">
        <v>237</v>
      </c>
      <c r="W514" s="132" t="str">
        <f>IFERROR(VLOOKUP(V514,TD!$N$33:$O$45,2,0)," ")</f>
        <v>Estaciones de bomberos adecuadas</v>
      </c>
      <c r="X514" s="54" t="str">
        <f t="shared" si="29"/>
        <v>014_Estaciones de bomberos adecuadas</v>
      </c>
      <c r="Y514" s="54" t="str">
        <f t="shared" si="30"/>
        <v>08-Infraestructura física, mantenimiento y dotación (Sedes construidas, mantenidas reforzadas) 014_Estaciones de bomberos adecuadas</v>
      </c>
      <c r="Z514" s="132" t="str">
        <f t="shared" si="31"/>
        <v>O23011745032024025508014</v>
      </c>
      <c r="AA514" s="132" t="str">
        <f>IFERROR(VLOOKUP(Y514,TD!$K$46:$L$64,2,0)," ")</f>
        <v>PM/0131/0108/45030140255</v>
      </c>
      <c r="AB514" s="57" t="s">
        <v>139</v>
      </c>
      <c r="AC514" s="133" t="s">
        <v>205</v>
      </c>
    </row>
    <row r="515" spans="2:29" s="28" customFormat="1" ht="71.25">
      <c r="B515" s="85">
        <v>20241208</v>
      </c>
      <c r="C515" s="53" t="s">
        <v>209</v>
      </c>
      <c r="D515" s="130" t="s">
        <v>163</v>
      </c>
      <c r="E515" s="54" t="s">
        <v>364</v>
      </c>
      <c r="F515" s="130" t="s">
        <v>733</v>
      </c>
      <c r="G515" s="130" t="s">
        <v>156</v>
      </c>
      <c r="H515" s="117">
        <v>80111600</v>
      </c>
      <c r="I515" s="131">
        <v>8</v>
      </c>
      <c r="J515" s="131">
        <v>1</v>
      </c>
      <c r="K515" s="56">
        <v>0</v>
      </c>
      <c r="L515" s="57">
        <v>12466667</v>
      </c>
      <c r="M515" s="130" t="s">
        <v>173</v>
      </c>
      <c r="N515" s="57" t="s">
        <v>114</v>
      </c>
      <c r="O515" s="54" t="s">
        <v>216</v>
      </c>
      <c r="P515" s="132" t="str">
        <f>IFERROR(VLOOKUP(C515,TD!$B$32:$F$36,2,0)," ")</f>
        <v>O230117</v>
      </c>
      <c r="Q515" s="132" t="str">
        <f>IFERROR(VLOOKUP(C515,TD!$B$32:$F$36,3,0)," ")</f>
        <v>4599</v>
      </c>
      <c r="R515" s="132">
        <f>IFERROR(VLOOKUP(C515,TD!$B$32:$F$36,4,0)," ")</f>
        <v>20240207</v>
      </c>
      <c r="S515" s="54" t="s">
        <v>180</v>
      </c>
      <c r="T515" s="132" t="str">
        <f>IFERROR(VLOOKUP(S515,TD!$J$33:$K$43,2,0)," ")</f>
        <v>Infraestructura Tecnológica   (Sistemas de Información y Tecnologia)</v>
      </c>
      <c r="U515" s="54" t="str">
        <f t="shared" si="28"/>
        <v>11-Infraestructura Tecnológica   (Sistemas de Información y Tecnologia)</v>
      </c>
      <c r="V515" s="54" t="s">
        <v>240</v>
      </c>
      <c r="W515" s="132" t="str">
        <f>IFERROR(VLOOKUP(V515,TD!$N$33:$O$45,2,0)," ")</f>
        <v>Servicios tecnológicos</v>
      </c>
      <c r="X515" s="54" t="str">
        <f t="shared" si="29"/>
        <v>007_Servicios tecnológicos</v>
      </c>
      <c r="Y515" s="54" t="str">
        <f t="shared" si="30"/>
        <v>11-Infraestructura Tecnológica   (Sistemas de Información y Tecnologia) 007_Servicios tecnológicos</v>
      </c>
      <c r="Z515" s="132" t="str">
        <f t="shared" si="31"/>
        <v>O23011745992024020711007</v>
      </c>
      <c r="AA515" s="132" t="str">
        <f>IFERROR(VLOOKUP(Y515,TD!$K$46:$L$64,2,0)," ")</f>
        <v>PM/0131/0111/45990070207</v>
      </c>
      <c r="AB515" s="57" t="s">
        <v>139</v>
      </c>
      <c r="AC515" s="133" t="s">
        <v>206</v>
      </c>
    </row>
    <row r="516" spans="2:29" s="28" customFormat="1" ht="57">
      <c r="B516" s="85">
        <v>20241209</v>
      </c>
      <c r="C516" s="53" t="s">
        <v>209</v>
      </c>
      <c r="D516" s="130" t="s">
        <v>163</v>
      </c>
      <c r="E516" s="54" t="s">
        <v>364</v>
      </c>
      <c r="F516" s="130" t="s">
        <v>734</v>
      </c>
      <c r="G516" s="130" t="s">
        <v>156</v>
      </c>
      <c r="H516" s="117">
        <v>80111600</v>
      </c>
      <c r="I516" s="131">
        <v>8</v>
      </c>
      <c r="J516" s="131">
        <v>1</v>
      </c>
      <c r="K516" s="56">
        <v>0</v>
      </c>
      <c r="L516" s="57">
        <v>300000</v>
      </c>
      <c r="M516" s="130" t="s">
        <v>173</v>
      </c>
      <c r="N516" s="57" t="s">
        <v>114</v>
      </c>
      <c r="O516" s="54" t="s">
        <v>216</v>
      </c>
      <c r="P516" s="132" t="str">
        <f>IFERROR(VLOOKUP(C516,TD!$B$32:$F$36,2,0)," ")</f>
        <v>O230117</v>
      </c>
      <c r="Q516" s="132" t="str">
        <f>IFERROR(VLOOKUP(C516,TD!$B$32:$F$36,3,0)," ")</f>
        <v>4599</v>
      </c>
      <c r="R516" s="132">
        <f>IFERROR(VLOOKUP(C516,TD!$B$32:$F$36,4,0)," ")</f>
        <v>20240207</v>
      </c>
      <c r="S516" s="54" t="s">
        <v>180</v>
      </c>
      <c r="T516" s="132" t="str">
        <f>IFERROR(VLOOKUP(S516,TD!$J$33:$K$43,2,0)," ")</f>
        <v>Infraestructura Tecnológica   (Sistemas de Información y Tecnologia)</v>
      </c>
      <c r="U516" s="54" t="str">
        <f t="shared" si="28"/>
        <v>11-Infraestructura Tecnológica   (Sistemas de Información y Tecnologia)</v>
      </c>
      <c r="V516" s="54" t="s">
        <v>240</v>
      </c>
      <c r="W516" s="132" t="str">
        <f>IFERROR(VLOOKUP(V516,TD!$N$33:$O$45,2,0)," ")</f>
        <v>Servicios tecnológicos</v>
      </c>
      <c r="X516" s="54" t="str">
        <f t="shared" si="29"/>
        <v>007_Servicios tecnológicos</v>
      </c>
      <c r="Y516" s="54" t="str">
        <f t="shared" si="30"/>
        <v>11-Infraestructura Tecnológica   (Sistemas de Información y Tecnologia) 007_Servicios tecnológicos</v>
      </c>
      <c r="Z516" s="132" t="str">
        <f t="shared" si="31"/>
        <v>O23011745992024020711007</v>
      </c>
      <c r="AA516" s="132" t="str">
        <f>IFERROR(VLOOKUP(Y516,TD!$K$46:$L$64,2,0)," ")</f>
        <v>PM/0131/0111/45990070207</v>
      </c>
      <c r="AB516" s="57" t="s">
        <v>139</v>
      </c>
      <c r="AC516" s="133" t="s">
        <v>206</v>
      </c>
    </row>
    <row r="517" spans="2:29" s="28" customFormat="1" ht="42.75">
      <c r="B517" s="85">
        <v>20241210</v>
      </c>
      <c r="C517" s="53" t="s">
        <v>209</v>
      </c>
      <c r="D517" s="130" t="s">
        <v>163</v>
      </c>
      <c r="E517" s="54" t="s">
        <v>364</v>
      </c>
      <c r="F517" s="130" t="s">
        <v>727</v>
      </c>
      <c r="G517" s="130" t="s">
        <v>87</v>
      </c>
      <c r="H517" s="117">
        <v>40101701</v>
      </c>
      <c r="I517" s="131">
        <v>8</v>
      </c>
      <c r="J517" s="131">
        <v>1</v>
      </c>
      <c r="K517" s="56">
        <v>0</v>
      </c>
      <c r="L517" s="57">
        <v>6000000</v>
      </c>
      <c r="M517" s="130" t="s">
        <v>173</v>
      </c>
      <c r="N517" s="57" t="s">
        <v>124</v>
      </c>
      <c r="O517" s="54" t="s">
        <v>216</v>
      </c>
      <c r="P517" s="132" t="str">
        <f>IFERROR(VLOOKUP(C517,TD!$B$32:$F$36,2,0)," ")</f>
        <v>O230117</v>
      </c>
      <c r="Q517" s="132" t="str">
        <f>IFERROR(VLOOKUP(C517,TD!$B$32:$F$36,3,0)," ")</f>
        <v>4599</v>
      </c>
      <c r="R517" s="132">
        <f>IFERROR(VLOOKUP(C517,TD!$B$32:$F$36,4,0)," ")</f>
        <v>20240207</v>
      </c>
      <c r="S517" s="54" t="s">
        <v>180</v>
      </c>
      <c r="T517" s="132" t="str">
        <f>IFERROR(VLOOKUP(S517,TD!$J$33:$K$43,2,0)," ")</f>
        <v>Infraestructura Tecnológica   (Sistemas de Información y Tecnologia)</v>
      </c>
      <c r="U517" s="54" t="str">
        <f t="shared" si="28"/>
        <v>11-Infraestructura Tecnológica   (Sistemas de Información y Tecnologia)</v>
      </c>
      <c r="V517" s="54" t="s">
        <v>240</v>
      </c>
      <c r="W517" s="132" t="str">
        <f>IFERROR(VLOOKUP(V517,TD!$N$33:$O$45,2,0)," ")</f>
        <v>Servicios tecnológicos</v>
      </c>
      <c r="X517" s="54" t="str">
        <f t="shared" si="29"/>
        <v>007_Servicios tecnológicos</v>
      </c>
      <c r="Y517" s="54" t="str">
        <f t="shared" si="30"/>
        <v>11-Infraestructura Tecnológica   (Sistemas de Información y Tecnologia) 007_Servicios tecnológicos</v>
      </c>
      <c r="Z517" s="132" t="str">
        <f t="shared" si="31"/>
        <v>O23011745992024020711007</v>
      </c>
      <c r="AA517" s="132" t="str">
        <f>IFERROR(VLOOKUP(Y517,TD!$K$46:$L$64,2,0)," ")</f>
        <v>PM/0131/0111/45990070207</v>
      </c>
      <c r="AB517" s="57" t="s">
        <v>139</v>
      </c>
      <c r="AC517" s="133" t="s">
        <v>205</v>
      </c>
    </row>
    <row r="518" spans="2:29" s="28" customFormat="1" ht="57">
      <c r="B518" s="85">
        <v>20241211</v>
      </c>
      <c r="C518" s="53" t="s">
        <v>209</v>
      </c>
      <c r="D518" s="130" t="s">
        <v>163</v>
      </c>
      <c r="E518" s="54" t="s">
        <v>364</v>
      </c>
      <c r="F518" s="130" t="s">
        <v>736</v>
      </c>
      <c r="G518" s="130" t="s">
        <v>156</v>
      </c>
      <c r="H518" s="117">
        <v>80111600</v>
      </c>
      <c r="I518" s="131">
        <v>9</v>
      </c>
      <c r="J518" s="131">
        <v>5</v>
      </c>
      <c r="K518" s="56">
        <v>0</v>
      </c>
      <c r="L518" s="57">
        <f>30000000-2000000</f>
        <v>28000000</v>
      </c>
      <c r="M518" s="130" t="s">
        <v>173</v>
      </c>
      <c r="N518" s="57" t="s">
        <v>114</v>
      </c>
      <c r="O518" s="54" t="s">
        <v>216</v>
      </c>
      <c r="P518" s="132" t="str">
        <f>IFERROR(VLOOKUP(C518,TD!$B$32:$F$36,2,0)," ")</f>
        <v>O230117</v>
      </c>
      <c r="Q518" s="132" t="str">
        <f>IFERROR(VLOOKUP(C518,TD!$B$32:$F$36,3,0)," ")</f>
        <v>4599</v>
      </c>
      <c r="R518" s="132">
        <f>IFERROR(VLOOKUP(C518,TD!$B$32:$F$36,4,0)," ")</f>
        <v>20240207</v>
      </c>
      <c r="S518" s="54" t="s">
        <v>180</v>
      </c>
      <c r="T518" s="132" t="str">
        <f>IFERROR(VLOOKUP(S518,TD!$J$33:$K$43,2,0)," ")</f>
        <v>Infraestructura Tecnológica   (Sistemas de Información y Tecnologia)</v>
      </c>
      <c r="U518" s="54" t="str">
        <f t="shared" si="28"/>
        <v>11-Infraestructura Tecnológica   (Sistemas de Información y Tecnologia)</v>
      </c>
      <c r="V518" s="54" t="s">
        <v>240</v>
      </c>
      <c r="W518" s="132" t="str">
        <f>IFERROR(VLOOKUP(V518,TD!$N$33:$O$45,2,0)," ")</f>
        <v>Servicios tecnológicos</v>
      </c>
      <c r="X518" s="54" t="str">
        <f t="shared" si="29"/>
        <v>007_Servicios tecnológicos</v>
      </c>
      <c r="Y518" s="54" t="str">
        <f t="shared" si="30"/>
        <v>11-Infraestructura Tecnológica   (Sistemas de Información y Tecnologia) 007_Servicios tecnológicos</v>
      </c>
      <c r="Z518" s="132" t="str">
        <f t="shared" si="31"/>
        <v>O23011745992024020711007</v>
      </c>
      <c r="AA518" s="132" t="str">
        <f>IFERROR(VLOOKUP(Y518,TD!$K$46:$L$64,2,0)," ")</f>
        <v>PM/0131/0111/45990070207</v>
      </c>
      <c r="AB518" s="57" t="s">
        <v>139</v>
      </c>
      <c r="AC518" s="133" t="s">
        <v>205</v>
      </c>
    </row>
    <row r="519" spans="2:29" s="28" customFormat="1" ht="57">
      <c r="B519" s="85">
        <v>20241212</v>
      </c>
      <c r="C519" s="53" t="s">
        <v>209</v>
      </c>
      <c r="D519" s="130" t="s">
        <v>163</v>
      </c>
      <c r="E519" s="54" t="s">
        <v>364</v>
      </c>
      <c r="F519" s="130" t="s">
        <v>735</v>
      </c>
      <c r="G519" s="130" t="s">
        <v>155</v>
      </c>
      <c r="H519" s="117">
        <v>40101701</v>
      </c>
      <c r="I519" s="131">
        <v>8</v>
      </c>
      <c r="J519" s="131">
        <v>1</v>
      </c>
      <c r="K519" s="56">
        <v>0</v>
      </c>
      <c r="L519" s="57">
        <v>5250000</v>
      </c>
      <c r="M519" s="130" t="s">
        <v>173</v>
      </c>
      <c r="N519" s="57" t="s">
        <v>101</v>
      </c>
      <c r="O519" s="54" t="s">
        <v>216</v>
      </c>
      <c r="P519" s="132" t="str">
        <f>IFERROR(VLOOKUP(C519,TD!$B$32:$F$36,2,0)," ")</f>
        <v>O230117</v>
      </c>
      <c r="Q519" s="132" t="str">
        <f>IFERROR(VLOOKUP(C519,TD!$B$32:$F$36,3,0)," ")</f>
        <v>4599</v>
      </c>
      <c r="R519" s="132">
        <f>IFERROR(VLOOKUP(C519,TD!$B$32:$F$36,4,0)," ")</f>
        <v>20240207</v>
      </c>
      <c r="S519" s="54" t="s">
        <v>180</v>
      </c>
      <c r="T519" s="132" t="str">
        <f>IFERROR(VLOOKUP(S519,TD!$J$33:$K$43,2,0)," ")</f>
        <v>Infraestructura Tecnológica   (Sistemas de Información y Tecnologia)</v>
      </c>
      <c r="U519" s="54" t="str">
        <f t="shared" si="28"/>
        <v>11-Infraestructura Tecnológica   (Sistemas de Información y Tecnologia)</v>
      </c>
      <c r="V519" s="54" t="s">
        <v>240</v>
      </c>
      <c r="W519" s="132" t="str">
        <f>IFERROR(VLOOKUP(V519,TD!$N$33:$O$45,2,0)," ")</f>
        <v>Servicios tecnológicos</v>
      </c>
      <c r="X519" s="54" t="str">
        <f t="shared" si="29"/>
        <v>007_Servicios tecnológicos</v>
      </c>
      <c r="Y519" s="54" t="str">
        <f t="shared" si="30"/>
        <v>11-Infraestructura Tecnológica   (Sistemas de Información y Tecnologia) 007_Servicios tecnológicos</v>
      </c>
      <c r="Z519" s="132" t="str">
        <f t="shared" si="31"/>
        <v>O23011745992024020711007</v>
      </c>
      <c r="AA519" s="132" t="str">
        <f>IFERROR(VLOOKUP(Y519,TD!$K$46:$L$64,2,0)," ")</f>
        <v>PM/0131/0111/45990070207</v>
      </c>
      <c r="AB519" s="57" t="s">
        <v>139</v>
      </c>
      <c r="AC519" s="133" t="s">
        <v>205</v>
      </c>
    </row>
    <row r="520" spans="2:29" s="28" customFormat="1" ht="57">
      <c r="B520" s="85">
        <v>20241213</v>
      </c>
      <c r="C520" s="53" t="s">
        <v>210</v>
      </c>
      <c r="D520" s="130" t="s">
        <v>168</v>
      </c>
      <c r="E520" s="54" t="s">
        <v>380</v>
      </c>
      <c r="F520" s="130" t="s">
        <v>740</v>
      </c>
      <c r="G520" s="130" t="s">
        <v>110</v>
      </c>
      <c r="H520" s="117" t="s">
        <v>837</v>
      </c>
      <c r="I520" s="131">
        <v>10</v>
      </c>
      <c r="J520" s="131">
        <v>6</v>
      </c>
      <c r="K520" s="56">
        <v>0</v>
      </c>
      <c r="L520" s="57">
        <v>24000000</v>
      </c>
      <c r="M520" s="130" t="s">
        <v>173</v>
      </c>
      <c r="N520" s="57" t="s">
        <v>114</v>
      </c>
      <c r="O520" s="54" t="s">
        <v>222</v>
      </c>
      <c r="P520" s="132" t="str">
        <f>IFERROR(VLOOKUP(C520,TD!$B$32:$F$36,2,0)," ")</f>
        <v>O230117</v>
      </c>
      <c r="Q520" s="132" t="str">
        <f>IFERROR(VLOOKUP(C520,TD!$B$32:$F$36,3,0)," ")</f>
        <v>4503</v>
      </c>
      <c r="R520" s="132">
        <f>IFERROR(VLOOKUP(C520,TD!$B$32:$F$36,4,0)," ")</f>
        <v>20240255</v>
      </c>
      <c r="S520" s="54" t="s">
        <v>182</v>
      </c>
      <c r="T520" s="132" t="str">
        <f>IFERROR(VLOOKUP(S520,TD!$J$33:$K$43,2,0)," ")</f>
        <v>Servicio de inspecciones técnicas realizadas</v>
      </c>
      <c r="U520" s="54" t="str">
        <f t="shared" si="28"/>
        <v>06-Servicio de inspecciones técnicas realizadas</v>
      </c>
      <c r="V520" s="54" t="s">
        <v>235</v>
      </c>
      <c r="W520" s="132" t="str">
        <f>IFERROR(VLOOKUP(V520,TD!$N$33:$O$45,2,0)," ")</f>
        <v>Servicio prevención y control de incendios</v>
      </c>
      <c r="X520" s="54" t="str">
        <f t="shared" si="29"/>
        <v>035_Servicio prevención y control de incendios</v>
      </c>
      <c r="Y520" s="54" t="str">
        <f t="shared" si="30"/>
        <v>06-Servicio de inspecciones técnicas realizadas 035_Servicio prevención y control de incendios</v>
      </c>
      <c r="Z520" s="132" t="str">
        <f t="shared" si="31"/>
        <v>O23011745032024025506035</v>
      </c>
      <c r="AA520" s="132" t="str">
        <f>IFERROR(VLOOKUP(Y520,TD!$K$46:$L$64,2,0)," ")</f>
        <v>PM/0131/0106/45030350255</v>
      </c>
      <c r="AB520" s="57" t="s">
        <v>139</v>
      </c>
      <c r="AC520" s="133" t="s">
        <v>205</v>
      </c>
    </row>
    <row r="521" spans="2:29" s="28" customFormat="1" ht="57">
      <c r="B521" s="85">
        <v>20241214</v>
      </c>
      <c r="C521" s="53" t="s">
        <v>210</v>
      </c>
      <c r="D521" s="130" t="s">
        <v>168</v>
      </c>
      <c r="E521" s="54" t="s">
        <v>380</v>
      </c>
      <c r="F521" s="130" t="s">
        <v>741</v>
      </c>
      <c r="G521" s="130" t="s">
        <v>110</v>
      </c>
      <c r="H521" s="117" t="s">
        <v>755</v>
      </c>
      <c r="I521" s="131">
        <v>10</v>
      </c>
      <c r="J521" s="131">
        <v>1</v>
      </c>
      <c r="K521" s="56">
        <v>0</v>
      </c>
      <c r="L521" s="57">
        <v>18000000</v>
      </c>
      <c r="M521" s="130" t="s">
        <v>173</v>
      </c>
      <c r="N521" s="57" t="s">
        <v>101</v>
      </c>
      <c r="O521" s="54" t="s">
        <v>222</v>
      </c>
      <c r="P521" s="132" t="str">
        <f>IFERROR(VLOOKUP(C521,TD!$B$32:$F$36,2,0)," ")</f>
        <v>O230117</v>
      </c>
      <c r="Q521" s="132" t="str">
        <f>IFERROR(VLOOKUP(C521,TD!$B$32:$F$36,3,0)," ")</f>
        <v>4503</v>
      </c>
      <c r="R521" s="132">
        <f>IFERROR(VLOOKUP(C521,TD!$B$32:$F$36,4,0)," ")</f>
        <v>20240255</v>
      </c>
      <c r="S521" s="54" t="s">
        <v>182</v>
      </c>
      <c r="T521" s="132" t="str">
        <f>IFERROR(VLOOKUP(S521,TD!$J$33:$K$43,2,0)," ")</f>
        <v>Servicio de inspecciones técnicas realizadas</v>
      </c>
      <c r="U521" s="54" t="str">
        <f t="shared" si="28"/>
        <v>06-Servicio de inspecciones técnicas realizadas</v>
      </c>
      <c r="V521" s="54" t="s">
        <v>235</v>
      </c>
      <c r="W521" s="132" t="str">
        <f>IFERROR(VLOOKUP(V521,TD!$N$33:$O$45,2,0)," ")</f>
        <v>Servicio prevención y control de incendios</v>
      </c>
      <c r="X521" s="54" t="str">
        <f t="shared" si="29"/>
        <v>035_Servicio prevención y control de incendios</v>
      </c>
      <c r="Y521" s="54" t="str">
        <f t="shared" si="30"/>
        <v>06-Servicio de inspecciones técnicas realizadas 035_Servicio prevención y control de incendios</v>
      </c>
      <c r="Z521" s="132" t="str">
        <f t="shared" si="31"/>
        <v>O23011745032024025506035</v>
      </c>
      <c r="AA521" s="132" t="str">
        <f>IFERROR(VLOOKUP(Y521,TD!$K$46:$L$64,2,0)," ")</f>
        <v>PM/0131/0106/45030350255</v>
      </c>
      <c r="AB521" s="57" t="s">
        <v>139</v>
      </c>
      <c r="AC521" s="133" t="s">
        <v>205</v>
      </c>
    </row>
    <row r="522" spans="2:29" s="28" customFormat="1" ht="57">
      <c r="B522" s="85">
        <v>20241220</v>
      </c>
      <c r="C522" s="53" t="s">
        <v>210</v>
      </c>
      <c r="D522" s="130" t="s">
        <v>166</v>
      </c>
      <c r="E522" s="54" t="s">
        <v>857</v>
      </c>
      <c r="F522" s="130" t="s">
        <v>757</v>
      </c>
      <c r="G522" s="130" t="s">
        <v>156</v>
      </c>
      <c r="H522" s="117">
        <v>80111600</v>
      </c>
      <c r="I522" s="131">
        <v>9</v>
      </c>
      <c r="J522" s="131">
        <v>5</v>
      </c>
      <c r="K522" s="56">
        <v>0</v>
      </c>
      <c r="L522" s="57">
        <f>32500000</f>
        <v>32500000</v>
      </c>
      <c r="M522" s="130" t="s">
        <v>173</v>
      </c>
      <c r="N522" s="57" t="s">
        <v>114</v>
      </c>
      <c r="O522" s="54" t="s">
        <v>230</v>
      </c>
      <c r="P522" s="132" t="str">
        <f>IFERROR(VLOOKUP(C522,TD!$B$32:$F$36,2,0)," ")</f>
        <v>O230117</v>
      </c>
      <c r="Q522" s="132" t="str">
        <f>IFERROR(VLOOKUP(C522,TD!$B$32:$F$36,3,0)," ")</f>
        <v>4503</v>
      </c>
      <c r="R522" s="132">
        <f>IFERROR(VLOOKUP(C522,TD!$B$32:$F$36,4,0)," ")</f>
        <v>20240255</v>
      </c>
      <c r="S522" s="54" t="s">
        <v>184</v>
      </c>
      <c r="T522" s="132" t="str">
        <f>IFERROR(VLOOKUP(S522,TD!$J$33:$K$43,2,0)," ")</f>
        <v>Servicio de formación en gestión del riesgo de incendios para el personal UAECOB</v>
      </c>
      <c r="U522" s="54" t="str">
        <f t="shared" si="28"/>
        <v>07-Servicio de formación en gestión del riesgo de incendios para el personal UAECOB</v>
      </c>
      <c r="V522" s="54" t="s">
        <v>234</v>
      </c>
      <c r="W522" s="132" t="str">
        <f>IFERROR(VLOOKUP(V522,TD!$N$33:$O$45,2,0)," ")</f>
        <v>Servicio de educación informal</v>
      </c>
      <c r="X522" s="54" t="str">
        <f t="shared" si="29"/>
        <v>002_Servicio de educación informal</v>
      </c>
      <c r="Y522" s="54" t="str">
        <f t="shared" si="30"/>
        <v>07-Servicio de formación en gestión del riesgo de incendios para el personal UAECOB 002_Servicio de educación informal</v>
      </c>
      <c r="Z522" s="132" t="str">
        <f t="shared" si="31"/>
        <v>O23011745032024025507002</v>
      </c>
      <c r="AA522" s="132" t="str">
        <f>IFERROR(VLOOKUP(Y522,TD!$K$46:$L$64,2,0)," ")</f>
        <v>PM/0131/0107/45030020255</v>
      </c>
      <c r="AB522" s="57" t="s">
        <v>139</v>
      </c>
      <c r="AC522" s="133" t="s">
        <v>205</v>
      </c>
    </row>
    <row r="523" spans="2:29" s="28" customFormat="1" ht="57">
      <c r="B523" s="85">
        <v>20241221</v>
      </c>
      <c r="C523" s="53" t="s">
        <v>210</v>
      </c>
      <c r="D523" s="130" t="s">
        <v>166</v>
      </c>
      <c r="E523" s="54" t="s">
        <v>857</v>
      </c>
      <c r="F523" s="130" t="s">
        <v>758</v>
      </c>
      <c r="G523" s="130" t="s">
        <v>156</v>
      </c>
      <c r="H523" s="117">
        <v>80111600</v>
      </c>
      <c r="I523" s="131">
        <v>9</v>
      </c>
      <c r="J523" s="131">
        <v>5</v>
      </c>
      <c r="K523" s="56">
        <v>0</v>
      </c>
      <c r="L523" s="57">
        <f>27355000</f>
        <v>27355000</v>
      </c>
      <c r="M523" s="130" t="s">
        <v>173</v>
      </c>
      <c r="N523" s="57" t="s">
        <v>114</v>
      </c>
      <c r="O523" s="54" t="s">
        <v>230</v>
      </c>
      <c r="P523" s="132" t="str">
        <f>IFERROR(VLOOKUP(C523,TD!$B$32:$F$36,2,0)," ")</f>
        <v>O230117</v>
      </c>
      <c r="Q523" s="132" t="str">
        <f>IFERROR(VLOOKUP(C523,TD!$B$32:$F$36,3,0)," ")</f>
        <v>4503</v>
      </c>
      <c r="R523" s="132">
        <f>IFERROR(VLOOKUP(C523,TD!$B$32:$F$36,4,0)," ")</f>
        <v>20240255</v>
      </c>
      <c r="S523" s="54" t="s">
        <v>184</v>
      </c>
      <c r="T523" s="132" t="str">
        <f>IFERROR(VLOOKUP(S523,TD!$J$33:$K$43,2,0)," ")</f>
        <v>Servicio de formación en gestión del riesgo de incendios para el personal UAECOB</v>
      </c>
      <c r="U523" s="54" t="str">
        <f t="shared" ref="U523:U586" si="32">CONCATENATE(S523,"-",T523)</f>
        <v>07-Servicio de formación en gestión del riesgo de incendios para el personal UAECOB</v>
      </c>
      <c r="V523" s="54" t="s">
        <v>234</v>
      </c>
      <c r="W523" s="132" t="str">
        <f>IFERROR(VLOOKUP(V523,TD!$N$33:$O$45,2,0)," ")</f>
        <v>Servicio de educación informal</v>
      </c>
      <c r="X523" s="54" t="str">
        <f t="shared" ref="X523:X586" si="33">CONCATENATE(V523,"_",W523)</f>
        <v>002_Servicio de educación informal</v>
      </c>
      <c r="Y523" s="54" t="str">
        <f t="shared" ref="Y523:Y586" si="34">CONCATENATE(U523," ",X523)</f>
        <v>07-Servicio de formación en gestión del riesgo de incendios para el personal UAECOB 002_Servicio de educación informal</v>
      </c>
      <c r="Z523" s="132" t="str">
        <f t="shared" ref="Z523:Z586" si="35">CONCATENATE(P523,Q523,R523,S523,V523)</f>
        <v>O23011745032024025507002</v>
      </c>
      <c r="AA523" s="132" t="str">
        <f>IFERROR(VLOOKUP(Y523,TD!$K$46:$L$64,2,0)," ")</f>
        <v>PM/0131/0107/45030020255</v>
      </c>
      <c r="AB523" s="57" t="s">
        <v>139</v>
      </c>
      <c r="AC523" s="133" t="s">
        <v>205</v>
      </c>
    </row>
    <row r="524" spans="2:29" s="28" customFormat="1" ht="57">
      <c r="B524" s="85">
        <v>20241223</v>
      </c>
      <c r="C524" s="53" t="s">
        <v>210</v>
      </c>
      <c r="D524" s="130" t="s">
        <v>166</v>
      </c>
      <c r="E524" s="54" t="s">
        <v>857</v>
      </c>
      <c r="F524" s="130" t="s">
        <v>759</v>
      </c>
      <c r="G524" s="130" t="s">
        <v>156</v>
      </c>
      <c r="H524" s="117">
        <v>80111600</v>
      </c>
      <c r="I524" s="131">
        <v>9</v>
      </c>
      <c r="J524" s="131">
        <v>5</v>
      </c>
      <c r="K524" s="56">
        <v>0</v>
      </c>
      <c r="L524" s="57">
        <f>40000000</f>
        <v>40000000</v>
      </c>
      <c r="M524" s="130" t="s">
        <v>173</v>
      </c>
      <c r="N524" s="57" t="s">
        <v>114</v>
      </c>
      <c r="O524" s="54" t="s">
        <v>230</v>
      </c>
      <c r="P524" s="132" t="str">
        <f>IFERROR(VLOOKUP(C524,TD!$B$32:$F$36,2,0)," ")</f>
        <v>O230117</v>
      </c>
      <c r="Q524" s="132" t="str">
        <f>IFERROR(VLOOKUP(C524,TD!$B$32:$F$36,3,0)," ")</f>
        <v>4503</v>
      </c>
      <c r="R524" s="132">
        <f>IFERROR(VLOOKUP(C524,TD!$B$32:$F$36,4,0)," ")</f>
        <v>20240255</v>
      </c>
      <c r="S524" s="54" t="s">
        <v>184</v>
      </c>
      <c r="T524" s="132" t="str">
        <f>IFERROR(VLOOKUP(S524,TD!$J$33:$K$43,2,0)," ")</f>
        <v>Servicio de formación en gestión del riesgo de incendios para el personal UAECOB</v>
      </c>
      <c r="U524" s="54" t="str">
        <f t="shared" si="32"/>
        <v>07-Servicio de formación en gestión del riesgo de incendios para el personal UAECOB</v>
      </c>
      <c r="V524" s="54" t="s">
        <v>234</v>
      </c>
      <c r="W524" s="132" t="str">
        <f>IFERROR(VLOOKUP(V524,TD!$N$33:$O$45,2,0)," ")</f>
        <v>Servicio de educación informal</v>
      </c>
      <c r="X524" s="54" t="str">
        <f t="shared" si="33"/>
        <v>002_Servicio de educación informal</v>
      </c>
      <c r="Y524" s="54" t="str">
        <f t="shared" si="34"/>
        <v>07-Servicio de formación en gestión del riesgo de incendios para el personal UAECOB 002_Servicio de educación informal</v>
      </c>
      <c r="Z524" s="132" t="str">
        <f t="shared" si="35"/>
        <v>O23011745032024025507002</v>
      </c>
      <c r="AA524" s="132" t="str">
        <f>IFERROR(VLOOKUP(Y524,TD!$K$46:$L$64,2,0)," ")</f>
        <v>PM/0131/0107/45030020255</v>
      </c>
      <c r="AB524" s="57" t="s">
        <v>139</v>
      </c>
      <c r="AC524" s="133" t="s">
        <v>205</v>
      </c>
    </row>
    <row r="525" spans="2:29" s="28" customFormat="1" ht="57">
      <c r="B525" s="85">
        <v>20241224</v>
      </c>
      <c r="C525" s="53" t="s">
        <v>210</v>
      </c>
      <c r="D525" s="130" t="s">
        <v>166</v>
      </c>
      <c r="E525" s="54" t="s">
        <v>857</v>
      </c>
      <c r="F525" s="130" t="s">
        <v>530</v>
      </c>
      <c r="G525" s="130" t="s">
        <v>157</v>
      </c>
      <c r="H525" s="117">
        <v>80111600</v>
      </c>
      <c r="I525" s="131">
        <v>9</v>
      </c>
      <c r="J525" s="131">
        <v>5</v>
      </c>
      <c r="K525" s="56">
        <v>0</v>
      </c>
      <c r="L525" s="57">
        <f>12950000</f>
        <v>12950000</v>
      </c>
      <c r="M525" s="130" t="s">
        <v>173</v>
      </c>
      <c r="N525" s="57" t="s">
        <v>114</v>
      </c>
      <c r="O525" s="54" t="s">
        <v>230</v>
      </c>
      <c r="P525" s="132" t="str">
        <f>IFERROR(VLOOKUP(C525,TD!$B$32:$F$36,2,0)," ")</f>
        <v>O230117</v>
      </c>
      <c r="Q525" s="132" t="str">
        <f>IFERROR(VLOOKUP(C525,TD!$B$32:$F$36,3,0)," ")</f>
        <v>4503</v>
      </c>
      <c r="R525" s="132">
        <f>IFERROR(VLOOKUP(C525,TD!$B$32:$F$36,4,0)," ")</f>
        <v>20240255</v>
      </c>
      <c r="S525" s="54" t="s">
        <v>184</v>
      </c>
      <c r="T525" s="132" t="str">
        <f>IFERROR(VLOOKUP(S525,TD!$J$33:$K$43,2,0)," ")</f>
        <v>Servicio de formación en gestión del riesgo de incendios para el personal UAECOB</v>
      </c>
      <c r="U525" s="54" t="str">
        <f t="shared" si="32"/>
        <v>07-Servicio de formación en gestión del riesgo de incendios para el personal UAECOB</v>
      </c>
      <c r="V525" s="54" t="s">
        <v>234</v>
      </c>
      <c r="W525" s="132" t="str">
        <f>IFERROR(VLOOKUP(V525,TD!$N$33:$O$45,2,0)," ")</f>
        <v>Servicio de educación informal</v>
      </c>
      <c r="X525" s="54" t="str">
        <f t="shared" si="33"/>
        <v>002_Servicio de educación informal</v>
      </c>
      <c r="Y525" s="54" t="str">
        <f t="shared" si="34"/>
        <v>07-Servicio de formación en gestión del riesgo de incendios para el personal UAECOB 002_Servicio de educación informal</v>
      </c>
      <c r="Z525" s="132" t="str">
        <f t="shared" si="35"/>
        <v>O23011745032024025507002</v>
      </c>
      <c r="AA525" s="132" t="str">
        <f>IFERROR(VLOOKUP(Y525,TD!$K$46:$L$64,2,0)," ")</f>
        <v>PM/0131/0107/45030020255</v>
      </c>
      <c r="AB525" s="57" t="s">
        <v>139</v>
      </c>
      <c r="AC525" s="133" t="s">
        <v>205</v>
      </c>
    </row>
    <row r="526" spans="2:29" s="28" customFormat="1" ht="71.25">
      <c r="B526" s="85">
        <v>20241225</v>
      </c>
      <c r="C526" s="53" t="s">
        <v>210</v>
      </c>
      <c r="D526" s="130" t="s">
        <v>169</v>
      </c>
      <c r="E526" s="54" t="s">
        <v>804</v>
      </c>
      <c r="F526" s="130" t="s">
        <v>447</v>
      </c>
      <c r="G526" s="130" t="s">
        <v>157</v>
      </c>
      <c r="H526" s="117">
        <v>80111600</v>
      </c>
      <c r="I526" s="131">
        <v>10</v>
      </c>
      <c r="J526" s="131">
        <v>3</v>
      </c>
      <c r="K526" s="56">
        <v>0</v>
      </c>
      <c r="L526" s="57">
        <v>9502080</v>
      </c>
      <c r="M526" s="130" t="s">
        <v>173</v>
      </c>
      <c r="N526" s="57" t="s">
        <v>114</v>
      </c>
      <c r="O526" s="54" t="s">
        <v>225</v>
      </c>
      <c r="P526" s="132" t="str">
        <f>IFERROR(VLOOKUP(C526,TD!$B$32:$F$36,2,0)," ")</f>
        <v>O230117</v>
      </c>
      <c r="Q526" s="132" t="str">
        <f>IFERROR(VLOOKUP(C526,TD!$B$32:$F$36,3,0)," ")</f>
        <v>4503</v>
      </c>
      <c r="R526" s="132">
        <f>IFERROR(VLOOKUP(C526,TD!$B$32:$F$36,4,0)," ")</f>
        <v>20240255</v>
      </c>
      <c r="S526" s="54" t="s">
        <v>188</v>
      </c>
      <c r="T526" s="132" t="str">
        <f>IFERROR(VLOOKUP(S526,TD!$J$33:$K$43,2,0)," ")</f>
        <v>Servicio de mantenimiento, dotación (HEA´s y equipo menor) y adquisición de vehiculos   especializados para la atención de emergencias.</v>
      </c>
      <c r="U526" s="54" t="str">
        <f t="shared" si="32"/>
        <v>09-Servicio de mantenimiento, dotación (HEA´s y equipo menor) y adquisición de vehiculos   especializados para la atención de emergencias.</v>
      </c>
      <c r="V526" s="54" t="s">
        <v>233</v>
      </c>
      <c r="W526" s="132" t="str">
        <f>IFERROR(VLOOKUP(V526,TD!$N$33:$O$45,2,0)," ")</f>
        <v>Servicio de atención a emergencias y desastres</v>
      </c>
      <c r="X526" s="54" t="str">
        <f t="shared" si="33"/>
        <v>004_Servicio de atención a emergencias y desastres</v>
      </c>
      <c r="Y526" s="54" t="str">
        <f t="shared" si="34"/>
        <v>09-Servicio de mantenimiento, dotación (HEA´s y equipo menor) y adquisición de vehiculos   especializados para la atención de emergencias. 004_Servicio de atención a emergencias y desastres</v>
      </c>
      <c r="Z526" s="132" t="str">
        <f t="shared" si="35"/>
        <v>O23011745032024025509004</v>
      </c>
      <c r="AA526" s="132" t="str">
        <f>IFERROR(VLOOKUP(Y526,TD!$K$46:$L$64,2,0)," ")</f>
        <v>PM/0131/0109/45030040255</v>
      </c>
      <c r="AB526" s="57" t="s">
        <v>139</v>
      </c>
      <c r="AC526" s="133" t="s">
        <v>205</v>
      </c>
    </row>
    <row r="527" spans="2:29" s="28" customFormat="1" ht="71.25">
      <c r="B527" s="85">
        <v>20241226</v>
      </c>
      <c r="C527" s="53" t="s">
        <v>210</v>
      </c>
      <c r="D527" s="130" t="s">
        <v>169</v>
      </c>
      <c r="E527" s="54" t="s">
        <v>804</v>
      </c>
      <c r="F527" s="130" t="s">
        <v>760</v>
      </c>
      <c r="G527" s="130" t="s">
        <v>156</v>
      </c>
      <c r="H527" s="117">
        <v>80111600</v>
      </c>
      <c r="I527" s="131">
        <v>12</v>
      </c>
      <c r="J527" s="131">
        <v>1</v>
      </c>
      <c r="K527" s="56">
        <v>0</v>
      </c>
      <c r="L527" s="57">
        <v>6180000</v>
      </c>
      <c r="M527" s="130" t="s">
        <v>173</v>
      </c>
      <c r="N527" s="57" t="s">
        <v>114</v>
      </c>
      <c r="O527" s="54" t="s">
        <v>225</v>
      </c>
      <c r="P527" s="132" t="str">
        <f>IFERROR(VLOOKUP(C527,TD!$B$32:$F$36,2,0)," ")</f>
        <v>O230117</v>
      </c>
      <c r="Q527" s="132" t="str">
        <f>IFERROR(VLOOKUP(C527,TD!$B$32:$F$36,3,0)," ")</f>
        <v>4503</v>
      </c>
      <c r="R527" s="132">
        <f>IFERROR(VLOOKUP(C527,TD!$B$32:$F$36,4,0)," ")</f>
        <v>20240255</v>
      </c>
      <c r="S527" s="54" t="s">
        <v>188</v>
      </c>
      <c r="T527" s="132" t="str">
        <f>IFERROR(VLOOKUP(S527,TD!$J$33:$K$43,2,0)," ")</f>
        <v>Servicio de mantenimiento, dotación (HEA´s y equipo menor) y adquisición de vehiculos   especializados para la atención de emergencias.</v>
      </c>
      <c r="U527" s="54" t="str">
        <f t="shared" si="32"/>
        <v>09-Servicio de mantenimiento, dotación (HEA´s y equipo menor) y adquisición de vehiculos   especializados para la atención de emergencias.</v>
      </c>
      <c r="V527" s="54" t="s">
        <v>233</v>
      </c>
      <c r="W527" s="132" t="str">
        <f>IFERROR(VLOOKUP(V527,TD!$N$33:$O$45,2,0)," ")</f>
        <v>Servicio de atención a emergencias y desastres</v>
      </c>
      <c r="X527" s="54" t="str">
        <f t="shared" si="33"/>
        <v>004_Servicio de atención a emergencias y desastres</v>
      </c>
      <c r="Y527" s="54" t="str">
        <f t="shared" si="34"/>
        <v>09-Servicio de mantenimiento, dotación (HEA´s y equipo menor) y adquisición de vehiculos   especializados para la atención de emergencias. 004_Servicio de atención a emergencias y desastres</v>
      </c>
      <c r="Z527" s="132" t="str">
        <f t="shared" si="35"/>
        <v>O23011745032024025509004</v>
      </c>
      <c r="AA527" s="132" t="str">
        <f>IFERROR(VLOOKUP(Y527,TD!$K$46:$L$64,2,0)," ")</f>
        <v>PM/0131/0109/45030040255</v>
      </c>
      <c r="AB527" s="57" t="s">
        <v>139</v>
      </c>
      <c r="AC527" s="133" t="s">
        <v>206</v>
      </c>
    </row>
    <row r="528" spans="2:29" s="28" customFormat="1" ht="71.25">
      <c r="B528" s="85">
        <v>20241227</v>
      </c>
      <c r="C528" s="53" t="s">
        <v>210</v>
      </c>
      <c r="D528" s="130" t="s">
        <v>169</v>
      </c>
      <c r="E528" s="54" t="s">
        <v>804</v>
      </c>
      <c r="F528" s="130" t="s">
        <v>761</v>
      </c>
      <c r="G528" s="130" t="s">
        <v>156</v>
      </c>
      <c r="H528" s="117">
        <v>80111600</v>
      </c>
      <c r="I528" s="131">
        <v>12</v>
      </c>
      <c r="J528" s="131">
        <v>1</v>
      </c>
      <c r="K528" s="56">
        <v>0</v>
      </c>
      <c r="L528" s="57">
        <v>8000000</v>
      </c>
      <c r="M528" s="130" t="s">
        <v>173</v>
      </c>
      <c r="N528" s="57" t="s">
        <v>114</v>
      </c>
      <c r="O528" s="54" t="s">
        <v>225</v>
      </c>
      <c r="P528" s="132" t="str">
        <f>IFERROR(VLOOKUP(C528,TD!$B$32:$F$36,2,0)," ")</f>
        <v>O230117</v>
      </c>
      <c r="Q528" s="132" t="str">
        <f>IFERROR(VLOOKUP(C528,TD!$B$32:$F$36,3,0)," ")</f>
        <v>4503</v>
      </c>
      <c r="R528" s="132">
        <f>IFERROR(VLOOKUP(C528,TD!$B$32:$F$36,4,0)," ")</f>
        <v>20240255</v>
      </c>
      <c r="S528" s="54" t="s">
        <v>188</v>
      </c>
      <c r="T528" s="132" t="str">
        <f>IFERROR(VLOOKUP(S528,TD!$J$33:$K$43,2,0)," ")</f>
        <v>Servicio de mantenimiento, dotación (HEA´s y equipo menor) y adquisición de vehiculos   especializados para la atención de emergencias.</v>
      </c>
      <c r="U528" s="54" t="str">
        <f t="shared" si="32"/>
        <v>09-Servicio de mantenimiento, dotación (HEA´s y equipo menor) y adquisición de vehiculos   especializados para la atención de emergencias.</v>
      </c>
      <c r="V528" s="54" t="s">
        <v>233</v>
      </c>
      <c r="W528" s="132" t="str">
        <f>IFERROR(VLOOKUP(V528,TD!$N$33:$O$45,2,0)," ")</f>
        <v>Servicio de atención a emergencias y desastres</v>
      </c>
      <c r="X528" s="54" t="str">
        <f t="shared" si="33"/>
        <v>004_Servicio de atención a emergencias y desastres</v>
      </c>
      <c r="Y528" s="54" t="str">
        <f t="shared" si="34"/>
        <v>09-Servicio de mantenimiento, dotación (HEA´s y equipo menor) y adquisición de vehiculos   especializados para la atención de emergencias. 004_Servicio de atención a emergencias y desastres</v>
      </c>
      <c r="Z528" s="132" t="str">
        <f t="shared" si="35"/>
        <v>O23011745032024025509004</v>
      </c>
      <c r="AA528" s="132" t="str">
        <f>IFERROR(VLOOKUP(Y528,TD!$K$46:$L$64,2,0)," ")</f>
        <v>PM/0131/0109/45030040255</v>
      </c>
      <c r="AB528" s="57" t="s">
        <v>139</v>
      </c>
      <c r="AC528" s="133" t="s">
        <v>206</v>
      </c>
    </row>
    <row r="529" spans="2:29" s="28" customFormat="1" ht="71.25">
      <c r="B529" s="85">
        <v>20241228</v>
      </c>
      <c r="C529" s="53" t="s">
        <v>210</v>
      </c>
      <c r="D529" s="130" t="s">
        <v>169</v>
      </c>
      <c r="E529" s="54" t="s">
        <v>804</v>
      </c>
      <c r="F529" s="130" t="s">
        <v>805</v>
      </c>
      <c r="G529" s="130" t="s">
        <v>156</v>
      </c>
      <c r="H529" s="117">
        <v>80111600</v>
      </c>
      <c r="I529" s="131">
        <v>12</v>
      </c>
      <c r="J529" s="131">
        <v>1</v>
      </c>
      <c r="K529" s="56">
        <v>0</v>
      </c>
      <c r="L529" s="57">
        <v>7430000</v>
      </c>
      <c r="M529" s="130" t="s">
        <v>173</v>
      </c>
      <c r="N529" s="57" t="s">
        <v>114</v>
      </c>
      <c r="O529" s="54" t="s">
        <v>225</v>
      </c>
      <c r="P529" s="132" t="str">
        <f>IFERROR(VLOOKUP(C529,TD!$B$32:$F$36,2,0)," ")</f>
        <v>O230117</v>
      </c>
      <c r="Q529" s="132" t="str">
        <f>IFERROR(VLOOKUP(C529,TD!$B$32:$F$36,3,0)," ")</f>
        <v>4503</v>
      </c>
      <c r="R529" s="132">
        <f>IFERROR(VLOOKUP(C529,TD!$B$32:$F$36,4,0)," ")</f>
        <v>20240255</v>
      </c>
      <c r="S529" s="54" t="s">
        <v>188</v>
      </c>
      <c r="T529" s="132" t="str">
        <f>IFERROR(VLOOKUP(S529,TD!$J$33:$K$43,2,0)," ")</f>
        <v>Servicio de mantenimiento, dotación (HEA´s y equipo menor) y adquisición de vehiculos   especializados para la atención de emergencias.</v>
      </c>
      <c r="U529" s="54" t="str">
        <f t="shared" si="32"/>
        <v>09-Servicio de mantenimiento, dotación (HEA´s y equipo menor) y adquisición de vehiculos   especializados para la atención de emergencias.</v>
      </c>
      <c r="V529" s="54" t="s">
        <v>233</v>
      </c>
      <c r="W529" s="132" t="str">
        <f>IFERROR(VLOOKUP(V529,TD!$N$33:$O$45,2,0)," ")</f>
        <v>Servicio de atención a emergencias y desastres</v>
      </c>
      <c r="X529" s="54" t="str">
        <f t="shared" si="33"/>
        <v>004_Servicio de atención a emergencias y desastres</v>
      </c>
      <c r="Y529" s="54" t="str">
        <f t="shared" si="34"/>
        <v>09-Servicio de mantenimiento, dotación (HEA´s y equipo menor) y adquisición de vehiculos   especializados para la atención de emergencias. 004_Servicio de atención a emergencias y desastres</v>
      </c>
      <c r="Z529" s="132" t="str">
        <f t="shared" si="35"/>
        <v>O23011745032024025509004</v>
      </c>
      <c r="AA529" s="132" t="str">
        <f>IFERROR(VLOOKUP(Y529,TD!$K$46:$L$64,2,0)," ")</f>
        <v>PM/0131/0109/45030040255</v>
      </c>
      <c r="AB529" s="57" t="s">
        <v>139</v>
      </c>
      <c r="AC529" s="133" t="s">
        <v>206</v>
      </c>
    </row>
    <row r="530" spans="2:29" s="28" customFormat="1" ht="57">
      <c r="B530" s="85">
        <v>20241230</v>
      </c>
      <c r="C530" s="53" t="s">
        <v>210</v>
      </c>
      <c r="D530" s="130" t="s">
        <v>169</v>
      </c>
      <c r="E530" s="54" t="s">
        <v>804</v>
      </c>
      <c r="F530" s="130" t="s">
        <v>763</v>
      </c>
      <c r="G530" s="130" t="s">
        <v>156</v>
      </c>
      <c r="H530" s="117">
        <v>80111600</v>
      </c>
      <c r="I530" s="131">
        <v>9</v>
      </c>
      <c r="J530" s="131">
        <v>5</v>
      </c>
      <c r="K530" s="56">
        <v>0</v>
      </c>
      <c r="L530" s="57">
        <v>27500000</v>
      </c>
      <c r="M530" s="130" t="s">
        <v>173</v>
      </c>
      <c r="N530" s="57" t="s">
        <v>114</v>
      </c>
      <c r="O530" s="54" t="s">
        <v>225</v>
      </c>
      <c r="P530" s="132" t="str">
        <f>IFERROR(VLOOKUP(C530,TD!$B$32:$F$36,2,0)," ")</f>
        <v>O230117</v>
      </c>
      <c r="Q530" s="132" t="str">
        <f>IFERROR(VLOOKUP(C530,TD!$B$32:$F$36,3,0)," ")</f>
        <v>4503</v>
      </c>
      <c r="R530" s="132">
        <f>IFERROR(VLOOKUP(C530,TD!$B$32:$F$36,4,0)," ")</f>
        <v>20240255</v>
      </c>
      <c r="S530" s="54" t="s">
        <v>192</v>
      </c>
      <c r="T530" s="132" t="str">
        <f>IFERROR(VLOOKUP(S530,TD!$J$33:$K$43,2,0)," ")</f>
        <v>Servicio de apoyo   logístico  en eventos operativos y/o emergencias.</v>
      </c>
      <c r="U530" s="54" t="str">
        <f t="shared" si="32"/>
        <v>12-Servicio de apoyo   logístico  en eventos operativos y/o emergencias.</v>
      </c>
      <c r="V530" s="54" t="s">
        <v>233</v>
      </c>
      <c r="W530" s="132" t="str">
        <f>IFERROR(VLOOKUP(V530,TD!$N$33:$O$45,2,0)," ")</f>
        <v>Servicio de atención a emergencias y desastres</v>
      </c>
      <c r="X530" s="54" t="str">
        <f t="shared" si="33"/>
        <v>004_Servicio de atención a emergencias y desastres</v>
      </c>
      <c r="Y530" s="54" t="str">
        <f t="shared" si="34"/>
        <v>12-Servicio de apoyo   logístico  en eventos operativos y/o emergencias. 004_Servicio de atención a emergencias y desastres</v>
      </c>
      <c r="Z530" s="132" t="str">
        <f t="shared" si="35"/>
        <v>O23011745032024025512004</v>
      </c>
      <c r="AA530" s="132" t="str">
        <f>IFERROR(VLOOKUP(Y530,TD!$K$46:$L$64,2,0)," ")</f>
        <v>PM/0131/0112/45030040255</v>
      </c>
      <c r="AB530" s="57" t="s">
        <v>139</v>
      </c>
      <c r="AC530" s="133" t="s">
        <v>205</v>
      </c>
    </row>
    <row r="531" spans="2:29" s="28" customFormat="1" ht="57">
      <c r="B531" s="85">
        <v>20241231</v>
      </c>
      <c r="C531" s="53" t="s">
        <v>210</v>
      </c>
      <c r="D531" s="130" t="s">
        <v>169</v>
      </c>
      <c r="E531" s="54" t="s">
        <v>804</v>
      </c>
      <c r="F531" s="130" t="s">
        <v>840</v>
      </c>
      <c r="G531" s="130" t="s">
        <v>156</v>
      </c>
      <c r="H531" s="117">
        <v>80111600</v>
      </c>
      <c r="I531" s="131">
        <v>10</v>
      </c>
      <c r="J531" s="131">
        <v>4</v>
      </c>
      <c r="K531" s="56">
        <v>0</v>
      </c>
      <c r="L531" s="57">
        <f>40000000-4700000</f>
        <v>35300000</v>
      </c>
      <c r="M531" s="130" t="s">
        <v>173</v>
      </c>
      <c r="N531" s="57" t="s">
        <v>114</v>
      </c>
      <c r="O531" s="54" t="s">
        <v>225</v>
      </c>
      <c r="P531" s="132" t="str">
        <f>IFERROR(VLOOKUP(C531,TD!$B$32:$F$36,2,0)," ")</f>
        <v>O230117</v>
      </c>
      <c r="Q531" s="132" t="str">
        <f>IFERROR(VLOOKUP(C531,TD!$B$32:$F$36,3,0)," ")</f>
        <v>4503</v>
      </c>
      <c r="R531" s="132">
        <f>IFERROR(VLOOKUP(C531,TD!$B$32:$F$36,4,0)," ")</f>
        <v>20240255</v>
      </c>
      <c r="S531" s="54" t="s">
        <v>192</v>
      </c>
      <c r="T531" s="132" t="str">
        <f>IFERROR(VLOOKUP(S531,TD!$J$33:$K$43,2,0)," ")</f>
        <v>Servicio de apoyo   logístico  en eventos operativos y/o emergencias.</v>
      </c>
      <c r="U531" s="54" t="str">
        <f t="shared" si="32"/>
        <v>12-Servicio de apoyo   logístico  en eventos operativos y/o emergencias.</v>
      </c>
      <c r="V531" s="54" t="s">
        <v>233</v>
      </c>
      <c r="W531" s="132" t="str">
        <f>IFERROR(VLOOKUP(V531,TD!$N$33:$O$45,2,0)," ")</f>
        <v>Servicio de atención a emergencias y desastres</v>
      </c>
      <c r="X531" s="54" t="str">
        <f t="shared" si="33"/>
        <v>004_Servicio de atención a emergencias y desastres</v>
      </c>
      <c r="Y531" s="54" t="str">
        <f t="shared" si="34"/>
        <v>12-Servicio de apoyo   logístico  en eventos operativos y/o emergencias. 004_Servicio de atención a emergencias y desastres</v>
      </c>
      <c r="Z531" s="132" t="str">
        <f t="shared" si="35"/>
        <v>O23011745032024025512004</v>
      </c>
      <c r="AA531" s="132" t="str">
        <f>IFERROR(VLOOKUP(Y531,TD!$K$46:$L$64,2,0)," ")</f>
        <v>PM/0131/0112/45030040255</v>
      </c>
      <c r="AB531" s="57" t="s">
        <v>139</v>
      </c>
      <c r="AC531" s="133" t="s">
        <v>205</v>
      </c>
    </row>
    <row r="532" spans="2:29" s="28" customFormat="1" ht="57">
      <c r="B532" s="85">
        <v>20241232</v>
      </c>
      <c r="C532" s="53" t="s">
        <v>210</v>
      </c>
      <c r="D532" s="130" t="s">
        <v>169</v>
      </c>
      <c r="E532" s="54" t="s">
        <v>804</v>
      </c>
      <c r="F532" s="130" t="s">
        <v>766</v>
      </c>
      <c r="G532" s="130" t="s">
        <v>138</v>
      </c>
      <c r="H532" s="55" t="s">
        <v>546</v>
      </c>
      <c r="I532" s="131">
        <v>0</v>
      </c>
      <c r="J532" s="131">
        <v>0</v>
      </c>
      <c r="K532" s="56">
        <v>0</v>
      </c>
      <c r="L532" s="57">
        <v>11556312</v>
      </c>
      <c r="M532" s="130" t="s">
        <v>174</v>
      </c>
      <c r="N532" s="57" t="s">
        <v>129</v>
      </c>
      <c r="O532" s="54" t="s">
        <v>225</v>
      </c>
      <c r="P532" s="132" t="str">
        <f>IFERROR(VLOOKUP(C532,TD!$B$32:$F$36,2,0)," ")</f>
        <v>O230117</v>
      </c>
      <c r="Q532" s="132" t="str">
        <f>IFERROR(VLOOKUP(C532,TD!$B$32:$F$36,3,0)," ")</f>
        <v>4503</v>
      </c>
      <c r="R532" s="132">
        <f>IFERROR(VLOOKUP(C532,TD!$B$32:$F$36,4,0)," ")</f>
        <v>20240255</v>
      </c>
      <c r="S532" s="54" t="s">
        <v>192</v>
      </c>
      <c r="T532" s="132" t="str">
        <f>IFERROR(VLOOKUP(S532,TD!$J$33:$K$43,2,0)," ")</f>
        <v>Servicio de apoyo   logístico  en eventos operativos y/o emergencias.</v>
      </c>
      <c r="U532" s="54" t="str">
        <f t="shared" si="32"/>
        <v>12-Servicio de apoyo   logístico  en eventos operativos y/o emergencias.</v>
      </c>
      <c r="V532" s="54" t="s">
        <v>233</v>
      </c>
      <c r="W532" s="132" t="str">
        <f>IFERROR(VLOOKUP(V532,TD!$N$33:$O$45,2,0)," ")</f>
        <v>Servicio de atención a emergencias y desastres</v>
      </c>
      <c r="X532" s="54" t="str">
        <f t="shared" si="33"/>
        <v>004_Servicio de atención a emergencias y desastres</v>
      </c>
      <c r="Y532" s="54" t="str">
        <f t="shared" si="34"/>
        <v>12-Servicio de apoyo   logístico  en eventos operativos y/o emergencias. 004_Servicio de atención a emergencias y desastres</v>
      </c>
      <c r="Z532" s="132" t="str">
        <f t="shared" si="35"/>
        <v>O23011745032024025512004</v>
      </c>
      <c r="AA532" s="132" t="str">
        <f>IFERROR(VLOOKUP(Y532,TD!$K$46:$L$64,2,0)," ")</f>
        <v>PM/0131/0112/45030040255</v>
      </c>
      <c r="AB532" s="57" t="s">
        <v>148</v>
      </c>
      <c r="AC532" s="133" t="s">
        <v>206</v>
      </c>
    </row>
    <row r="533" spans="2:29" s="28" customFormat="1" ht="57">
      <c r="B533" s="85">
        <v>20241233</v>
      </c>
      <c r="C533" s="53" t="s">
        <v>210</v>
      </c>
      <c r="D533" s="130" t="s">
        <v>169</v>
      </c>
      <c r="E533" s="54" t="s">
        <v>804</v>
      </c>
      <c r="F533" s="130" t="s">
        <v>764</v>
      </c>
      <c r="G533" s="130" t="s">
        <v>156</v>
      </c>
      <c r="H533" s="117">
        <v>80111600</v>
      </c>
      <c r="I533" s="131">
        <v>8</v>
      </c>
      <c r="J533" s="131">
        <v>5</v>
      </c>
      <c r="K533" s="56">
        <v>0</v>
      </c>
      <c r="L533" s="57">
        <v>6500000</v>
      </c>
      <c r="M533" s="130" t="s">
        <v>173</v>
      </c>
      <c r="N533" s="57" t="s">
        <v>114</v>
      </c>
      <c r="O533" s="54" t="s">
        <v>225</v>
      </c>
      <c r="P533" s="132" t="str">
        <f>IFERROR(VLOOKUP(C533,TD!$B$32:$F$36,2,0)," ")</f>
        <v>O230117</v>
      </c>
      <c r="Q533" s="132" t="str">
        <f>IFERROR(VLOOKUP(C533,TD!$B$32:$F$36,3,0)," ")</f>
        <v>4503</v>
      </c>
      <c r="R533" s="132">
        <f>IFERROR(VLOOKUP(C533,TD!$B$32:$F$36,4,0)," ")</f>
        <v>20240255</v>
      </c>
      <c r="S533" s="54" t="s">
        <v>192</v>
      </c>
      <c r="T533" s="132" t="str">
        <f>IFERROR(VLOOKUP(S533,TD!$J$33:$K$43,2,0)," ")</f>
        <v>Servicio de apoyo   logístico  en eventos operativos y/o emergencias.</v>
      </c>
      <c r="U533" s="54" t="str">
        <f t="shared" si="32"/>
        <v>12-Servicio de apoyo   logístico  en eventos operativos y/o emergencias.</v>
      </c>
      <c r="V533" s="54" t="s">
        <v>233</v>
      </c>
      <c r="W533" s="132" t="str">
        <f>IFERROR(VLOOKUP(V533,TD!$N$33:$O$45,2,0)," ")</f>
        <v>Servicio de atención a emergencias y desastres</v>
      </c>
      <c r="X533" s="54" t="str">
        <f t="shared" si="33"/>
        <v>004_Servicio de atención a emergencias y desastres</v>
      </c>
      <c r="Y533" s="54" t="str">
        <f t="shared" si="34"/>
        <v>12-Servicio de apoyo   logístico  en eventos operativos y/o emergencias. 004_Servicio de atención a emergencias y desastres</v>
      </c>
      <c r="Z533" s="132" t="str">
        <f t="shared" si="35"/>
        <v>O23011745032024025512004</v>
      </c>
      <c r="AA533" s="132" t="str">
        <f>IFERROR(VLOOKUP(Y533,TD!$K$46:$L$64,2,0)," ")</f>
        <v>PM/0131/0112/45030040255</v>
      </c>
      <c r="AB533" s="57" t="s">
        <v>139</v>
      </c>
      <c r="AC533" s="133" t="s">
        <v>206</v>
      </c>
    </row>
    <row r="534" spans="2:29" s="28" customFormat="1" ht="57">
      <c r="B534" s="85">
        <v>20241234</v>
      </c>
      <c r="C534" s="53" t="s">
        <v>210</v>
      </c>
      <c r="D534" s="130" t="s">
        <v>169</v>
      </c>
      <c r="E534" s="54" t="s">
        <v>804</v>
      </c>
      <c r="F534" s="130" t="s">
        <v>765</v>
      </c>
      <c r="G534" s="130" t="s">
        <v>156</v>
      </c>
      <c r="H534" s="117">
        <v>80111600</v>
      </c>
      <c r="I534" s="131">
        <v>12</v>
      </c>
      <c r="J534" s="131">
        <v>0</v>
      </c>
      <c r="K534" s="56">
        <v>14</v>
      </c>
      <c r="L534" s="57">
        <v>1587920</v>
      </c>
      <c r="M534" s="130" t="s">
        <v>173</v>
      </c>
      <c r="N534" s="57" t="s">
        <v>114</v>
      </c>
      <c r="O534" s="54" t="s">
        <v>225</v>
      </c>
      <c r="P534" s="132" t="str">
        <f>IFERROR(VLOOKUP(C534,TD!$B$32:$F$36,2,0)," ")</f>
        <v>O230117</v>
      </c>
      <c r="Q534" s="132" t="str">
        <f>IFERROR(VLOOKUP(C534,TD!$B$32:$F$36,3,0)," ")</f>
        <v>4503</v>
      </c>
      <c r="R534" s="132">
        <f>IFERROR(VLOOKUP(C534,TD!$B$32:$F$36,4,0)," ")</f>
        <v>20240255</v>
      </c>
      <c r="S534" s="54" t="s">
        <v>192</v>
      </c>
      <c r="T534" s="132" t="str">
        <f>IFERROR(VLOOKUP(S534,TD!$J$33:$K$43,2,0)," ")</f>
        <v>Servicio de apoyo   logístico  en eventos operativos y/o emergencias.</v>
      </c>
      <c r="U534" s="54" t="str">
        <f t="shared" si="32"/>
        <v>12-Servicio de apoyo   logístico  en eventos operativos y/o emergencias.</v>
      </c>
      <c r="V534" s="54" t="s">
        <v>233</v>
      </c>
      <c r="W534" s="132" t="str">
        <f>IFERROR(VLOOKUP(V534,TD!$N$33:$O$45,2,0)," ")</f>
        <v>Servicio de atención a emergencias y desastres</v>
      </c>
      <c r="X534" s="54" t="str">
        <f t="shared" si="33"/>
        <v>004_Servicio de atención a emergencias y desastres</v>
      </c>
      <c r="Y534" s="54" t="str">
        <f t="shared" si="34"/>
        <v>12-Servicio de apoyo   logístico  en eventos operativos y/o emergencias. 004_Servicio de atención a emergencias y desastres</v>
      </c>
      <c r="Z534" s="132" t="str">
        <f t="shared" si="35"/>
        <v>O23011745032024025512004</v>
      </c>
      <c r="AA534" s="132" t="str">
        <f>IFERROR(VLOOKUP(Y534,TD!$K$46:$L$64,2,0)," ")</f>
        <v>PM/0131/0112/45030040255</v>
      </c>
      <c r="AB534" s="57" t="s">
        <v>139</v>
      </c>
      <c r="AC534" s="133" t="s">
        <v>206</v>
      </c>
    </row>
    <row r="535" spans="2:29" s="28" customFormat="1" ht="71.25">
      <c r="B535" s="85">
        <v>20241235</v>
      </c>
      <c r="C535" s="53" t="s">
        <v>210</v>
      </c>
      <c r="D535" s="130" t="s">
        <v>169</v>
      </c>
      <c r="E535" s="54" t="s">
        <v>804</v>
      </c>
      <c r="F535" s="130" t="s">
        <v>768</v>
      </c>
      <c r="G535" s="130" t="s">
        <v>158</v>
      </c>
      <c r="H535" s="117" t="s">
        <v>698</v>
      </c>
      <c r="I535" s="131">
        <v>9</v>
      </c>
      <c r="J535" s="131">
        <v>4</v>
      </c>
      <c r="K535" s="56">
        <v>0</v>
      </c>
      <c r="L535" s="57">
        <v>55000000</v>
      </c>
      <c r="M535" s="130" t="s">
        <v>173</v>
      </c>
      <c r="N535" s="57" t="s">
        <v>114</v>
      </c>
      <c r="O535" s="54" t="s">
        <v>225</v>
      </c>
      <c r="P535" s="132" t="str">
        <f>IFERROR(VLOOKUP(C535,TD!$B$32:$F$36,2,0)," ")</f>
        <v>O230117</v>
      </c>
      <c r="Q535" s="132" t="str">
        <f>IFERROR(VLOOKUP(C535,TD!$B$32:$F$36,3,0)," ")</f>
        <v>4503</v>
      </c>
      <c r="R535" s="132">
        <f>IFERROR(VLOOKUP(C535,TD!$B$32:$F$36,4,0)," ")</f>
        <v>20240255</v>
      </c>
      <c r="S535" s="54" t="s">
        <v>188</v>
      </c>
      <c r="T535" s="132" t="str">
        <f>IFERROR(VLOOKUP(S535,TD!$J$33:$K$43,2,0)," ")</f>
        <v>Servicio de mantenimiento, dotación (HEA´s y equipo menor) y adquisición de vehiculos   especializados para la atención de emergencias.</v>
      </c>
      <c r="U535" s="54" t="str">
        <f t="shared" si="32"/>
        <v>09-Servicio de mantenimiento, dotación (HEA´s y equipo menor) y adquisición de vehiculos   especializados para la atención de emergencias.</v>
      </c>
      <c r="V535" s="54" t="s">
        <v>233</v>
      </c>
      <c r="W535" s="132" t="str">
        <f>IFERROR(VLOOKUP(V535,TD!$N$33:$O$45,2,0)," ")</f>
        <v>Servicio de atención a emergencias y desastres</v>
      </c>
      <c r="X535" s="54" t="str">
        <f t="shared" si="33"/>
        <v>004_Servicio de atención a emergencias y desastres</v>
      </c>
      <c r="Y535" s="54" t="str">
        <f t="shared" si="34"/>
        <v>09-Servicio de mantenimiento, dotación (HEA´s y equipo menor) y adquisición de vehiculos   especializados para la atención de emergencias. 004_Servicio de atención a emergencias y desastres</v>
      </c>
      <c r="Z535" s="132" t="str">
        <f t="shared" si="35"/>
        <v>O23011745032024025509004</v>
      </c>
      <c r="AA535" s="132" t="str">
        <f>IFERROR(VLOOKUP(Y535,TD!$K$46:$L$64,2,0)," ")</f>
        <v>PM/0131/0109/45030040255</v>
      </c>
      <c r="AB535" s="57" t="s">
        <v>88</v>
      </c>
      <c r="AC535" s="133" t="s">
        <v>206</v>
      </c>
    </row>
    <row r="536" spans="2:29" s="28" customFormat="1" ht="57">
      <c r="B536" s="85">
        <v>20241236</v>
      </c>
      <c r="C536" s="53" t="s">
        <v>209</v>
      </c>
      <c r="D536" s="130" t="s">
        <v>162</v>
      </c>
      <c r="E536" s="54" t="s">
        <v>364</v>
      </c>
      <c r="F536" s="130" t="s">
        <v>769</v>
      </c>
      <c r="G536" s="130" t="s">
        <v>156</v>
      </c>
      <c r="H536" s="117">
        <v>80111600</v>
      </c>
      <c r="I536" s="131">
        <v>9</v>
      </c>
      <c r="J536" s="131">
        <v>5</v>
      </c>
      <c r="K536" s="56">
        <v>0</v>
      </c>
      <c r="L536" s="57">
        <v>25000000</v>
      </c>
      <c r="M536" s="130" t="s">
        <v>173</v>
      </c>
      <c r="N536" s="57" t="s">
        <v>114</v>
      </c>
      <c r="O536" s="54" t="s">
        <v>221</v>
      </c>
      <c r="P536" s="132" t="str">
        <f>IFERROR(VLOOKUP(C536,TD!$B$32:$F$36,2,0)," ")</f>
        <v>O230117</v>
      </c>
      <c r="Q536" s="132" t="str">
        <f>IFERROR(VLOOKUP(C536,TD!$B$32:$F$36,3,0)," ")</f>
        <v>4599</v>
      </c>
      <c r="R536" s="132">
        <f>IFERROR(VLOOKUP(C536,TD!$B$32:$F$36,4,0)," ")</f>
        <v>20240207</v>
      </c>
      <c r="S536" s="54" t="s">
        <v>194</v>
      </c>
      <c r="T536" s="132" t="str">
        <f>IFERROR(VLOOKUP(S536,TD!$J$33:$K$43,2,0)," ")</f>
        <v>Servicios para la planeación y sistemas de gestión y comunicación estratégica</v>
      </c>
      <c r="U536" s="54" t="str">
        <f t="shared" si="32"/>
        <v>13-Servicios para la planeación y sistemas de gestión y comunicación estratégica</v>
      </c>
      <c r="V536" s="54" t="s">
        <v>243</v>
      </c>
      <c r="W536" s="132" t="str">
        <f>IFERROR(VLOOKUP(V536,TD!$N$33:$O$45,2,0)," ")</f>
        <v>Documentos de planeación</v>
      </c>
      <c r="X536" s="54" t="str">
        <f t="shared" si="33"/>
        <v>019_Documentos de planeación</v>
      </c>
      <c r="Y536" s="54" t="str">
        <f t="shared" si="34"/>
        <v>13-Servicios para la planeación y sistemas de gestión y comunicación estratégica 019_Documentos de planeación</v>
      </c>
      <c r="Z536" s="132" t="str">
        <f t="shared" si="35"/>
        <v>O23011745992024020713019</v>
      </c>
      <c r="AA536" s="132" t="str">
        <f>IFERROR(VLOOKUP(Y536,TD!$K$46:$L$64,2,0)," ")</f>
        <v>PM/0131/0113/45990190207</v>
      </c>
      <c r="AB536" s="57" t="s">
        <v>139</v>
      </c>
      <c r="AC536" s="133" t="s">
        <v>205</v>
      </c>
    </row>
    <row r="537" spans="2:29" s="28" customFormat="1" ht="57">
      <c r="B537" s="85">
        <v>20241237</v>
      </c>
      <c r="C537" s="53" t="s">
        <v>209</v>
      </c>
      <c r="D537" s="130" t="s">
        <v>162</v>
      </c>
      <c r="E537" s="54" t="s">
        <v>364</v>
      </c>
      <c r="F537" s="130" t="s">
        <v>770</v>
      </c>
      <c r="G537" s="130" t="s">
        <v>156</v>
      </c>
      <c r="H537" s="117">
        <v>80111600</v>
      </c>
      <c r="I537" s="131">
        <v>9</v>
      </c>
      <c r="J537" s="131">
        <v>5</v>
      </c>
      <c r="K537" s="56">
        <v>0</v>
      </c>
      <c r="L537" s="57">
        <v>25000000</v>
      </c>
      <c r="M537" s="130" t="s">
        <v>173</v>
      </c>
      <c r="N537" s="57" t="s">
        <v>114</v>
      </c>
      <c r="O537" s="54" t="s">
        <v>221</v>
      </c>
      <c r="P537" s="132" t="str">
        <f>IFERROR(VLOOKUP(C537,TD!$B$32:$F$36,2,0)," ")</f>
        <v>O230117</v>
      </c>
      <c r="Q537" s="132" t="str">
        <f>IFERROR(VLOOKUP(C537,TD!$B$32:$F$36,3,0)," ")</f>
        <v>4599</v>
      </c>
      <c r="R537" s="132">
        <f>IFERROR(VLOOKUP(C537,TD!$B$32:$F$36,4,0)," ")</f>
        <v>20240207</v>
      </c>
      <c r="S537" s="54" t="s">
        <v>194</v>
      </c>
      <c r="T537" s="132" t="str">
        <f>IFERROR(VLOOKUP(S537,TD!$J$33:$K$43,2,0)," ")</f>
        <v>Servicios para la planeación y sistemas de gestión y comunicación estratégica</v>
      </c>
      <c r="U537" s="54" t="str">
        <f t="shared" si="32"/>
        <v>13-Servicios para la planeación y sistemas de gestión y comunicación estratégica</v>
      </c>
      <c r="V537" s="54" t="s">
        <v>243</v>
      </c>
      <c r="W537" s="132" t="str">
        <f>IFERROR(VLOOKUP(V537,TD!$N$33:$O$45,2,0)," ")</f>
        <v>Documentos de planeación</v>
      </c>
      <c r="X537" s="54" t="str">
        <f t="shared" si="33"/>
        <v>019_Documentos de planeación</v>
      </c>
      <c r="Y537" s="54" t="str">
        <f t="shared" si="34"/>
        <v>13-Servicios para la planeación y sistemas de gestión y comunicación estratégica 019_Documentos de planeación</v>
      </c>
      <c r="Z537" s="132" t="str">
        <f t="shared" si="35"/>
        <v>O23011745992024020713019</v>
      </c>
      <c r="AA537" s="132" t="str">
        <f>IFERROR(VLOOKUP(Y537,TD!$K$46:$L$64,2,0)," ")</f>
        <v>PM/0131/0113/45990190207</v>
      </c>
      <c r="AB537" s="57" t="s">
        <v>139</v>
      </c>
      <c r="AC537" s="133" t="s">
        <v>205</v>
      </c>
    </row>
    <row r="538" spans="2:29" s="28" customFormat="1" ht="57">
      <c r="B538" s="85">
        <v>20241238</v>
      </c>
      <c r="C538" s="53" t="s">
        <v>209</v>
      </c>
      <c r="D538" s="130" t="s">
        <v>162</v>
      </c>
      <c r="E538" s="54" t="s">
        <v>364</v>
      </c>
      <c r="F538" s="130" t="s">
        <v>771</v>
      </c>
      <c r="G538" s="130" t="s">
        <v>156</v>
      </c>
      <c r="H538" s="117">
        <v>80111600</v>
      </c>
      <c r="I538" s="131">
        <v>9</v>
      </c>
      <c r="J538" s="131">
        <v>5</v>
      </c>
      <c r="K538" s="56">
        <v>0</v>
      </c>
      <c r="L538" s="57">
        <v>25000000</v>
      </c>
      <c r="M538" s="130" t="s">
        <v>173</v>
      </c>
      <c r="N538" s="57" t="s">
        <v>114</v>
      </c>
      <c r="O538" s="54" t="s">
        <v>221</v>
      </c>
      <c r="P538" s="132" t="str">
        <f>IFERROR(VLOOKUP(C538,TD!$B$32:$F$36,2,0)," ")</f>
        <v>O230117</v>
      </c>
      <c r="Q538" s="132" t="str">
        <f>IFERROR(VLOOKUP(C538,TD!$B$32:$F$36,3,0)," ")</f>
        <v>4599</v>
      </c>
      <c r="R538" s="132">
        <f>IFERROR(VLOOKUP(C538,TD!$B$32:$F$36,4,0)," ")</f>
        <v>20240207</v>
      </c>
      <c r="S538" s="54" t="s">
        <v>194</v>
      </c>
      <c r="T538" s="132" t="str">
        <f>IFERROR(VLOOKUP(S538,TD!$J$33:$K$43,2,0)," ")</f>
        <v>Servicios para la planeación y sistemas de gestión y comunicación estratégica</v>
      </c>
      <c r="U538" s="54" t="str">
        <f t="shared" si="32"/>
        <v>13-Servicios para la planeación y sistemas de gestión y comunicación estratégica</v>
      </c>
      <c r="V538" s="54" t="s">
        <v>243</v>
      </c>
      <c r="W538" s="132" t="str">
        <f>IFERROR(VLOOKUP(V538,TD!$N$33:$O$45,2,0)," ")</f>
        <v>Documentos de planeación</v>
      </c>
      <c r="X538" s="54" t="str">
        <f t="shared" si="33"/>
        <v>019_Documentos de planeación</v>
      </c>
      <c r="Y538" s="54" t="str">
        <f t="shared" si="34"/>
        <v>13-Servicios para la planeación y sistemas de gestión y comunicación estratégica 019_Documentos de planeación</v>
      </c>
      <c r="Z538" s="132" t="str">
        <f t="shared" si="35"/>
        <v>O23011745992024020713019</v>
      </c>
      <c r="AA538" s="132" t="str">
        <f>IFERROR(VLOOKUP(Y538,TD!$K$46:$L$64,2,0)," ")</f>
        <v>PM/0131/0113/45990190207</v>
      </c>
      <c r="AB538" s="57" t="s">
        <v>139</v>
      </c>
      <c r="AC538" s="133" t="s">
        <v>205</v>
      </c>
    </row>
    <row r="539" spans="2:29" s="28" customFormat="1" ht="57">
      <c r="B539" s="85">
        <v>20241239</v>
      </c>
      <c r="C539" s="53" t="s">
        <v>209</v>
      </c>
      <c r="D539" s="130" t="s">
        <v>162</v>
      </c>
      <c r="E539" s="54" t="s">
        <v>364</v>
      </c>
      <c r="F539" s="130" t="s">
        <v>772</v>
      </c>
      <c r="G539" s="130" t="s">
        <v>145</v>
      </c>
      <c r="H539" s="117">
        <v>80111600</v>
      </c>
      <c r="I539" s="131">
        <v>9</v>
      </c>
      <c r="J539" s="131">
        <v>5</v>
      </c>
      <c r="K539" s="56">
        <v>0</v>
      </c>
      <c r="L539" s="57">
        <v>15835000</v>
      </c>
      <c r="M539" s="130" t="s">
        <v>173</v>
      </c>
      <c r="N539" s="57" t="s">
        <v>114</v>
      </c>
      <c r="O539" s="54" t="s">
        <v>221</v>
      </c>
      <c r="P539" s="132" t="str">
        <f>IFERROR(VLOOKUP(C539,TD!$B$32:$F$36,2,0)," ")</f>
        <v>O230117</v>
      </c>
      <c r="Q539" s="132" t="str">
        <f>IFERROR(VLOOKUP(C539,TD!$B$32:$F$36,3,0)," ")</f>
        <v>4599</v>
      </c>
      <c r="R539" s="132">
        <f>IFERROR(VLOOKUP(C539,TD!$B$32:$F$36,4,0)," ")</f>
        <v>20240207</v>
      </c>
      <c r="S539" s="54" t="s">
        <v>194</v>
      </c>
      <c r="T539" s="132" t="str">
        <f>IFERROR(VLOOKUP(S539,TD!$J$33:$K$43,2,0)," ")</f>
        <v>Servicios para la planeación y sistemas de gestión y comunicación estratégica</v>
      </c>
      <c r="U539" s="54" t="str">
        <f t="shared" si="32"/>
        <v>13-Servicios para la planeación y sistemas de gestión y comunicación estratégica</v>
      </c>
      <c r="V539" s="54" t="s">
        <v>243</v>
      </c>
      <c r="W539" s="132" t="str">
        <f>IFERROR(VLOOKUP(V539,TD!$N$33:$O$45,2,0)," ")</f>
        <v>Documentos de planeación</v>
      </c>
      <c r="X539" s="54" t="str">
        <f t="shared" si="33"/>
        <v>019_Documentos de planeación</v>
      </c>
      <c r="Y539" s="54" t="str">
        <f t="shared" si="34"/>
        <v>13-Servicios para la planeación y sistemas de gestión y comunicación estratégica 019_Documentos de planeación</v>
      </c>
      <c r="Z539" s="132" t="str">
        <f t="shared" si="35"/>
        <v>O23011745992024020713019</v>
      </c>
      <c r="AA539" s="132" t="str">
        <f>IFERROR(VLOOKUP(Y539,TD!$K$46:$L$64,2,0)," ")</f>
        <v>PM/0131/0113/45990190207</v>
      </c>
      <c r="AB539" s="57" t="s">
        <v>139</v>
      </c>
      <c r="AC539" s="133" t="s">
        <v>205</v>
      </c>
    </row>
    <row r="540" spans="2:29" s="28" customFormat="1" ht="57">
      <c r="B540" s="85">
        <v>20241240</v>
      </c>
      <c r="C540" s="53" t="s">
        <v>347</v>
      </c>
      <c r="D540" s="130" t="s">
        <v>167</v>
      </c>
      <c r="E540" s="54" t="s">
        <v>839</v>
      </c>
      <c r="F540" s="130" t="s">
        <v>773</v>
      </c>
      <c r="G540" s="130" t="s">
        <v>97</v>
      </c>
      <c r="H540" s="118" t="s">
        <v>597</v>
      </c>
      <c r="I540" s="131">
        <v>9</v>
      </c>
      <c r="J540" s="131">
        <v>5</v>
      </c>
      <c r="K540" s="56">
        <v>0</v>
      </c>
      <c r="L540" s="57">
        <v>27890100</v>
      </c>
      <c r="M540" s="130" t="s">
        <v>173</v>
      </c>
      <c r="N540" s="57" t="s">
        <v>101</v>
      </c>
      <c r="O540" s="54" t="s">
        <v>348</v>
      </c>
      <c r="P540" s="132" t="str">
        <f>IFERROR(VLOOKUP(C540,TD!$B$32:$F$36,2,0)," ")</f>
        <v>NA</v>
      </c>
      <c r="Q540" s="132" t="str">
        <f>IFERROR(VLOOKUP(C540,TD!$B$32:$F$36,3,0)," ")</f>
        <v>NA</v>
      </c>
      <c r="R540" s="132" t="str">
        <f>IFERROR(VLOOKUP(C540,TD!$B$32:$F$36,4,0)," ")</f>
        <v>NA</v>
      </c>
      <c r="S540" s="54" t="s">
        <v>546</v>
      </c>
      <c r="T540" s="132" t="str">
        <f>IFERROR(VLOOKUP(S540,TD!$J$33:$K$43,2,0)," ")</f>
        <v>N/A</v>
      </c>
      <c r="U540" s="54" t="str">
        <f t="shared" si="32"/>
        <v>N/A-N/A</v>
      </c>
      <c r="V540" s="54" t="s">
        <v>546</v>
      </c>
      <c r="W540" s="132" t="str">
        <f>IFERROR(VLOOKUP(V540,TD!$N$33:$O$45,2,0)," ")</f>
        <v>N/A</v>
      </c>
      <c r="X540" s="54" t="str">
        <f t="shared" si="33"/>
        <v>N/A_N/A</v>
      </c>
      <c r="Y540" s="54" t="str">
        <f t="shared" si="34"/>
        <v>N/A-N/A N/A_N/A</v>
      </c>
      <c r="Z540" s="132" t="str">
        <f t="shared" si="35"/>
        <v>NANANAN/AN/A</v>
      </c>
      <c r="AA540" s="132" t="str">
        <f>IFERROR(VLOOKUP(Y540,TD!$K$46:$L$64,2,0)," ")</f>
        <v>N/A</v>
      </c>
      <c r="AB540" s="57" t="s">
        <v>349</v>
      </c>
      <c r="AC540" s="133" t="s">
        <v>206</v>
      </c>
    </row>
    <row r="541" spans="2:29" s="28" customFormat="1" ht="57">
      <c r="B541" s="85">
        <v>20241241</v>
      </c>
      <c r="C541" s="53" t="s">
        <v>209</v>
      </c>
      <c r="D541" s="130" t="s">
        <v>167</v>
      </c>
      <c r="E541" s="54" t="s">
        <v>839</v>
      </c>
      <c r="F541" s="130" t="s">
        <v>774</v>
      </c>
      <c r="G541" s="130" t="s">
        <v>156</v>
      </c>
      <c r="H541" s="118">
        <v>80111600</v>
      </c>
      <c r="I541" s="131">
        <v>9</v>
      </c>
      <c r="J541" s="131">
        <v>3</v>
      </c>
      <c r="K541" s="56">
        <v>0</v>
      </c>
      <c r="L541" s="57">
        <v>21900000</v>
      </c>
      <c r="M541" s="130" t="s">
        <v>173</v>
      </c>
      <c r="N541" s="57" t="s">
        <v>114</v>
      </c>
      <c r="O541" s="54" t="s">
        <v>220</v>
      </c>
      <c r="P541" s="132" t="str">
        <f>IFERROR(VLOOKUP(C541,TD!$B$32:$F$36,2,0)," ")</f>
        <v>O230117</v>
      </c>
      <c r="Q541" s="132" t="str">
        <f>IFERROR(VLOOKUP(C541,TD!$B$32:$F$36,3,0)," ")</f>
        <v>4599</v>
      </c>
      <c r="R541" s="132">
        <f>IFERROR(VLOOKUP(C541,TD!$B$32:$F$36,4,0)," ")</f>
        <v>20240207</v>
      </c>
      <c r="S541" s="54" t="s">
        <v>186</v>
      </c>
      <c r="T541" s="132" t="str">
        <f>IFERROR(VLOOKUP(S541,TD!$J$33:$K$43,2,0)," ")</f>
        <v>Infraestructura física, mantenimiento y dotación (Sedes construidas, mantenidas reforzadas)</v>
      </c>
      <c r="U541" s="54" t="str">
        <f t="shared" si="32"/>
        <v>08-Infraestructura física, mantenimiento y dotación (Sedes construidas, mantenidas reforzadas)</v>
      </c>
      <c r="V541" s="54" t="s">
        <v>239</v>
      </c>
      <c r="W541" s="132" t="str">
        <f>IFERROR(VLOOKUP(V541,TD!$N$33:$O$45,2,0)," ")</f>
        <v>Sedes mantenidas</v>
      </c>
      <c r="X541" s="54" t="str">
        <f t="shared" si="33"/>
        <v>016_Sedes mantenidas</v>
      </c>
      <c r="Y541" s="54" t="str">
        <f t="shared" si="34"/>
        <v>08-Infraestructura física, mantenimiento y dotación (Sedes construidas, mantenidas reforzadas) 016_Sedes mantenidas</v>
      </c>
      <c r="Z541" s="132" t="str">
        <f t="shared" si="35"/>
        <v>O23011745992024020708016</v>
      </c>
      <c r="AA541" s="132" t="str">
        <f>IFERROR(VLOOKUP(Y541,TD!$K$46:$L$64,2,0)," ")</f>
        <v>PM/0131/0108/45990160207</v>
      </c>
      <c r="AB541" s="57" t="s">
        <v>121</v>
      </c>
      <c r="AC541" s="133" t="s">
        <v>205</v>
      </c>
    </row>
    <row r="542" spans="2:29" s="28" customFormat="1" ht="57">
      <c r="B542" s="85">
        <v>20241242</v>
      </c>
      <c r="C542" s="53" t="s">
        <v>209</v>
      </c>
      <c r="D542" s="130" t="s">
        <v>167</v>
      </c>
      <c r="E542" s="54" t="s">
        <v>839</v>
      </c>
      <c r="F542" s="130" t="s">
        <v>775</v>
      </c>
      <c r="G542" s="130" t="s">
        <v>97</v>
      </c>
      <c r="H542" s="118" t="s">
        <v>777</v>
      </c>
      <c r="I542" s="131">
        <v>9</v>
      </c>
      <c r="J542" s="131">
        <v>4</v>
      </c>
      <c r="K542" s="56">
        <v>0</v>
      </c>
      <c r="L542" s="57">
        <v>9988046</v>
      </c>
      <c r="M542" s="130" t="s">
        <v>173</v>
      </c>
      <c r="N542" s="57" t="s">
        <v>101</v>
      </c>
      <c r="O542" s="54" t="s">
        <v>219</v>
      </c>
      <c r="P542" s="132" t="str">
        <f>IFERROR(VLOOKUP(C542,TD!$B$32:$F$36,2,0)," ")</f>
        <v>O230117</v>
      </c>
      <c r="Q542" s="132" t="str">
        <f>IFERROR(VLOOKUP(C542,TD!$B$32:$F$36,3,0)," ")</f>
        <v>4599</v>
      </c>
      <c r="R542" s="132">
        <f>IFERROR(VLOOKUP(C542,TD!$B$32:$F$36,4,0)," ")</f>
        <v>20240207</v>
      </c>
      <c r="S542" s="54" t="s">
        <v>186</v>
      </c>
      <c r="T542" s="132" t="str">
        <f>IFERROR(VLOOKUP(S542,TD!$J$33:$K$43,2,0)," ")</f>
        <v>Infraestructura física, mantenimiento y dotación (Sedes construidas, mantenidas reforzadas)</v>
      </c>
      <c r="U542" s="54" t="str">
        <f t="shared" si="32"/>
        <v>08-Infraestructura física, mantenimiento y dotación (Sedes construidas, mantenidas reforzadas)</v>
      </c>
      <c r="V542" s="54" t="s">
        <v>239</v>
      </c>
      <c r="W542" s="132" t="str">
        <f>IFERROR(VLOOKUP(V542,TD!$N$33:$O$45,2,0)," ")</f>
        <v>Sedes mantenidas</v>
      </c>
      <c r="X542" s="54" t="str">
        <f t="shared" si="33"/>
        <v>016_Sedes mantenidas</v>
      </c>
      <c r="Y542" s="54" t="str">
        <f t="shared" si="34"/>
        <v>08-Infraestructura física, mantenimiento y dotación (Sedes construidas, mantenidas reforzadas) 016_Sedes mantenidas</v>
      </c>
      <c r="Z542" s="132" t="str">
        <f t="shared" si="35"/>
        <v>O23011745992024020708016</v>
      </c>
      <c r="AA542" s="132" t="str">
        <f>IFERROR(VLOOKUP(Y542,TD!$K$46:$L$64,2,0)," ")</f>
        <v>PM/0131/0108/45990160207</v>
      </c>
      <c r="AB542" s="57" t="s">
        <v>139</v>
      </c>
      <c r="AC542" s="133" t="s">
        <v>205</v>
      </c>
    </row>
    <row r="543" spans="2:29" s="28" customFormat="1" ht="57">
      <c r="B543" s="85">
        <v>20241243</v>
      </c>
      <c r="C543" s="53" t="s">
        <v>209</v>
      </c>
      <c r="D543" s="130" t="s">
        <v>167</v>
      </c>
      <c r="E543" s="54" t="s">
        <v>839</v>
      </c>
      <c r="F543" s="130" t="s">
        <v>566</v>
      </c>
      <c r="G543" s="130" t="s">
        <v>157</v>
      </c>
      <c r="H543" s="118" t="s">
        <v>587</v>
      </c>
      <c r="I543" s="131">
        <v>9</v>
      </c>
      <c r="J543" s="131">
        <v>4</v>
      </c>
      <c r="K543" s="56">
        <v>0</v>
      </c>
      <c r="L543" s="57">
        <v>12669440</v>
      </c>
      <c r="M543" s="130" t="s">
        <v>173</v>
      </c>
      <c r="N543" s="57" t="s">
        <v>114</v>
      </c>
      <c r="O543" s="54" t="s">
        <v>220</v>
      </c>
      <c r="P543" s="132" t="str">
        <f>IFERROR(VLOOKUP(C543,TD!$B$32:$F$36,2,0)," ")</f>
        <v>O230117</v>
      </c>
      <c r="Q543" s="132" t="str">
        <f>IFERROR(VLOOKUP(C543,TD!$B$32:$F$36,3,0)," ")</f>
        <v>4599</v>
      </c>
      <c r="R543" s="132">
        <f>IFERROR(VLOOKUP(C543,TD!$B$32:$F$36,4,0)," ")</f>
        <v>20240207</v>
      </c>
      <c r="S543" s="54" t="s">
        <v>186</v>
      </c>
      <c r="T543" s="132" t="str">
        <f>IFERROR(VLOOKUP(S543,TD!$J$33:$K$43,2,0)," ")</f>
        <v>Infraestructura física, mantenimiento y dotación (Sedes construidas, mantenidas reforzadas)</v>
      </c>
      <c r="U543" s="54" t="str">
        <f t="shared" si="32"/>
        <v>08-Infraestructura física, mantenimiento y dotación (Sedes construidas, mantenidas reforzadas)</v>
      </c>
      <c r="V543" s="54" t="s">
        <v>239</v>
      </c>
      <c r="W543" s="132" t="str">
        <f>IFERROR(VLOOKUP(V544,TD!$N$33:$O$45,2,0)," ")</f>
        <v>Sedes mantenidas</v>
      </c>
      <c r="X543" s="54" t="str">
        <f t="shared" si="33"/>
        <v>016_Sedes mantenidas</v>
      </c>
      <c r="Y543" s="54" t="str">
        <f t="shared" si="34"/>
        <v>08-Infraestructura física, mantenimiento y dotación (Sedes construidas, mantenidas reforzadas) 016_Sedes mantenidas</v>
      </c>
      <c r="Z543" s="132" t="str">
        <f t="shared" si="35"/>
        <v>O23011745992024020708016</v>
      </c>
      <c r="AA543" s="132" t="str">
        <f>IFERROR(VLOOKUP(Y543,TD!$K$46:$L$64,2,0)," ")</f>
        <v>PM/0131/0108/45990160207</v>
      </c>
      <c r="AB543" s="57" t="s">
        <v>139</v>
      </c>
      <c r="AC543" s="133" t="s">
        <v>205</v>
      </c>
    </row>
    <row r="544" spans="2:29" s="28" customFormat="1" ht="57">
      <c r="B544" s="85">
        <v>20241244</v>
      </c>
      <c r="C544" s="53" t="s">
        <v>209</v>
      </c>
      <c r="D544" s="130" t="s">
        <v>167</v>
      </c>
      <c r="E544" s="54" t="s">
        <v>839</v>
      </c>
      <c r="F544" s="130" t="s">
        <v>776</v>
      </c>
      <c r="G544" s="130" t="s">
        <v>157</v>
      </c>
      <c r="H544" s="118" t="s">
        <v>587</v>
      </c>
      <c r="I544" s="131">
        <v>9</v>
      </c>
      <c r="J544" s="131">
        <v>4</v>
      </c>
      <c r="K544" s="56">
        <v>0</v>
      </c>
      <c r="L544" s="57">
        <v>11085760</v>
      </c>
      <c r="M544" s="130" t="s">
        <v>173</v>
      </c>
      <c r="N544" s="57" t="s">
        <v>114</v>
      </c>
      <c r="O544" s="54" t="s">
        <v>220</v>
      </c>
      <c r="P544" s="132" t="str">
        <f>IFERROR(VLOOKUP(C544,TD!$B$32:$F$36,2,0)," ")</f>
        <v>O230117</v>
      </c>
      <c r="Q544" s="132" t="str">
        <f>IFERROR(VLOOKUP(C544,TD!$B$32:$F$36,3,0)," ")</f>
        <v>4599</v>
      </c>
      <c r="R544" s="132">
        <f>IFERROR(VLOOKUP(C544,TD!$B$32:$F$36,4,0)," ")</f>
        <v>20240207</v>
      </c>
      <c r="S544" s="54" t="s">
        <v>186</v>
      </c>
      <c r="T544" s="132" t="str">
        <f>IFERROR(VLOOKUP(S544,TD!$J$33:$K$43,2,0)," ")</f>
        <v>Infraestructura física, mantenimiento y dotación (Sedes construidas, mantenidas reforzadas)</v>
      </c>
      <c r="U544" s="54" t="str">
        <f t="shared" si="32"/>
        <v>08-Infraestructura física, mantenimiento y dotación (Sedes construidas, mantenidas reforzadas)</v>
      </c>
      <c r="V544" s="54" t="s">
        <v>239</v>
      </c>
      <c r="W544" s="132" t="str">
        <f>IFERROR(VLOOKUP(V544,TD!$N$33:$O$45,2,0)," ")</f>
        <v>Sedes mantenidas</v>
      </c>
      <c r="X544" s="54" t="str">
        <f t="shared" si="33"/>
        <v>016_Sedes mantenidas</v>
      </c>
      <c r="Y544" s="54" t="str">
        <f t="shared" si="34"/>
        <v>08-Infraestructura física, mantenimiento y dotación (Sedes construidas, mantenidas reforzadas) 016_Sedes mantenidas</v>
      </c>
      <c r="Z544" s="132" t="str">
        <f t="shared" si="35"/>
        <v>O23011745992024020708016</v>
      </c>
      <c r="AA544" s="132" t="str">
        <f>IFERROR(VLOOKUP(Y544,TD!$K$46:$L$64,2,0)," ")</f>
        <v>PM/0131/0108/45990160207</v>
      </c>
      <c r="AB544" s="57" t="s">
        <v>139</v>
      </c>
      <c r="AC544" s="133" t="s">
        <v>205</v>
      </c>
    </row>
    <row r="545" spans="2:29" s="28" customFormat="1" ht="57">
      <c r="B545" s="85">
        <v>20241246</v>
      </c>
      <c r="C545" s="53" t="s">
        <v>209</v>
      </c>
      <c r="D545" s="130" t="s">
        <v>163</v>
      </c>
      <c r="E545" s="54" t="s">
        <v>364</v>
      </c>
      <c r="F545" s="130" t="s">
        <v>779</v>
      </c>
      <c r="G545" s="130" t="s">
        <v>157</v>
      </c>
      <c r="H545" s="117">
        <v>80111600</v>
      </c>
      <c r="I545" s="131">
        <v>10</v>
      </c>
      <c r="J545" s="131">
        <v>4</v>
      </c>
      <c r="K545" s="56">
        <v>0</v>
      </c>
      <c r="L545" s="57">
        <v>14800000</v>
      </c>
      <c r="M545" s="130" t="s">
        <v>173</v>
      </c>
      <c r="N545" s="57" t="s">
        <v>114</v>
      </c>
      <c r="O545" s="54" t="s">
        <v>216</v>
      </c>
      <c r="P545" s="132" t="str">
        <f>IFERROR(VLOOKUP(C545,TD!$B$32:$F$36,2,0)," ")</f>
        <v>O230117</v>
      </c>
      <c r="Q545" s="132" t="str">
        <f>IFERROR(VLOOKUP(C545,TD!$B$32:$F$36,3,0)," ")</f>
        <v>4599</v>
      </c>
      <c r="R545" s="132">
        <f>IFERROR(VLOOKUP(C545,TD!$B$32:$F$36,4,0)," ")</f>
        <v>20240207</v>
      </c>
      <c r="S545" s="54" t="s">
        <v>180</v>
      </c>
      <c r="T545" s="132" t="str">
        <f>IFERROR(VLOOKUP(S545,TD!$J$33:$K$43,2,0)," ")</f>
        <v>Infraestructura Tecnológica   (Sistemas de Información y Tecnologia)</v>
      </c>
      <c r="U545" s="54" t="str">
        <f t="shared" si="32"/>
        <v>11-Infraestructura Tecnológica   (Sistemas de Información y Tecnologia)</v>
      </c>
      <c r="V545" s="54" t="s">
        <v>240</v>
      </c>
      <c r="W545" s="132" t="str">
        <f>IFERROR(VLOOKUP(V545,TD!$N$33:$O$45,2,0)," ")</f>
        <v>Servicios tecnológicos</v>
      </c>
      <c r="X545" s="54" t="str">
        <f t="shared" si="33"/>
        <v>007_Servicios tecnológicos</v>
      </c>
      <c r="Y545" s="54" t="str">
        <f t="shared" si="34"/>
        <v>11-Infraestructura Tecnológica   (Sistemas de Información y Tecnologia) 007_Servicios tecnológicos</v>
      </c>
      <c r="Z545" s="132" t="str">
        <f t="shared" si="35"/>
        <v>O23011745992024020711007</v>
      </c>
      <c r="AA545" s="132" t="str">
        <f>IFERROR(VLOOKUP(Y545,TD!$K$46:$L$64,2,0)," ")</f>
        <v>PM/0131/0111/45990070207</v>
      </c>
      <c r="AB545" s="57" t="s">
        <v>139</v>
      </c>
      <c r="AC545" s="133" t="s">
        <v>205</v>
      </c>
    </row>
    <row r="546" spans="2:29" s="28" customFormat="1" ht="57">
      <c r="B546" s="85">
        <v>20241247</v>
      </c>
      <c r="C546" s="53" t="s">
        <v>209</v>
      </c>
      <c r="D546" s="130" t="s">
        <v>163</v>
      </c>
      <c r="E546" s="54" t="s">
        <v>364</v>
      </c>
      <c r="F546" s="130" t="s">
        <v>780</v>
      </c>
      <c r="G546" s="130" t="s">
        <v>157</v>
      </c>
      <c r="H546" s="117">
        <v>80111600</v>
      </c>
      <c r="I546" s="131">
        <v>9</v>
      </c>
      <c r="J546" s="131">
        <v>4</v>
      </c>
      <c r="K546" s="56">
        <v>0</v>
      </c>
      <c r="L546" s="57">
        <v>14000000</v>
      </c>
      <c r="M546" s="130" t="s">
        <v>173</v>
      </c>
      <c r="N546" s="57" t="s">
        <v>114</v>
      </c>
      <c r="O546" s="54" t="s">
        <v>216</v>
      </c>
      <c r="P546" s="132" t="str">
        <f>IFERROR(VLOOKUP(C546,TD!$B$32:$F$36,2,0)," ")</f>
        <v>O230117</v>
      </c>
      <c r="Q546" s="132" t="str">
        <f>IFERROR(VLOOKUP(C546,TD!$B$32:$F$36,3,0)," ")</f>
        <v>4599</v>
      </c>
      <c r="R546" s="132">
        <f>IFERROR(VLOOKUP(C546,TD!$B$32:$F$36,4,0)," ")</f>
        <v>20240207</v>
      </c>
      <c r="S546" s="54" t="s">
        <v>180</v>
      </c>
      <c r="T546" s="132" t="str">
        <f>IFERROR(VLOOKUP(S546,TD!$J$33:$K$43,2,0)," ")</f>
        <v>Infraestructura Tecnológica   (Sistemas de Información y Tecnologia)</v>
      </c>
      <c r="U546" s="54" t="str">
        <f t="shared" si="32"/>
        <v>11-Infraestructura Tecnológica   (Sistemas de Información y Tecnologia)</v>
      </c>
      <c r="V546" s="54" t="s">
        <v>240</v>
      </c>
      <c r="W546" s="132" t="str">
        <f>IFERROR(VLOOKUP(V546,TD!$N$33:$O$45,2,0)," ")</f>
        <v>Servicios tecnológicos</v>
      </c>
      <c r="X546" s="54" t="str">
        <f t="shared" si="33"/>
        <v>007_Servicios tecnológicos</v>
      </c>
      <c r="Y546" s="54" t="str">
        <f t="shared" si="34"/>
        <v>11-Infraestructura Tecnológica   (Sistemas de Información y Tecnologia) 007_Servicios tecnológicos</v>
      </c>
      <c r="Z546" s="132" t="str">
        <f t="shared" si="35"/>
        <v>O23011745992024020711007</v>
      </c>
      <c r="AA546" s="132" t="str">
        <f>IFERROR(VLOOKUP(Y546,TD!$K$46:$L$64,2,0)," ")</f>
        <v>PM/0131/0111/45990070207</v>
      </c>
      <c r="AB546" s="57" t="s">
        <v>139</v>
      </c>
      <c r="AC546" s="133" t="s">
        <v>205</v>
      </c>
    </row>
    <row r="547" spans="2:29" s="28" customFormat="1" ht="57">
      <c r="B547" s="85">
        <v>20241250</v>
      </c>
      <c r="C547" s="53" t="s">
        <v>209</v>
      </c>
      <c r="D547" s="130" t="s">
        <v>163</v>
      </c>
      <c r="E547" s="54" t="s">
        <v>364</v>
      </c>
      <c r="F547" s="130" t="s">
        <v>785</v>
      </c>
      <c r="G547" s="130" t="s">
        <v>156</v>
      </c>
      <c r="H547" s="117">
        <v>80111600</v>
      </c>
      <c r="I547" s="131">
        <v>10</v>
      </c>
      <c r="J547" s="131">
        <v>1</v>
      </c>
      <c r="K547" s="56">
        <v>0</v>
      </c>
      <c r="L547" s="57">
        <v>1546666</v>
      </c>
      <c r="M547" s="130" t="s">
        <v>174</v>
      </c>
      <c r="N547" s="57" t="s">
        <v>114</v>
      </c>
      <c r="O547" s="54" t="s">
        <v>216</v>
      </c>
      <c r="P547" s="132" t="str">
        <f>IFERROR(VLOOKUP(C547,TD!$B$32:$F$36,2,0)," ")</f>
        <v>O230117</v>
      </c>
      <c r="Q547" s="132" t="str">
        <f>IFERROR(VLOOKUP(C547,TD!$B$32:$F$36,3,0)," ")</f>
        <v>4599</v>
      </c>
      <c r="R547" s="132">
        <f>IFERROR(VLOOKUP(C547,TD!$B$32:$F$36,4,0)," ")</f>
        <v>20240207</v>
      </c>
      <c r="S547" s="54" t="s">
        <v>180</v>
      </c>
      <c r="T547" s="132" t="str">
        <f>IFERROR(VLOOKUP(S547,TD!$J$33:$K$43,2,0)," ")</f>
        <v>Infraestructura Tecnológica   (Sistemas de Información y Tecnologia)</v>
      </c>
      <c r="U547" s="54" t="str">
        <f t="shared" si="32"/>
        <v>11-Infraestructura Tecnológica   (Sistemas de Información y Tecnologia)</v>
      </c>
      <c r="V547" s="54" t="s">
        <v>240</v>
      </c>
      <c r="W547" s="132" t="str">
        <f>IFERROR(VLOOKUP(V547,TD!$N$33:$O$45,2,0)," ")</f>
        <v>Servicios tecnológicos</v>
      </c>
      <c r="X547" s="54" t="str">
        <f t="shared" si="33"/>
        <v>007_Servicios tecnológicos</v>
      </c>
      <c r="Y547" s="54" t="str">
        <f t="shared" si="34"/>
        <v>11-Infraestructura Tecnológica   (Sistemas de Información y Tecnologia) 007_Servicios tecnológicos</v>
      </c>
      <c r="Z547" s="132" t="str">
        <f t="shared" si="35"/>
        <v>O23011745992024020711007</v>
      </c>
      <c r="AA547" s="132" t="str">
        <f>IFERROR(VLOOKUP(Y547,TD!$K$46:$L$64,2,0)," ")</f>
        <v>PM/0131/0111/45990070207</v>
      </c>
      <c r="AB547" s="57" t="s">
        <v>139</v>
      </c>
      <c r="AC547" s="133" t="s">
        <v>206</v>
      </c>
    </row>
    <row r="548" spans="2:29" s="28" customFormat="1" ht="57">
      <c r="B548" s="85">
        <v>20241251</v>
      </c>
      <c r="C548" s="53" t="s">
        <v>209</v>
      </c>
      <c r="D548" s="130" t="s">
        <v>163</v>
      </c>
      <c r="E548" s="54" t="s">
        <v>364</v>
      </c>
      <c r="F548" s="130" t="s">
        <v>784</v>
      </c>
      <c r="G548" s="130" t="s">
        <v>156</v>
      </c>
      <c r="H548" s="117">
        <v>80111600</v>
      </c>
      <c r="I548" s="131">
        <v>10</v>
      </c>
      <c r="J548" s="131">
        <v>1</v>
      </c>
      <c r="K548" s="56">
        <v>0</v>
      </c>
      <c r="L548" s="57">
        <v>200000</v>
      </c>
      <c r="M548" s="130" t="s">
        <v>174</v>
      </c>
      <c r="N548" s="57" t="s">
        <v>114</v>
      </c>
      <c r="O548" s="54" t="s">
        <v>216</v>
      </c>
      <c r="P548" s="132" t="str">
        <f>IFERROR(VLOOKUP(C548,TD!$B$32:$F$36,2,0)," ")</f>
        <v>O230117</v>
      </c>
      <c r="Q548" s="132" t="str">
        <f>IFERROR(VLOOKUP(C548,TD!$B$32:$F$36,3,0)," ")</f>
        <v>4599</v>
      </c>
      <c r="R548" s="132">
        <f>IFERROR(VLOOKUP(C548,TD!$B$32:$F$36,4,0)," ")</f>
        <v>20240207</v>
      </c>
      <c r="S548" s="54" t="s">
        <v>180</v>
      </c>
      <c r="T548" s="132" t="str">
        <f>IFERROR(VLOOKUP(S548,TD!$J$33:$K$43,2,0)," ")</f>
        <v>Infraestructura Tecnológica   (Sistemas de Información y Tecnologia)</v>
      </c>
      <c r="U548" s="54" t="str">
        <f t="shared" si="32"/>
        <v>11-Infraestructura Tecnológica   (Sistemas de Información y Tecnologia)</v>
      </c>
      <c r="V548" s="54" t="s">
        <v>240</v>
      </c>
      <c r="W548" s="132" t="str">
        <f>IFERROR(VLOOKUP(V548,TD!$N$33:$O$45,2,0)," ")</f>
        <v>Servicios tecnológicos</v>
      </c>
      <c r="X548" s="54" t="str">
        <f t="shared" si="33"/>
        <v>007_Servicios tecnológicos</v>
      </c>
      <c r="Y548" s="54" t="str">
        <f t="shared" si="34"/>
        <v>11-Infraestructura Tecnológica   (Sistemas de Información y Tecnologia) 007_Servicios tecnológicos</v>
      </c>
      <c r="Z548" s="132" t="str">
        <f t="shared" si="35"/>
        <v>O23011745992024020711007</v>
      </c>
      <c r="AA548" s="132" t="str">
        <f>IFERROR(VLOOKUP(Y548,TD!$K$46:$L$64,2,0)," ")</f>
        <v>PM/0131/0111/45990070207</v>
      </c>
      <c r="AB548" s="57" t="s">
        <v>139</v>
      </c>
      <c r="AC548" s="133" t="s">
        <v>206</v>
      </c>
    </row>
    <row r="549" spans="2:29" s="28" customFormat="1" ht="57">
      <c r="B549" s="85">
        <v>20241253</v>
      </c>
      <c r="C549" s="53" t="s">
        <v>209</v>
      </c>
      <c r="D549" s="130" t="s">
        <v>165</v>
      </c>
      <c r="E549" s="54" t="s">
        <v>517</v>
      </c>
      <c r="F549" s="130" t="s">
        <v>787</v>
      </c>
      <c r="G549" s="130" t="s">
        <v>156</v>
      </c>
      <c r="H549" s="117">
        <v>80111600</v>
      </c>
      <c r="I549" s="131">
        <v>9</v>
      </c>
      <c r="J549" s="131">
        <v>5</v>
      </c>
      <c r="K549" s="56">
        <v>0</v>
      </c>
      <c r="L549" s="57">
        <f>38250000+3583715-30358715</f>
        <v>11475000</v>
      </c>
      <c r="M549" s="130" t="s">
        <v>173</v>
      </c>
      <c r="N549" s="57" t="s">
        <v>114</v>
      </c>
      <c r="O549" s="54" t="s">
        <v>220</v>
      </c>
      <c r="P549" s="132" t="str">
        <f>IFERROR(VLOOKUP(C549,TD!$B$32:$F$36,2,0)," ")</f>
        <v>O230117</v>
      </c>
      <c r="Q549" s="132" t="str">
        <f>IFERROR(VLOOKUP(C549,TD!$B$32:$F$36,3,0)," ")</f>
        <v>4599</v>
      </c>
      <c r="R549" s="132">
        <f>IFERROR(VLOOKUP(C549,TD!$B$32:$F$36,4,0)," ")</f>
        <v>20240207</v>
      </c>
      <c r="S549" s="54" t="s">
        <v>186</v>
      </c>
      <c r="T549" s="132" t="str">
        <f>IFERROR(VLOOKUP(S549,TD!$J$33:$K$43,2,0)," ")</f>
        <v>Infraestructura física, mantenimiento y dotación (Sedes construidas, mantenidas reforzadas)</v>
      </c>
      <c r="U549" s="54" t="str">
        <f t="shared" si="32"/>
        <v>08-Infraestructura física, mantenimiento y dotación (Sedes construidas, mantenidas reforzadas)</v>
      </c>
      <c r="V549" s="54" t="s">
        <v>239</v>
      </c>
      <c r="W549" s="132" t="str">
        <f>IFERROR(VLOOKUP(V549,TD!$N$33:$O$45,2,0)," ")</f>
        <v>Sedes mantenidas</v>
      </c>
      <c r="X549" s="54" t="str">
        <f t="shared" si="33"/>
        <v>016_Sedes mantenidas</v>
      </c>
      <c r="Y549" s="54" t="str">
        <f t="shared" si="34"/>
        <v>08-Infraestructura física, mantenimiento y dotación (Sedes construidas, mantenidas reforzadas) 016_Sedes mantenidas</v>
      </c>
      <c r="Z549" s="132" t="str">
        <f t="shared" si="35"/>
        <v>O23011745992024020708016</v>
      </c>
      <c r="AA549" s="132" t="str">
        <f>IFERROR(VLOOKUP(Y549,TD!$K$46:$L$64,2,0)," ")</f>
        <v>PM/0131/0108/45990160207</v>
      </c>
      <c r="AB549" s="57" t="s">
        <v>139</v>
      </c>
      <c r="AC549" s="54" t="s">
        <v>205</v>
      </c>
    </row>
    <row r="550" spans="2:29" s="28" customFormat="1" ht="57">
      <c r="B550" s="85">
        <v>20241254</v>
      </c>
      <c r="C550" s="53" t="s">
        <v>209</v>
      </c>
      <c r="D550" s="130" t="s">
        <v>165</v>
      </c>
      <c r="E550" s="54" t="s">
        <v>517</v>
      </c>
      <c r="F550" s="130" t="s">
        <v>788</v>
      </c>
      <c r="G550" s="130" t="s">
        <v>156</v>
      </c>
      <c r="H550" s="117">
        <v>80111600</v>
      </c>
      <c r="I550" s="131">
        <v>9</v>
      </c>
      <c r="J550" s="131">
        <v>2</v>
      </c>
      <c r="K550" s="56">
        <v>0</v>
      </c>
      <c r="L550" s="57">
        <v>21420000</v>
      </c>
      <c r="M550" s="130" t="s">
        <v>173</v>
      </c>
      <c r="N550" s="57" t="s">
        <v>114</v>
      </c>
      <c r="O550" s="54" t="s">
        <v>220</v>
      </c>
      <c r="P550" s="132" t="str">
        <f>IFERROR(VLOOKUP(C550,TD!$B$32:$F$36,2,0)," ")</f>
        <v>O230117</v>
      </c>
      <c r="Q550" s="132" t="str">
        <f>IFERROR(VLOOKUP(C550,TD!$B$32:$F$36,3,0)," ")</f>
        <v>4599</v>
      </c>
      <c r="R550" s="132">
        <f>IFERROR(VLOOKUP(C550,TD!$B$32:$F$36,4,0)," ")</f>
        <v>20240207</v>
      </c>
      <c r="S550" s="54" t="s">
        <v>186</v>
      </c>
      <c r="T550" s="132" t="str">
        <f>IFERROR(VLOOKUP(S550,TD!$J$33:$K$43,2,0)," ")</f>
        <v>Infraestructura física, mantenimiento y dotación (Sedes construidas, mantenidas reforzadas)</v>
      </c>
      <c r="U550" s="54" t="str">
        <f t="shared" si="32"/>
        <v>08-Infraestructura física, mantenimiento y dotación (Sedes construidas, mantenidas reforzadas)</v>
      </c>
      <c r="V550" s="54" t="s">
        <v>239</v>
      </c>
      <c r="W550" s="132" t="str">
        <f>IFERROR(VLOOKUP(V550,TD!$N$33:$O$45,2,0)," ")</f>
        <v>Sedes mantenidas</v>
      </c>
      <c r="X550" s="54" t="str">
        <f t="shared" si="33"/>
        <v>016_Sedes mantenidas</v>
      </c>
      <c r="Y550" s="54" t="str">
        <f t="shared" si="34"/>
        <v>08-Infraestructura física, mantenimiento y dotación (Sedes construidas, mantenidas reforzadas) 016_Sedes mantenidas</v>
      </c>
      <c r="Z550" s="132" t="str">
        <f t="shared" si="35"/>
        <v>O23011745992024020708016</v>
      </c>
      <c r="AA550" s="132" t="str">
        <f>IFERROR(VLOOKUP(Y550,TD!$K$46:$L$64,2,0)," ")</f>
        <v>PM/0131/0108/45990160207</v>
      </c>
      <c r="AB550" s="57" t="s">
        <v>139</v>
      </c>
      <c r="AC550" s="133" t="s">
        <v>205</v>
      </c>
    </row>
    <row r="551" spans="2:29" s="28" customFormat="1" ht="99.75">
      <c r="B551" s="85">
        <v>20241255</v>
      </c>
      <c r="C551" s="53" t="s">
        <v>209</v>
      </c>
      <c r="D551" s="130" t="s">
        <v>37</v>
      </c>
      <c r="E551" s="54" t="s">
        <v>406</v>
      </c>
      <c r="F551" s="130" t="s">
        <v>789</v>
      </c>
      <c r="G551" s="130" t="s">
        <v>156</v>
      </c>
      <c r="H551" s="117">
        <v>80111600</v>
      </c>
      <c r="I551" s="131">
        <v>9</v>
      </c>
      <c r="J551" s="131">
        <v>4</v>
      </c>
      <c r="K551" s="56">
        <v>0</v>
      </c>
      <c r="L551" s="57">
        <v>26000000</v>
      </c>
      <c r="M551" s="130" t="s">
        <v>173</v>
      </c>
      <c r="N551" s="57" t="s">
        <v>114</v>
      </c>
      <c r="O551" s="54" t="s">
        <v>213</v>
      </c>
      <c r="P551" s="132" t="str">
        <f>IFERROR(VLOOKUP(C551,TD!$B$32:$F$36,2,0)," ")</f>
        <v>O230117</v>
      </c>
      <c r="Q551" s="132" t="str">
        <f>IFERROR(VLOOKUP(C551,TD!$B$32:$F$36,3,0)," ")</f>
        <v>4599</v>
      </c>
      <c r="R551" s="132">
        <f>IFERROR(VLOOKUP(C551,TD!$B$32:$F$36,4,0)," ")</f>
        <v>20240207</v>
      </c>
      <c r="S551" s="54" t="s">
        <v>194</v>
      </c>
      <c r="T551" s="132" t="str">
        <f>IFERROR(VLOOKUP(S551,TD!$J$33:$K$43,2,0)," ")</f>
        <v>Servicios para la planeación y sistemas de gestión y comunicación estratégica</v>
      </c>
      <c r="U551" s="54" t="str">
        <f t="shared" si="32"/>
        <v>13-Servicios para la planeación y sistemas de gestión y comunicación estratégica</v>
      </c>
      <c r="V551" s="54" t="s">
        <v>242</v>
      </c>
      <c r="W551" s="132" t="str">
        <f>IFERROR(VLOOKUP(V551,TD!$N$33:$O$45,2,0)," ")</f>
        <v>Servicio de Implementación Sistemas de Gestión</v>
      </c>
      <c r="X551" s="54" t="str">
        <f t="shared" si="33"/>
        <v>023_Servicio de Implementación Sistemas de Gestión</v>
      </c>
      <c r="Y551" s="54" t="str">
        <f t="shared" si="34"/>
        <v>13-Servicios para la planeación y sistemas de gestión y comunicación estratégica 023_Servicio de Implementación Sistemas de Gestión</v>
      </c>
      <c r="Z551" s="132" t="str">
        <f t="shared" si="35"/>
        <v>O23011745992024020713023</v>
      </c>
      <c r="AA551" s="132" t="str">
        <f>IFERROR(VLOOKUP(Y551,TD!$K$46:$L$64,2,0)," ")</f>
        <v>PM/0131/0113/45990230207</v>
      </c>
      <c r="AB551" s="57" t="s">
        <v>139</v>
      </c>
      <c r="AC551" s="133" t="s">
        <v>205</v>
      </c>
    </row>
    <row r="552" spans="2:29" s="28" customFormat="1" ht="71.25">
      <c r="B552" s="85">
        <v>20241258</v>
      </c>
      <c r="C552" s="53" t="s">
        <v>210</v>
      </c>
      <c r="D552" s="130" t="s">
        <v>170</v>
      </c>
      <c r="E552" s="54" t="s">
        <v>456</v>
      </c>
      <c r="F552" s="130" t="s">
        <v>793</v>
      </c>
      <c r="G552" s="130" t="s">
        <v>156</v>
      </c>
      <c r="H552" s="117">
        <v>80111600</v>
      </c>
      <c r="I552" s="131">
        <v>9</v>
      </c>
      <c r="J552" s="131">
        <v>5</v>
      </c>
      <c r="K552" s="56">
        <v>0</v>
      </c>
      <c r="L552" s="57">
        <v>35000000</v>
      </c>
      <c r="M552" s="130" t="s">
        <v>173</v>
      </c>
      <c r="N552" s="57" t="s">
        <v>114</v>
      </c>
      <c r="O552" s="54" t="s">
        <v>223</v>
      </c>
      <c r="P552" s="132" t="str">
        <f>IFERROR(VLOOKUP(C552,TD!$B$32:$F$36,2,0)," ")</f>
        <v>O230117</v>
      </c>
      <c r="Q552" s="132" t="str">
        <f>IFERROR(VLOOKUP(C552,TD!$B$32:$F$36,3,0)," ")</f>
        <v>4503</v>
      </c>
      <c r="R552" s="132">
        <f>IFERROR(VLOOKUP(C552,TD!$B$32:$F$36,4,0)," ")</f>
        <v>20240255</v>
      </c>
      <c r="S552" s="54" t="s">
        <v>176</v>
      </c>
      <c r="T552" s="132" t="str">
        <f>IFERROR(VLOOKUP(S552,TD!$J$33:$K$43,2,0)," ")</f>
        <v>Servicio de atención a incidentes y emergencias.</v>
      </c>
      <c r="U552" s="54" t="str">
        <f t="shared" si="32"/>
        <v>04-Servicio de atención a incidentes y emergencias.</v>
      </c>
      <c r="V552" s="54" t="s">
        <v>233</v>
      </c>
      <c r="W552" s="132" t="str">
        <f>IFERROR(VLOOKUP(V552,TD!$N$33:$O$45,2,0)," ")</f>
        <v>Servicio de atención a emergencias y desastres</v>
      </c>
      <c r="X552" s="54" t="str">
        <f t="shared" si="33"/>
        <v>004_Servicio de atención a emergencias y desastres</v>
      </c>
      <c r="Y552" s="54" t="str">
        <f t="shared" si="34"/>
        <v>04-Servicio de atención a incidentes y emergencias. 004_Servicio de atención a emergencias y desastres</v>
      </c>
      <c r="Z552" s="132" t="str">
        <f t="shared" si="35"/>
        <v>O23011745032024025504004</v>
      </c>
      <c r="AA552" s="132" t="str">
        <f>IFERROR(VLOOKUP(Y552,TD!$K$46:$L$64,2,0)," ")</f>
        <v>PM/0131/0104/45030040255</v>
      </c>
      <c r="AB552" s="57" t="s">
        <v>139</v>
      </c>
      <c r="AC552" s="133" t="s">
        <v>205</v>
      </c>
    </row>
    <row r="553" spans="2:29" s="28" customFormat="1" ht="57">
      <c r="B553" s="85">
        <v>20241259</v>
      </c>
      <c r="C553" s="53" t="s">
        <v>210</v>
      </c>
      <c r="D553" s="130" t="s">
        <v>167</v>
      </c>
      <c r="E553" s="54" t="s">
        <v>839</v>
      </c>
      <c r="F553" s="130" t="s">
        <v>794</v>
      </c>
      <c r="G553" s="130" t="s">
        <v>156</v>
      </c>
      <c r="H553" s="117" t="s">
        <v>587</v>
      </c>
      <c r="I553" s="131">
        <v>8</v>
      </c>
      <c r="J553" s="131">
        <v>4</v>
      </c>
      <c r="K553" s="56">
        <v>0</v>
      </c>
      <c r="L553" s="57">
        <v>30000000</v>
      </c>
      <c r="M553" s="130" t="s">
        <v>173</v>
      </c>
      <c r="N553" s="57" t="s">
        <v>114</v>
      </c>
      <c r="O553" s="54" t="s">
        <v>228</v>
      </c>
      <c r="P553" s="132" t="str">
        <f>IFERROR(VLOOKUP(C553,TD!$B$32:$F$36,2,0)," ")</f>
        <v>O230117</v>
      </c>
      <c r="Q553" s="132" t="str">
        <f>IFERROR(VLOOKUP(C553,TD!$B$32:$F$36,3,0)," ")</f>
        <v>4503</v>
      </c>
      <c r="R553" s="132">
        <f>IFERROR(VLOOKUP(C553,TD!$B$32:$F$36,4,0)," ")</f>
        <v>20240255</v>
      </c>
      <c r="S553" s="54" t="s">
        <v>186</v>
      </c>
      <c r="T553" s="132" t="str">
        <f>IFERROR(VLOOKUP(S553,TD!$J$33:$K$43,2,0)," ")</f>
        <v>Infraestructura física, mantenimiento y dotación (Sedes construidas, mantenidas reforzadas)</v>
      </c>
      <c r="U553" s="54" t="str">
        <f t="shared" si="32"/>
        <v>08-Infraestructura física, mantenimiento y dotación (Sedes construidas, mantenidas reforzadas)</v>
      </c>
      <c r="V553" s="54" t="s">
        <v>237</v>
      </c>
      <c r="W553" s="132" t="str">
        <f>IFERROR(VLOOKUP(V553,TD!$N$33:$O$45,2,0)," ")</f>
        <v>Estaciones de bomberos adecuadas</v>
      </c>
      <c r="X553" s="54" t="str">
        <f t="shared" si="33"/>
        <v>014_Estaciones de bomberos adecuadas</v>
      </c>
      <c r="Y553" s="54" t="str">
        <f t="shared" si="34"/>
        <v>08-Infraestructura física, mantenimiento y dotación (Sedes construidas, mantenidas reforzadas) 014_Estaciones de bomberos adecuadas</v>
      </c>
      <c r="Z553" s="132" t="str">
        <f t="shared" si="35"/>
        <v>O23011745032024025508014</v>
      </c>
      <c r="AA553" s="132" t="str">
        <f>IFERROR(VLOOKUP(Y553,TD!$K$46:$L$64,2,0)," ")</f>
        <v>PM/0131/0108/45030140255</v>
      </c>
      <c r="AB553" s="57" t="s">
        <v>139</v>
      </c>
      <c r="AC553" s="133" t="s">
        <v>205</v>
      </c>
    </row>
    <row r="554" spans="2:29" s="28" customFormat="1" ht="57">
      <c r="B554" s="85">
        <v>20241260</v>
      </c>
      <c r="C554" s="53" t="s">
        <v>209</v>
      </c>
      <c r="D554" s="130" t="s">
        <v>162</v>
      </c>
      <c r="E554" s="54" t="s">
        <v>364</v>
      </c>
      <c r="F554" s="130" t="s">
        <v>795</v>
      </c>
      <c r="G554" s="130" t="s">
        <v>156</v>
      </c>
      <c r="H554" s="117">
        <v>80111600</v>
      </c>
      <c r="I554" s="131">
        <v>9</v>
      </c>
      <c r="J554" s="131">
        <v>5</v>
      </c>
      <c r="K554" s="56">
        <v>0</v>
      </c>
      <c r="L554" s="57">
        <v>37500000</v>
      </c>
      <c r="M554" s="130" t="s">
        <v>173</v>
      </c>
      <c r="N554" s="57" t="s">
        <v>114</v>
      </c>
      <c r="O554" s="54" t="s">
        <v>221</v>
      </c>
      <c r="P554" s="132" t="str">
        <f>IFERROR(VLOOKUP(C554,TD!$B$32:$F$36,2,0)," ")</f>
        <v>O230117</v>
      </c>
      <c r="Q554" s="132" t="str">
        <f>IFERROR(VLOOKUP(C554,TD!$B$32:$F$36,3,0)," ")</f>
        <v>4599</v>
      </c>
      <c r="R554" s="132">
        <f>IFERROR(VLOOKUP(C554,TD!$B$32:$F$36,4,0)," ")</f>
        <v>20240207</v>
      </c>
      <c r="S554" s="54" t="s">
        <v>194</v>
      </c>
      <c r="T554" s="132" t="str">
        <f>IFERROR(VLOOKUP(S554,TD!$J$33:$K$43,2,0)," ")</f>
        <v>Servicios para la planeación y sistemas de gestión y comunicación estratégica</v>
      </c>
      <c r="U554" s="54" t="str">
        <f t="shared" si="32"/>
        <v>13-Servicios para la planeación y sistemas de gestión y comunicación estratégica</v>
      </c>
      <c r="V554" s="54" t="s">
        <v>243</v>
      </c>
      <c r="W554" s="132" t="str">
        <f>IFERROR(VLOOKUP(V554,TD!$N$33:$O$45,2,0)," ")</f>
        <v>Documentos de planeación</v>
      </c>
      <c r="X554" s="54" t="str">
        <f t="shared" si="33"/>
        <v>019_Documentos de planeación</v>
      </c>
      <c r="Y554" s="54" t="str">
        <f t="shared" si="34"/>
        <v>13-Servicios para la planeación y sistemas de gestión y comunicación estratégica 019_Documentos de planeación</v>
      </c>
      <c r="Z554" s="132" t="str">
        <f t="shared" si="35"/>
        <v>O23011745992024020713019</v>
      </c>
      <c r="AA554" s="132" t="str">
        <f>IFERROR(VLOOKUP(Y554,TD!$K$46:$L$64,2,0)," ")</f>
        <v>PM/0131/0113/45990190207</v>
      </c>
      <c r="AB554" s="57" t="s">
        <v>139</v>
      </c>
      <c r="AC554" s="133" t="s">
        <v>205</v>
      </c>
    </row>
    <row r="555" spans="2:29" s="28" customFormat="1" ht="57">
      <c r="B555" s="85">
        <v>20241261</v>
      </c>
      <c r="C555" s="53" t="s">
        <v>209</v>
      </c>
      <c r="D555" s="130" t="s">
        <v>162</v>
      </c>
      <c r="E555" s="54" t="s">
        <v>364</v>
      </c>
      <c r="F555" s="130" t="s">
        <v>796</v>
      </c>
      <c r="G555" s="130" t="s">
        <v>157</v>
      </c>
      <c r="H555" s="117">
        <v>80111600</v>
      </c>
      <c r="I555" s="131">
        <v>9</v>
      </c>
      <c r="J555" s="131">
        <v>5</v>
      </c>
      <c r="K555" s="56">
        <v>0</v>
      </c>
      <c r="L555" s="57">
        <v>18947600</v>
      </c>
      <c r="M555" s="130" t="s">
        <v>173</v>
      </c>
      <c r="N555" s="57" t="s">
        <v>114</v>
      </c>
      <c r="O555" s="54" t="s">
        <v>221</v>
      </c>
      <c r="P555" s="132" t="str">
        <f>IFERROR(VLOOKUP(C555,TD!$B$32:$F$36,2,0)," ")</f>
        <v>O230117</v>
      </c>
      <c r="Q555" s="132" t="str">
        <f>IFERROR(VLOOKUP(C555,TD!$B$32:$F$36,3,0)," ")</f>
        <v>4599</v>
      </c>
      <c r="R555" s="132">
        <f>IFERROR(VLOOKUP(C555,TD!$B$32:$F$36,4,0)," ")</f>
        <v>20240207</v>
      </c>
      <c r="S555" s="54" t="s">
        <v>194</v>
      </c>
      <c r="T555" s="132" t="str">
        <f>IFERROR(VLOOKUP(S555,TD!$J$33:$K$43,2,0)," ")</f>
        <v>Servicios para la planeación y sistemas de gestión y comunicación estratégica</v>
      </c>
      <c r="U555" s="54" t="str">
        <f t="shared" si="32"/>
        <v>13-Servicios para la planeación y sistemas de gestión y comunicación estratégica</v>
      </c>
      <c r="V555" s="54" t="s">
        <v>243</v>
      </c>
      <c r="W555" s="132" t="str">
        <f>IFERROR(VLOOKUP(V555,TD!$N$33:$O$45,2,0)," ")</f>
        <v>Documentos de planeación</v>
      </c>
      <c r="X555" s="54" t="str">
        <f t="shared" si="33"/>
        <v>019_Documentos de planeación</v>
      </c>
      <c r="Y555" s="54" t="str">
        <f t="shared" si="34"/>
        <v>13-Servicios para la planeación y sistemas de gestión y comunicación estratégica 019_Documentos de planeación</v>
      </c>
      <c r="Z555" s="132" t="str">
        <f t="shared" si="35"/>
        <v>O23011745992024020713019</v>
      </c>
      <c r="AA555" s="132" t="str">
        <f>IFERROR(VLOOKUP(Y555,TD!$K$46:$L$64,2,0)," ")</f>
        <v>PM/0131/0113/45990190207</v>
      </c>
      <c r="AB555" s="57" t="s">
        <v>139</v>
      </c>
      <c r="AC555" s="133" t="s">
        <v>205</v>
      </c>
    </row>
    <row r="556" spans="2:29" s="28" customFormat="1" ht="57">
      <c r="B556" s="85">
        <v>20241262</v>
      </c>
      <c r="C556" s="53" t="s">
        <v>209</v>
      </c>
      <c r="D556" s="130" t="s">
        <v>162</v>
      </c>
      <c r="E556" s="54" t="s">
        <v>364</v>
      </c>
      <c r="F556" s="130" t="s">
        <v>797</v>
      </c>
      <c r="G556" s="130" t="s">
        <v>156</v>
      </c>
      <c r="H556" s="117">
        <v>80111600</v>
      </c>
      <c r="I556" s="131">
        <v>9</v>
      </c>
      <c r="J556" s="131">
        <v>5</v>
      </c>
      <c r="K556" s="56">
        <v>0</v>
      </c>
      <c r="L556" s="57">
        <v>25000000</v>
      </c>
      <c r="M556" s="130" t="s">
        <v>173</v>
      </c>
      <c r="N556" s="57" t="s">
        <v>114</v>
      </c>
      <c r="O556" s="54" t="s">
        <v>221</v>
      </c>
      <c r="P556" s="132" t="str">
        <f>IFERROR(VLOOKUP(C556,TD!$B$32:$F$36,2,0)," ")</f>
        <v>O230117</v>
      </c>
      <c r="Q556" s="132" t="str">
        <f>IFERROR(VLOOKUP(C556,TD!$B$32:$F$36,3,0)," ")</f>
        <v>4599</v>
      </c>
      <c r="R556" s="132">
        <f>IFERROR(VLOOKUP(C556,TD!$B$32:$F$36,4,0)," ")</f>
        <v>20240207</v>
      </c>
      <c r="S556" s="54" t="s">
        <v>194</v>
      </c>
      <c r="T556" s="132" t="str">
        <f>IFERROR(VLOOKUP(S556,TD!$J$33:$K$43,2,0)," ")</f>
        <v>Servicios para la planeación y sistemas de gestión y comunicación estratégica</v>
      </c>
      <c r="U556" s="54" t="str">
        <f t="shared" si="32"/>
        <v>13-Servicios para la planeación y sistemas de gestión y comunicación estratégica</v>
      </c>
      <c r="V556" s="54" t="s">
        <v>243</v>
      </c>
      <c r="W556" s="132" t="str">
        <f>IFERROR(VLOOKUP(V556,TD!$N$33:$O$45,2,0)," ")</f>
        <v>Documentos de planeación</v>
      </c>
      <c r="X556" s="54" t="str">
        <f t="shared" si="33"/>
        <v>019_Documentos de planeación</v>
      </c>
      <c r="Y556" s="54" t="str">
        <f t="shared" si="34"/>
        <v>13-Servicios para la planeación y sistemas de gestión y comunicación estratégica 019_Documentos de planeación</v>
      </c>
      <c r="Z556" s="132" t="str">
        <f t="shared" si="35"/>
        <v>O23011745992024020713019</v>
      </c>
      <c r="AA556" s="132" t="str">
        <f>IFERROR(VLOOKUP(Y556,TD!$K$46:$L$64,2,0)," ")</f>
        <v>PM/0131/0113/45990190207</v>
      </c>
      <c r="AB556" s="57" t="s">
        <v>139</v>
      </c>
      <c r="AC556" s="133" t="s">
        <v>205</v>
      </c>
    </row>
    <row r="557" spans="2:29" s="28" customFormat="1" ht="99.75">
      <c r="B557" s="85">
        <v>20241263</v>
      </c>
      <c r="C557" s="53" t="s">
        <v>209</v>
      </c>
      <c r="D557" s="130" t="s">
        <v>37</v>
      </c>
      <c r="E557" s="54" t="s">
        <v>406</v>
      </c>
      <c r="F557" s="130" t="s">
        <v>791</v>
      </c>
      <c r="G557" s="130" t="s">
        <v>156</v>
      </c>
      <c r="H557" s="117">
        <v>80111600</v>
      </c>
      <c r="I557" s="131">
        <v>10</v>
      </c>
      <c r="J557" s="131">
        <v>3</v>
      </c>
      <c r="K557" s="56">
        <v>0</v>
      </c>
      <c r="L557" s="57">
        <f>30000000-9000000</f>
        <v>21000000</v>
      </c>
      <c r="M557" s="130" t="s">
        <v>173</v>
      </c>
      <c r="N557" s="57" t="s">
        <v>114</v>
      </c>
      <c r="O557" s="54" t="s">
        <v>213</v>
      </c>
      <c r="P557" s="132" t="str">
        <f>IFERROR(VLOOKUP(C557,TD!$B$32:$F$36,2,0)," ")</f>
        <v>O230117</v>
      </c>
      <c r="Q557" s="132" t="str">
        <f>IFERROR(VLOOKUP(C557,TD!$B$32:$F$36,3,0)," ")</f>
        <v>4599</v>
      </c>
      <c r="R557" s="132">
        <f>IFERROR(VLOOKUP(C557,TD!$B$32:$F$36,4,0)," ")</f>
        <v>20240207</v>
      </c>
      <c r="S557" s="54" t="s">
        <v>194</v>
      </c>
      <c r="T557" s="132" t="str">
        <f>IFERROR(VLOOKUP(S557,TD!$J$33:$K$43,2,0)," ")</f>
        <v>Servicios para la planeación y sistemas de gestión y comunicación estratégica</v>
      </c>
      <c r="U557" s="54" t="str">
        <f t="shared" si="32"/>
        <v>13-Servicios para la planeación y sistemas de gestión y comunicación estratégica</v>
      </c>
      <c r="V557" s="54" t="s">
        <v>242</v>
      </c>
      <c r="W557" s="132" t="str">
        <f>IFERROR(VLOOKUP(V557,TD!$N$33:$O$45,2,0)," ")</f>
        <v>Servicio de Implementación Sistemas de Gestión</v>
      </c>
      <c r="X557" s="54" t="str">
        <f t="shared" si="33"/>
        <v>023_Servicio de Implementación Sistemas de Gestión</v>
      </c>
      <c r="Y557" s="54" t="str">
        <f t="shared" si="34"/>
        <v>13-Servicios para la planeación y sistemas de gestión y comunicación estratégica 023_Servicio de Implementación Sistemas de Gestión</v>
      </c>
      <c r="Z557" s="132" t="str">
        <f t="shared" si="35"/>
        <v>O23011745992024020713023</v>
      </c>
      <c r="AA557" s="132" t="str">
        <f>IFERROR(VLOOKUP(Y557,TD!$K$46:$L$64,2,0)," ")</f>
        <v>PM/0131/0113/45990230207</v>
      </c>
      <c r="AB557" s="57" t="s">
        <v>139</v>
      </c>
      <c r="AC557" s="133" t="s">
        <v>205</v>
      </c>
    </row>
    <row r="558" spans="2:29" s="28" customFormat="1" ht="57">
      <c r="B558" s="85">
        <v>20241264</v>
      </c>
      <c r="C558" s="53" t="s">
        <v>209</v>
      </c>
      <c r="D558" s="130" t="s">
        <v>46</v>
      </c>
      <c r="E558" s="54" t="s">
        <v>364</v>
      </c>
      <c r="F558" s="130" t="s">
        <v>802</v>
      </c>
      <c r="G558" s="130" t="s">
        <v>156</v>
      </c>
      <c r="H558" s="117">
        <v>80111600</v>
      </c>
      <c r="I558" s="131">
        <v>8</v>
      </c>
      <c r="J558" s="131">
        <v>4</v>
      </c>
      <c r="K558" s="56">
        <v>0</v>
      </c>
      <c r="L558" s="57">
        <v>36800000</v>
      </c>
      <c r="M558" s="130" t="s">
        <v>173</v>
      </c>
      <c r="N558" s="57" t="s">
        <v>114</v>
      </c>
      <c r="O558" s="54" t="s">
        <v>220</v>
      </c>
      <c r="P558" s="132" t="str">
        <f>IFERROR(VLOOKUP(C558,TD!$B$32:$F$36,2,0)," ")</f>
        <v>O230117</v>
      </c>
      <c r="Q558" s="132" t="str">
        <f>IFERROR(VLOOKUP(C558,TD!$B$32:$F$36,3,0)," ")</f>
        <v>4599</v>
      </c>
      <c r="R558" s="132">
        <f>IFERROR(VLOOKUP(C558,TD!$B$32:$F$36,4,0)," ")</f>
        <v>20240207</v>
      </c>
      <c r="S558" s="54" t="s">
        <v>186</v>
      </c>
      <c r="T558" s="132" t="str">
        <f>IFERROR(VLOOKUP(S558,TD!$J$33:$K$43,2,0)," ")</f>
        <v>Infraestructura física, mantenimiento y dotación (Sedes construidas, mantenidas reforzadas)</v>
      </c>
      <c r="U558" s="54" t="str">
        <f t="shared" si="32"/>
        <v>08-Infraestructura física, mantenimiento y dotación (Sedes construidas, mantenidas reforzadas)</v>
      </c>
      <c r="V558" s="54" t="s">
        <v>239</v>
      </c>
      <c r="W558" s="132" t="str">
        <f>IFERROR(VLOOKUP(V558,TD!$N$33:$O$45,2,0)," ")</f>
        <v>Sedes mantenidas</v>
      </c>
      <c r="X558" s="54" t="str">
        <f t="shared" si="33"/>
        <v>016_Sedes mantenidas</v>
      </c>
      <c r="Y558" s="54" t="str">
        <f t="shared" si="34"/>
        <v>08-Infraestructura física, mantenimiento y dotación (Sedes construidas, mantenidas reforzadas) 016_Sedes mantenidas</v>
      </c>
      <c r="Z558" s="132" t="str">
        <f t="shared" si="35"/>
        <v>O23011745992024020708016</v>
      </c>
      <c r="AA558" s="132" t="str">
        <f>IFERROR(VLOOKUP(Y558,TD!$K$46:$L$64,2,0)," ")</f>
        <v>PM/0131/0108/45990160207</v>
      </c>
      <c r="AB558" s="57" t="s">
        <v>139</v>
      </c>
      <c r="AC558" s="133" t="s">
        <v>205</v>
      </c>
    </row>
    <row r="559" spans="2:29" s="28" customFormat="1" ht="57">
      <c r="B559" s="85">
        <v>20241266</v>
      </c>
      <c r="C559" s="53" t="s">
        <v>210</v>
      </c>
      <c r="D559" s="130" t="s">
        <v>170</v>
      </c>
      <c r="E559" s="54" t="s">
        <v>456</v>
      </c>
      <c r="F559" s="130" t="s">
        <v>807</v>
      </c>
      <c r="G559" s="130" t="s">
        <v>157</v>
      </c>
      <c r="H559" s="117">
        <v>80111600</v>
      </c>
      <c r="I559" s="131">
        <v>10</v>
      </c>
      <c r="J559" s="131">
        <v>4</v>
      </c>
      <c r="K559" s="56">
        <v>0</v>
      </c>
      <c r="L559" s="57">
        <v>12669440</v>
      </c>
      <c r="M559" s="130" t="s">
        <v>173</v>
      </c>
      <c r="N559" s="57" t="s">
        <v>114</v>
      </c>
      <c r="O559" s="54" t="s">
        <v>223</v>
      </c>
      <c r="P559" s="132" t="str">
        <f>IFERROR(VLOOKUP(C559,TD!$B$32:$F$36,2,0)," ")</f>
        <v>O230117</v>
      </c>
      <c r="Q559" s="132" t="str">
        <f>IFERROR(VLOOKUP(C559,TD!$B$32:$F$36,3,0)," ")</f>
        <v>4503</v>
      </c>
      <c r="R559" s="132">
        <f>IFERROR(VLOOKUP(C559,TD!$B$32:$F$36,4,0)," ")</f>
        <v>20240255</v>
      </c>
      <c r="S559" s="54" t="s">
        <v>176</v>
      </c>
      <c r="T559" s="132" t="str">
        <f>IFERROR(VLOOKUP(S559,TD!$J$33:$K$43,2,0)," ")</f>
        <v>Servicio de atención a incidentes y emergencias.</v>
      </c>
      <c r="U559" s="54" t="str">
        <f t="shared" si="32"/>
        <v>04-Servicio de atención a incidentes y emergencias.</v>
      </c>
      <c r="V559" s="54" t="s">
        <v>233</v>
      </c>
      <c r="W559" s="132" t="str">
        <f>IFERROR(VLOOKUP(V559,TD!$N$33:$O$45,2,0)," ")</f>
        <v>Servicio de atención a emergencias y desastres</v>
      </c>
      <c r="X559" s="54" t="str">
        <f t="shared" si="33"/>
        <v>004_Servicio de atención a emergencias y desastres</v>
      </c>
      <c r="Y559" s="54" t="str">
        <f t="shared" si="34"/>
        <v>04-Servicio de atención a incidentes y emergencias. 004_Servicio de atención a emergencias y desastres</v>
      </c>
      <c r="Z559" s="132" t="str">
        <f t="shared" si="35"/>
        <v>O23011745032024025504004</v>
      </c>
      <c r="AA559" s="132" t="str">
        <f>IFERROR(VLOOKUP(Y559,TD!$K$46:$L$64,2,0)," ")</f>
        <v>PM/0131/0104/45030040255</v>
      </c>
      <c r="AB559" s="57" t="s">
        <v>139</v>
      </c>
      <c r="AC559" s="133" t="s">
        <v>205</v>
      </c>
    </row>
    <row r="560" spans="2:29" s="28" customFormat="1" ht="42.75">
      <c r="B560" s="85">
        <v>20241267</v>
      </c>
      <c r="C560" s="53" t="s">
        <v>347</v>
      </c>
      <c r="D560" s="130" t="s">
        <v>166</v>
      </c>
      <c r="E560" s="54" t="s">
        <v>857</v>
      </c>
      <c r="F560" s="130" t="s">
        <v>809</v>
      </c>
      <c r="G560" s="130" t="s">
        <v>155</v>
      </c>
      <c r="H560" s="117" t="s">
        <v>810</v>
      </c>
      <c r="I560" s="131">
        <v>10</v>
      </c>
      <c r="J560" s="131">
        <v>3</v>
      </c>
      <c r="K560" s="56">
        <v>0</v>
      </c>
      <c r="L560" s="57">
        <v>124500000</v>
      </c>
      <c r="M560" s="130" t="s">
        <v>173</v>
      </c>
      <c r="N560" s="57" t="s">
        <v>114</v>
      </c>
      <c r="O560" s="54" t="s">
        <v>348</v>
      </c>
      <c r="P560" s="132" t="str">
        <f>IFERROR(VLOOKUP(C560,TD!$B$32:$F$36,2,0)," ")</f>
        <v>NA</v>
      </c>
      <c r="Q560" s="132" t="str">
        <f>IFERROR(VLOOKUP(C560,TD!$B$32:$F$36,3,0)," ")</f>
        <v>NA</v>
      </c>
      <c r="R560" s="132" t="str">
        <f>IFERROR(VLOOKUP(C560,TD!$B$32:$F$36,4,0)," ")</f>
        <v>NA</v>
      </c>
      <c r="S560" s="54" t="s">
        <v>546</v>
      </c>
      <c r="T560" s="132" t="str">
        <f>IFERROR(VLOOKUP(S560,TD!$J$33:$K$43,2,0)," ")</f>
        <v>N/A</v>
      </c>
      <c r="U560" s="54" t="str">
        <f t="shared" si="32"/>
        <v>N/A-N/A</v>
      </c>
      <c r="V560" s="54" t="s">
        <v>546</v>
      </c>
      <c r="W560" s="132" t="str">
        <f>IFERROR(VLOOKUP(V560,TD!$N$33:$O$45,2,0)," ")</f>
        <v>N/A</v>
      </c>
      <c r="X560" s="54" t="str">
        <f t="shared" si="33"/>
        <v>N/A_N/A</v>
      </c>
      <c r="Y560" s="54" t="str">
        <f t="shared" si="34"/>
        <v>N/A-N/A N/A_N/A</v>
      </c>
      <c r="Z560" s="132" t="str">
        <f t="shared" si="35"/>
        <v>NANANAN/AN/A</v>
      </c>
      <c r="AA560" s="132" t="str">
        <f>IFERROR(VLOOKUP(Y560,TD!$K$46:$L$64,2,0)," ")</f>
        <v>N/A</v>
      </c>
      <c r="AB560" s="57" t="s">
        <v>139</v>
      </c>
      <c r="AC560" s="133" t="s">
        <v>206</v>
      </c>
    </row>
    <row r="561" spans="2:29" s="28" customFormat="1" ht="57">
      <c r="B561" s="85">
        <v>20241268</v>
      </c>
      <c r="C561" s="53" t="s">
        <v>210</v>
      </c>
      <c r="D561" s="130" t="s">
        <v>166</v>
      </c>
      <c r="E561" s="54" t="s">
        <v>857</v>
      </c>
      <c r="F561" s="130" t="s">
        <v>811</v>
      </c>
      <c r="G561" s="130" t="s">
        <v>157</v>
      </c>
      <c r="H561" s="117">
        <v>80111600</v>
      </c>
      <c r="I561" s="131">
        <v>10</v>
      </c>
      <c r="J561" s="131">
        <v>4</v>
      </c>
      <c r="K561" s="56">
        <v>0</v>
      </c>
      <c r="L561" s="57">
        <v>15000000</v>
      </c>
      <c r="M561" s="130" t="s">
        <v>173</v>
      </c>
      <c r="N561" s="57" t="s">
        <v>114</v>
      </c>
      <c r="O561" s="54" t="s">
        <v>230</v>
      </c>
      <c r="P561" s="132" t="str">
        <f>IFERROR(VLOOKUP(C561,TD!$B$32:$F$36,2,0)," ")</f>
        <v>O230117</v>
      </c>
      <c r="Q561" s="132" t="str">
        <f>IFERROR(VLOOKUP(C561,TD!$B$32:$F$36,3,0)," ")</f>
        <v>4503</v>
      </c>
      <c r="R561" s="132">
        <f>IFERROR(VLOOKUP(C561,TD!$B$32:$F$36,4,0)," ")</f>
        <v>20240255</v>
      </c>
      <c r="S561" s="54" t="s">
        <v>184</v>
      </c>
      <c r="T561" s="132" t="str">
        <f>IFERROR(VLOOKUP(S561,TD!$J$33:$K$43,2,0)," ")</f>
        <v>Servicio de formación en gestión del riesgo de incendios para el personal UAECOB</v>
      </c>
      <c r="U561" s="54" t="str">
        <f t="shared" si="32"/>
        <v>07-Servicio de formación en gestión del riesgo de incendios para el personal UAECOB</v>
      </c>
      <c r="V561" s="54" t="s">
        <v>234</v>
      </c>
      <c r="W561" s="132" t="str">
        <f>IFERROR(VLOOKUP(V561,TD!$N$33:$O$45,2,0)," ")</f>
        <v>Servicio de educación informal</v>
      </c>
      <c r="X561" s="54" t="str">
        <f t="shared" si="33"/>
        <v>002_Servicio de educación informal</v>
      </c>
      <c r="Y561" s="54" t="str">
        <f t="shared" si="34"/>
        <v>07-Servicio de formación en gestión del riesgo de incendios para el personal UAECOB 002_Servicio de educación informal</v>
      </c>
      <c r="Z561" s="132" t="str">
        <f t="shared" si="35"/>
        <v>O23011745032024025507002</v>
      </c>
      <c r="AA561" s="132" t="str">
        <f>IFERROR(VLOOKUP(Y561,TD!$K$46:$L$64,2,0)," ")</f>
        <v>PM/0131/0107/45030020255</v>
      </c>
      <c r="AB561" s="57" t="s">
        <v>139</v>
      </c>
      <c r="AC561" s="133" t="s">
        <v>205</v>
      </c>
    </row>
    <row r="562" spans="2:29" s="28" customFormat="1" ht="57">
      <c r="B562" s="85">
        <v>20241269</v>
      </c>
      <c r="C562" s="53" t="s">
        <v>210</v>
      </c>
      <c r="D562" s="130" t="s">
        <v>166</v>
      </c>
      <c r="E562" s="54" t="s">
        <v>857</v>
      </c>
      <c r="F562" s="130" t="s">
        <v>812</v>
      </c>
      <c r="G562" s="130" t="s">
        <v>156</v>
      </c>
      <c r="H562" s="117">
        <v>80111600</v>
      </c>
      <c r="I562" s="131">
        <v>10</v>
      </c>
      <c r="J562" s="131">
        <v>3</v>
      </c>
      <c r="K562" s="56">
        <v>15</v>
      </c>
      <c r="L562" s="57">
        <v>22750000</v>
      </c>
      <c r="M562" s="130" t="s">
        <v>173</v>
      </c>
      <c r="N562" s="57" t="s">
        <v>114</v>
      </c>
      <c r="O562" s="54" t="s">
        <v>230</v>
      </c>
      <c r="P562" s="132" t="str">
        <f>IFERROR(VLOOKUP(C562,TD!$B$32:$F$36,2,0)," ")</f>
        <v>O230117</v>
      </c>
      <c r="Q562" s="132" t="str">
        <f>IFERROR(VLOOKUP(C562,TD!$B$32:$F$36,3,0)," ")</f>
        <v>4503</v>
      </c>
      <c r="R562" s="132">
        <f>IFERROR(VLOOKUP(C562,TD!$B$32:$F$36,4,0)," ")</f>
        <v>20240255</v>
      </c>
      <c r="S562" s="54" t="s">
        <v>184</v>
      </c>
      <c r="T562" s="132" t="str">
        <f>IFERROR(VLOOKUP(S562,TD!$J$33:$K$43,2,0)," ")</f>
        <v>Servicio de formación en gestión del riesgo de incendios para el personal UAECOB</v>
      </c>
      <c r="U562" s="54" t="str">
        <f t="shared" si="32"/>
        <v>07-Servicio de formación en gestión del riesgo de incendios para el personal UAECOB</v>
      </c>
      <c r="V562" s="54" t="s">
        <v>234</v>
      </c>
      <c r="W562" s="132" t="str">
        <f>IFERROR(VLOOKUP(V562,TD!$N$33:$O$45,2,0)," ")</f>
        <v>Servicio de educación informal</v>
      </c>
      <c r="X562" s="54" t="str">
        <f t="shared" si="33"/>
        <v>002_Servicio de educación informal</v>
      </c>
      <c r="Y562" s="54" t="str">
        <f t="shared" si="34"/>
        <v>07-Servicio de formación en gestión del riesgo de incendios para el personal UAECOB 002_Servicio de educación informal</v>
      </c>
      <c r="Z562" s="132" t="str">
        <f t="shared" si="35"/>
        <v>O23011745032024025507002</v>
      </c>
      <c r="AA562" s="132" t="str">
        <f>IFERROR(VLOOKUP(Y562,TD!$K$46:$L$64,2,0)," ")</f>
        <v>PM/0131/0107/45030020255</v>
      </c>
      <c r="AB562" s="57" t="s">
        <v>139</v>
      </c>
      <c r="AC562" s="133" t="s">
        <v>205</v>
      </c>
    </row>
    <row r="563" spans="2:29" s="28" customFormat="1" ht="57">
      <c r="B563" s="85">
        <v>20241270</v>
      </c>
      <c r="C563" s="53" t="s">
        <v>210</v>
      </c>
      <c r="D563" s="130" t="s">
        <v>166</v>
      </c>
      <c r="E563" s="54" t="s">
        <v>857</v>
      </c>
      <c r="F563" s="130" t="s">
        <v>813</v>
      </c>
      <c r="G563" s="130" t="s">
        <v>156</v>
      </c>
      <c r="H563" s="117">
        <v>80111600</v>
      </c>
      <c r="I563" s="131">
        <v>10</v>
      </c>
      <c r="J563" s="131">
        <v>3</v>
      </c>
      <c r="K563" s="56">
        <v>0</v>
      </c>
      <c r="L563" s="57">
        <v>14700000</v>
      </c>
      <c r="M563" s="130" t="s">
        <v>173</v>
      </c>
      <c r="N563" s="57" t="s">
        <v>114</v>
      </c>
      <c r="O563" s="54" t="s">
        <v>230</v>
      </c>
      <c r="P563" s="132" t="str">
        <f>IFERROR(VLOOKUP(C563,TD!$B$32:$F$36,2,0)," ")</f>
        <v>O230117</v>
      </c>
      <c r="Q563" s="132" t="str">
        <f>IFERROR(VLOOKUP(C563,TD!$B$32:$F$36,3,0)," ")</f>
        <v>4503</v>
      </c>
      <c r="R563" s="132">
        <f>IFERROR(VLOOKUP(C563,TD!$B$32:$F$36,4,0)," ")</f>
        <v>20240255</v>
      </c>
      <c r="S563" s="54" t="s">
        <v>184</v>
      </c>
      <c r="T563" s="132" t="str">
        <f>IFERROR(VLOOKUP(S563,TD!$J$33:$K$43,2,0)," ")</f>
        <v>Servicio de formación en gestión del riesgo de incendios para el personal UAECOB</v>
      </c>
      <c r="U563" s="54" t="str">
        <f t="shared" si="32"/>
        <v>07-Servicio de formación en gestión del riesgo de incendios para el personal UAECOB</v>
      </c>
      <c r="V563" s="54" t="s">
        <v>234</v>
      </c>
      <c r="W563" s="132" t="str">
        <f>IFERROR(VLOOKUP(V563,TD!$N$33:$O$45,2,0)," ")</f>
        <v>Servicio de educación informal</v>
      </c>
      <c r="X563" s="54" t="str">
        <f t="shared" si="33"/>
        <v>002_Servicio de educación informal</v>
      </c>
      <c r="Y563" s="54" t="str">
        <f t="shared" si="34"/>
        <v>07-Servicio de formación en gestión del riesgo de incendios para el personal UAECOB 002_Servicio de educación informal</v>
      </c>
      <c r="Z563" s="132" t="str">
        <f t="shared" si="35"/>
        <v>O23011745032024025507002</v>
      </c>
      <c r="AA563" s="132" t="str">
        <f>IFERROR(VLOOKUP(Y563,TD!$K$46:$L$64,2,0)," ")</f>
        <v>PM/0131/0107/45030020255</v>
      </c>
      <c r="AB563" s="57" t="s">
        <v>139</v>
      </c>
      <c r="AC563" s="133" t="s">
        <v>206</v>
      </c>
    </row>
    <row r="564" spans="2:29" s="28" customFormat="1" ht="57">
      <c r="B564" s="85">
        <v>20241271</v>
      </c>
      <c r="C564" s="53" t="s">
        <v>210</v>
      </c>
      <c r="D564" s="130" t="s">
        <v>166</v>
      </c>
      <c r="E564" s="54" t="s">
        <v>857</v>
      </c>
      <c r="F564" s="130" t="s">
        <v>814</v>
      </c>
      <c r="G564" s="130" t="s">
        <v>156</v>
      </c>
      <c r="H564" s="117">
        <v>80111600</v>
      </c>
      <c r="I564" s="131">
        <v>10</v>
      </c>
      <c r="J564" s="131">
        <v>3</v>
      </c>
      <c r="K564" s="56">
        <v>10</v>
      </c>
      <c r="L564" s="57">
        <v>16210000</v>
      </c>
      <c r="M564" s="130" t="s">
        <v>173</v>
      </c>
      <c r="N564" s="57" t="s">
        <v>114</v>
      </c>
      <c r="O564" s="54" t="s">
        <v>230</v>
      </c>
      <c r="P564" s="132" t="str">
        <f>IFERROR(VLOOKUP(C564,TD!$B$32:$F$36,2,0)," ")</f>
        <v>O230117</v>
      </c>
      <c r="Q564" s="132" t="str">
        <f>IFERROR(VLOOKUP(C564,TD!$B$32:$F$36,3,0)," ")</f>
        <v>4503</v>
      </c>
      <c r="R564" s="132">
        <f>IFERROR(VLOOKUP(C564,TD!$B$32:$F$36,4,0)," ")</f>
        <v>20240255</v>
      </c>
      <c r="S564" s="54" t="s">
        <v>184</v>
      </c>
      <c r="T564" s="132" t="str">
        <f>IFERROR(VLOOKUP(S564,TD!$J$33:$K$43,2,0)," ")</f>
        <v>Servicio de formación en gestión del riesgo de incendios para el personal UAECOB</v>
      </c>
      <c r="U564" s="54" t="str">
        <f t="shared" si="32"/>
        <v>07-Servicio de formación en gestión del riesgo de incendios para el personal UAECOB</v>
      </c>
      <c r="V564" s="54" t="s">
        <v>234</v>
      </c>
      <c r="W564" s="132" t="str">
        <f>IFERROR(VLOOKUP(V564,TD!$N$33:$O$45,2,0)," ")</f>
        <v>Servicio de educación informal</v>
      </c>
      <c r="X564" s="54" t="str">
        <f t="shared" si="33"/>
        <v>002_Servicio de educación informal</v>
      </c>
      <c r="Y564" s="54" t="str">
        <f t="shared" si="34"/>
        <v>07-Servicio de formación en gestión del riesgo de incendios para el personal UAECOB 002_Servicio de educación informal</v>
      </c>
      <c r="Z564" s="132" t="str">
        <f t="shared" si="35"/>
        <v>O23011745032024025507002</v>
      </c>
      <c r="AA564" s="132" t="str">
        <f>IFERROR(VLOOKUP(Y564,TD!$K$46:$L$64,2,0)," ")</f>
        <v>PM/0131/0107/45030020255</v>
      </c>
      <c r="AB564" s="57" t="s">
        <v>139</v>
      </c>
      <c r="AC564" s="133" t="s">
        <v>206</v>
      </c>
    </row>
    <row r="565" spans="2:29" s="28" customFormat="1" ht="57">
      <c r="B565" s="85">
        <v>20241272</v>
      </c>
      <c r="C565" s="53" t="s">
        <v>210</v>
      </c>
      <c r="D565" s="130" t="s">
        <v>166</v>
      </c>
      <c r="E565" s="54" t="s">
        <v>857</v>
      </c>
      <c r="F565" s="130" t="s">
        <v>815</v>
      </c>
      <c r="G565" s="130" t="s">
        <v>156</v>
      </c>
      <c r="H565" s="117">
        <v>80111600</v>
      </c>
      <c r="I565" s="131">
        <v>10</v>
      </c>
      <c r="J565" s="131">
        <v>3</v>
      </c>
      <c r="K565" s="56">
        <v>0</v>
      </c>
      <c r="L565" s="57">
        <v>18042000</v>
      </c>
      <c r="M565" s="130" t="s">
        <v>173</v>
      </c>
      <c r="N565" s="57" t="s">
        <v>114</v>
      </c>
      <c r="O565" s="54" t="s">
        <v>230</v>
      </c>
      <c r="P565" s="132" t="str">
        <f>IFERROR(VLOOKUP(C565,TD!$B$32:$F$36,2,0)," ")</f>
        <v>O230117</v>
      </c>
      <c r="Q565" s="132" t="str">
        <f>IFERROR(VLOOKUP(C565,TD!$B$32:$F$36,3,0)," ")</f>
        <v>4503</v>
      </c>
      <c r="R565" s="132">
        <f>IFERROR(VLOOKUP(C565,TD!$B$32:$F$36,4,0)," ")</f>
        <v>20240255</v>
      </c>
      <c r="S565" s="54" t="s">
        <v>184</v>
      </c>
      <c r="T565" s="132" t="str">
        <f>IFERROR(VLOOKUP(S565,TD!$J$33:$K$43,2,0)," ")</f>
        <v>Servicio de formación en gestión del riesgo de incendios para el personal UAECOB</v>
      </c>
      <c r="U565" s="54" t="str">
        <f t="shared" si="32"/>
        <v>07-Servicio de formación en gestión del riesgo de incendios para el personal UAECOB</v>
      </c>
      <c r="V565" s="54" t="s">
        <v>234</v>
      </c>
      <c r="W565" s="132" t="str">
        <f>IFERROR(VLOOKUP(V565,TD!$N$33:$O$45,2,0)," ")</f>
        <v>Servicio de educación informal</v>
      </c>
      <c r="X565" s="54" t="str">
        <f t="shared" si="33"/>
        <v>002_Servicio de educación informal</v>
      </c>
      <c r="Y565" s="54" t="str">
        <f t="shared" si="34"/>
        <v>07-Servicio de formación en gestión del riesgo de incendios para el personal UAECOB 002_Servicio de educación informal</v>
      </c>
      <c r="Z565" s="132" t="str">
        <f t="shared" si="35"/>
        <v>O23011745032024025507002</v>
      </c>
      <c r="AA565" s="132" t="str">
        <f>IFERROR(VLOOKUP(Y565,TD!$K$46:$L$64,2,0)," ")</f>
        <v>PM/0131/0107/45030020255</v>
      </c>
      <c r="AB565" s="57" t="s">
        <v>139</v>
      </c>
      <c r="AC565" s="133" t="s">
        <v>206</v>
      </c>
    </row>
    <row r="566" spans="2:29" s="28" customFormat="1" ht="57">
      <c r="B566" s="85">
        <v>20241273</v>
      </c>
      <c r="C566" s="53" t="s">
        <v>210</v>
      </c>
      <c r="D566" s="130" t="s">
        <v>166</v>
      </c>
      <c r="E566" s="54" t="s">
        <v>857</v>
      </c>
      <c r="F566" s="130" t="s">
        <v>816</v>
      </c>
      <c r="G566" s="130" t="s">
        <v>156</v>
      </c>
      <c r="H566" s="117">
        <v>80111600</v>
      </c>
      <c r="I566" s="131">
        <v>10</v>
      </c>
      <c r="J566" s="131">
        <v>3</v>
      </c>
      <c r="K566" s="56">
        <v>0</v>
      </c>
      <c r="L566" s="57">
        <v>16413000</v>
      </c>
      <c r="M566" s="130" t="s">
        <v>173</v>
      </c>
      <c r="N566" s="57" t="s">
        <v>114</v>
      </c>
      <c r="O566" s="54" t="s">
        <v>230</v>
      </c>
      <c r="P566" s="132" t="str">
        <f>IFERROR(VLOOKUP(C566,TD!$B$32:$F$36,2,0)," ")</f>
        <v>O230117</v>
      </c>
      <c r="Q566" s="132" t="str">
        <f>IFERROR(VLOOKUP(C566,TD!$B$32:$F$36,3,0)," ")</f>
        <v>4503</v>
      </c>
      <c r="R566" s="132">
        <f>IFERROR(VLOOKUP(C566,TD!$B$32:$F$36,4,0)," ")</f>
        <v>20240255</v>
      </c>
      <c r="S566" s="54" t="s">
        <v>184</v>
      </c>
      <c r="T566" s="132" t="str">
        <f>IFERROR(VLOOKUP(S566,TD!$J$33:$K$43,2,0)," ")</f>
        <v>Servicio de formación en gestión del riesgo de incendios para el personal UAECOB</v>
      </c>
      <c r="U566" s="54" t="str">
        <f t="shared" si="32"/>
        <v>07-Servicio de formación en gestión del riesgo de incendios para el personal UAECOB</v>
      </c>
      <c r="V566" s="54" t="s">
        <v>234</v>
      </c>
      <c r="W566" s="132" t="str">
        <f>IFERROR(VLOOKUP(V566,TD!$N$33:$O$45,2,0)," ")</f>
        <v>Servicio de educación informal</v>
      </c>
      <c r="X566" s="54" t="str">
        <f t="shared" si="33"/>
        <v>002_Servicio de educación informal</v>
      </c>
      <c r="Y566" s="54" t="str">
        <f t="shared" si="34"/>
        <v>07-Servicio de formación en gestión del riesgo de incendios para el personal UAECOB 002_Servicio de educación informal</v>
      </c>
      <c r="Z566" s="132" t="str">
        <f t="shared" si="35"/>
        <v>O23011745032024025507002</v>
      </c>
      <c r="AA566" s="132" t="str">
        <f>IFERROR(VLOOKUP(Y566,TD!$K$46:$L$64,2,0)," ")</f>
        <v>PM/0131/0107/45030020255</v>
      </c>
      <c r="AB566" s="57" t="s">
        <v>139</v>
      </c>
      <c r="AC566" s="133" t="s">
        <v>206</v>
      </c>
    </row>
    <row r="567" spans="2:29" s="28" customFormat="1" ht="57">
      <c r="B567" s="85">
        <v>20241275</v>
      </c>
      <c r="C567" s="53" t="s">
        <v>210</v>
      </c>
      <c r="D567" s="130" t="s">
        <v>166</v>
      </c>
      <c r="E567" s="54" t="s">
        <v>857</v>
      </c>
      <c r="F567" s="130" t="s">
        <v>818</v>
      </c>
      <c r="G567" s="130" t="s">
        <v>120</v>
      </c>
      <c r="H567" s="117" t="s">
        <v>820</v>
      </c>
      <c r="I567" s="131">
        <v>11</v>
      </c>
      <c r="J567" s="131">
        <v>3</v>
      </c>
      <c r="K567" s="56">
        <v>0</v>
      </c>
      <c r="L567" s="57">
        <v>124206392</v>
      </c>
      <c r="M567" s="130" t="s">
        <v>173</v>
      </c>
      <c r="N567" s="57" t="s">
        <v>114</v>
      </c>
      <c r="O567" s="54" t="s">
        <v>230</v>
      </c>
      <c r="P567" s="132" t="str">
        <f>IFERROR(VLOOKUP(C567,TD!$B$32:$F$36,2,0)," ")</f>
        <v>O230117</v>
      </c>
      <c r="Q567" s="132" t="str">
        <f>IFERROR(VLOOKUP(C567,TD!$B$32:$F$36,3,0)," ")</f>
        <v>4503</v>
      </c>
      <c r="R567" s="132">
        <f>IFERROR(VLOOKUP(C567,TD!$B$32:$F$36,4,0)," ")</f>
        <v>20240255</v>
      </c>
      <c r="S567" s="54" t="s">
        <v>184</v>
      </c>
      <c r="T567" s="132" t="str">
        <f>IFERROR(VLOOKUP(S567,TD!$J$33:$K$43,2,0)," ")</f>
        <v>Servicio de formación en gestión del riesgo de incendios para el personal UAECOB</v>
      </c>
      <c r="U567" s="54" t="str">
        <f t="shared" si="32"/>
        <v>07-Servicio de formación en gestión del riesgo de incendios para el personal UAECOB</v>
      </c>
      <c r="V567" s="54" t="s">
        <v>234</v>
      </c>
      <c r="W567" s="132" t="str">
        <f>IFERROR(VLOOKUP(V567,TD!$N$33:$O$45,2,0)," ")</f>
        <v>Servicio de educación informal</v>
      </c>
      <c r="X567" s="54" t="str">
        <f t="shared" si="33"/>
        <v>002_Servicio de educación informal</v>
      </c>
      <c r="Y567" s="54" t="str">
        <f t="shared" si="34"/>
        <v>07-Servicio de formación en gestión del riesgo de incendios para el personal UAECOB 002_Servicio de educación informal</v>
      </c>
      <c r="Z567" s="132" t="str">
        <f t="shared" si="35"/>
        <v>O23011745032024025507002</v>
      </c>
      <c r="AA567" s="132" t="str">
        <f>IFERROR(VLOOKUP(Y567,TD!$K$46:$L$64,2,0)," ")</f>
        <v>PM/0131/0107/45030020255</v>
      </c>
      <c r="AB567" s="57" t="s">
        <v>139</v>
      </c>
      <c r="AC567" s="133" t="s">
        <v>205</v>
      </c>
    </row>
    <row r="568" spans="2:29" s="28" customFormat="1" ht="57">
      <c r="B568" s="85">
        <v>20241277</v>
      </c>
      <c r="C568" s="53" t="s">
        <v>209</v>
      </c>
      <c r="D568" s="130" t="s">
        <v>165</v>
      </c>
      <c r="E568" s="54" t="s">
        <v>517</v>
      </c>
      <c r="F568" s="130" t="s">
        <v>821</v>
      </c>
      <c r="G568" s="130" t="s">
        <v>156</v>
      </c>
      <c r="H568" s="117">
        <v>80111600</v>
      </c>
      <c r="I568" s="131">
        <v>10</v>
      </c>
      <c r="J568" s="131">
        <v>1</v>
      </c>
      <c r="K568" s="56">
        <v>0</v>
      </c>
      <c r="L568" s="57">
        <v>6500000</v>
      </c>
      <c r="M568" s="130" t="s">
        <v>173</v>
      </c>
      <c r="N568" s="57" t="s">
        <v>114</v>
      </c>
      <c r="O568" s="54" t="s">
        <v>220</v>
      </c>
      <c r="P568" s="132" t="str">
        <f>IFERROR(VLOOKUP(C568,TD!$B$32:$F$36,2,0)," ")</f>
        <v>O230117</v>
      </c>
      <c r="Q568" s="132" t="str">
        <f>IFERROR(VLOOKUP(C568,TD!$B$32:$F$36,3,0)," ")</f>
        <v>4599</v>
      </c>
      <c r="R568" s="132">
        <f>IFERROR(VLOOKUP(C568,TD!$B$32:$F$36,4,0)," ")</f>
        <v>20240207</v>
      </c>
      <c r="S568" s="54" t="s">
        <v>186</v>
      </c>
      <c r="T568" s="132" t="str">
        <f>IFERROR(VLOOKUP(S568,TD!$J$33:$K$43,2,0)," ")</f>
        <v>Infraestructura física, mantenimiento y dotación (Sedes construidas, mantenidas reforzadas)</v>
      </c>
      <c r="U568" s="54" t="str">
        <f t="shared" si="32"/>
        <v>08-Infraestructura física, mantenimiento y dotación (Sedes construidas, mantenidas reforzadas)</v>
      </c>
      <c r="V568" s="54" t="s">
        <v>239</v>
      </c>
      <c r="W568" s="132" t="str">
        <f>IFERROR(VLOOKUP(V568,TD!$N$33:$O$45,2,0)," ")</f>
        <v>Sedes mantenidas</v>
      </c>
      <c r="X568" s="54" t="str">
        <f t="shared" si="33"/>
        <v>016_Sedes mantenidas</v>
      </c>
      <c r="Y568" s="54" t="str">
        <f t="shared" si="34"/>
        <v>08-Infraestructura física, mantenimiento y dotación (Sedes construidas, mantenidas reforzadas) 016_Sedes mantenidas</v>
      </c>
      <c r="Z568" s="132" t="str">
        <f t="shared" si="35"/>
        <v>O23011745992024020708016</v>
      </c>
      <c r="AA568" s="132" t="str">
        <f>IFERROR(VLOOKUP(Y568,TD!$K$46:$L$64,2,0)," ")</f>
        <v>PM/0131/0108/45990160207</v>
      </c>
      <c r="AB568" s="57" t="s">
        <v>139</v>
      </c>
      <c r="AC568" s="133" t="s">
        <v>206</v>
      </c>
    </row>
    <row r="569" spans="2:29" s="28" customFormat="1" ht="57">
      <c r="B569" s="85">
        <v>20241279</v>
      </c>
      <c r="C569" s="53" t="s">
        <v>210</v>
      </c>
      <c r="D569" s="130" t="s">
        <v>167</v>
      </c>
      <c r="E569" s="54" t="s">
        <v>839</v>
      </c>
      <c r="F569" s="130" t="s">
        <v>822</v>
      </c>
      <c r="G569" s="130" t="s">
        <v>102</v>
      </c>
      <c r="H569" s="55" t="s">
        <v>824</v>
      </c>
      <c r="I569" s="128">
        <v>0</v>
      </c>
      <c r="J569" s="128">
        <v>0</v>
      </c>
      <c r="K569" s="129">
        <v>0</v>
      </c>
      <c r="L569" s="57">
        <v>10131621</v>
      </c>
      <c r="M569" s="130" t="s">
        <v>173</v>
      </c>
      <c r="N569" s="57" t="s">
        <v>109</v>
      </c>
      <c r="O569" s="54" t="s">
        <v>228</v>
      </c>
      <c r="P569" s="132" t="str">
        <f>IFERROR(VLOOKUP(C569,TD!$B$32:$F$36,2,0)," ")</f>
        <v>O230117</v>
      </c>
      <c r="Q569" s="132" t="str">
        <f>IFERROR(VLOOKUP(C569,TD!$B$32:$F$36,3,0)," ")</f>
        <v>4503</v>
      </c>
      <c r="R569" s="132">
        <f>IFERROR(VLOOKUP(C569,TD!$B$32:$F$36,4,0)," ")</f>
        <v>20240255</v>
      </c>
      <c r="S569" s="54" t="s">
        <v>186</v>
      </c>
      <c r="T569" s="132" t="str">
        <f>IFERROR(VLOOKUP(S569,TD!$J$33:$K$43,2,0)," ")</f>
        <v>Infraestructura física, mantenimiento y dotación (Sedes construidas, mantenidas reforzadas)</v>
      </c>
      <c r="U569" s="54" t="str">
        <f t="shared" si="32"/>
        <v>08-Infraestructura física, mantenimiento y dotación (Sedes construidas, mantenidas reforzadas)</v>
      </c>
      <c r="V569" s="54" t="s">
        <v>237</v>
      </c>
      <c r="W569" s="132" t="str">
        <f>IFERROR(VLOOKUP(V569,TD!$N$33:$O$45,2,0)," ")</f>
        <v>Estaciones de bomberos adecuadas</v>
      </c>
      <c r="X569" s="54" t="str">
        <f t="shared" si="33"/>
        <v>014_Estaciones de bomberos adecuadas</v>
      </c>
      <c r="Y569" s="54" t="str">
        <f t="shared" si="34"/>
        <v>08-Infraestructura física, mantenimiento y dotación (Sedes construidas, mantenidas reforzadas) 014_Estaciones de bomberos adecuadas</v>
      </c>
      <c r="Z569" s="132" t="str">
        <f t="shared" si="35"/>
        <v>O23011745032024025508014</v>
      </c>
      <c r="AA569" s="132" t="str">
        <f>IFERROR(VLOOKUP(Y569,TD!$K$46:$L$64,2,0)," ")</f>
        <v>PM/0131/0108/45030140255</v>
      </c>
      <c r="AB569" s="57" t="s">
        <v>103</v>
      </c>
      <c r="AC569" s="133" t="s">
        <v>206</v>
      </c>
    </row>
    <row r="570" spans="2:29" s="28" customFormat="1" ht="57">
      <c r="B570" s="85">
        <v>20241280</v>
      </c>
      <c r="C570" s="53" t="s">
        <v>210</v>
      </c>
      <c r="D570" s="130" t="s">
        <v>167</v>
      </c>
      <c r="E570" s="54" t="s">
        <v>839</v>
      </c>
      <c r="F570" s="130" t="s">
        <v>823</v>
      </c>
      <c r="G570" s="130" t="s">
        <v>106</v>
      </c>
      <c r="H570" s="55" t="s">
        <v>825</v>
      </c>
      <c r="I570" s="128">
        <v>0</v>
      </c>
      <c r="J570" s="128">
        <v>0</v>
      </c>
      <c r="K570" s="129">
        <v>0</v>
      </c>
      <c r="L570" s="57">
        <v>27281493</v>
      </c>
      <c r="M570" s="130" t="s">
        <v>173</v>
      </c>
      <c r="N570" s="57" t="s">
        <v>91</v>
      </c>
      <c r="O570" s="54" t="s">
        <v>228</v>
      </c>
      <c r="P570" s="132" t="str">
        <f>IFERROR(VLOOKUP(C570,TD!$B$32:$F$36,2,0)," ")</f>
        <v>O230117</v>
      </c>
      <c r="Q570" s="132" t="str">
        <f>IFERROR(VLOOKUP(C570,TD!$B$32:$F$36,3,0)," ")</f>
        <v>4503</v>
      </c>
      <c r="R570" s="132">
        <f>IFERROR(VLOOKUP(C570,TD!$B$32:$F$36,4,0)," ")</f>
        <v>20240255</v>
      </c>
      <c r="S570" s="54" t="s">
        <v>186</v>
      </c>
      <c r="T570" s="132" t="str">
        <f>IFERROR(VLOOKUP(S570,TD!$J$33:$K$43,2,0)," ")</f>
        <v>Infraestructura física, mantenimiento y dotación (Sedes construidas, mantenidas reforzadas)</v>
      </c>
      <c r="U570" s="54" t="str">
        <f t="shared" si="32"/>
        <v>08-Infraestructura física, mantenimiento y dotación (Sedes construidas, mantenidas reforzadas)</v>
      </c>
      <c r="V570" s="54" t="s">
        <v>237</v>
      </c>
      <c r="W570" s="132" t="str">
        <f>IFERROR(VLOOKUP(V570,TD!$N$33:$O$45,2,0)," ")</f>
        <v>Estaciones de bomberos adecuadas</v>
      </c>
      <c r="X570" s="54" t="str">
        <f t="shared" si="33"/>
        <v>014_Estaciones de bomberos adecuadas</v>
      </c>
      <c r="Y570" s="54" t="str">
        <f t="shared" si="34"/>
        <v>08-Infraestructura física, mantenimiento y dotación (Sedes construidas, mantenidas reforzadas) 014_Estaciones de bomberos adecuadas</v>
      </c>
      <c r="Z570" s="132" t="str">
        <f t="shared" si="35"/>
        <v>O23011745032024025508014</v>
      </c>
      <c r="AA570" s="132" t="str">
        <f>IFERROR(VLOOKUP(Y570,TD!$K$46:$L$64,2,0)," ")</f>
        <v>PM/0131/0108/45030140255</v>
      </c>
      <c r="AB570" s="57" t="s">
        <v>103</v>
      </c>
      <c r="AC570" s="133" t="s">
        <v>206</v>
      </c>
    </row>
    <row r="571" spans="2:29" s="28" customFormat="1" ht="57">
      <c r="B571" s="85">
        <v>20241281</v>
      </c>
      <c r="C571" s="53" t="s">
        <v>209</v>
      </c>
      <c r="D571" s="130" t="s">
        <v>167</v>
      </c>
      <c r="E571" s="54" t="s">
        <v>839</v>
      </c>
      <c r="F571" s="130" t="s">
        <v>826</v>
      </c>
      <c r="G571" s="130" t="s">
        <v>156</v>
      </c>
      <c r="H571" s="117">
        <v>80111600</v>
      </c>
      <c r="I571" s="131">
        <v>8</v>
      </c>
      <c r="J571" s="131">
        <v>1</v>
      </c>
      <c r="K571" s="56">
        <v>0</v>
      </c>
      <c r="L571" s="57">
        <v>7000000</v>
      </c>
      <c r="M571" s="130" t="s">
        <v>173</v>
      </c>
      <c r="N571" s="57" t="s">
        <v>114</v>
      </c>
      <c r="O571" s="54" t="s">
        <v>219</v>
      </c>
      <c r="P571" s="132" t="str">
        <f>IFERROR(VLOOKUP(C571,TD!$B$32:$F$36,2,0)," ")</f>
        <v>O230117</v>
      </c>
      <c r="Q571" s="132" t="str">
        <f>IFERROR(VLOOKUP(C571,TD!$B$32:$F$36,3,0)," ")</f>
        <v>4599</v>
      </c>
      <c r="R571" s="132">
        <f>IFERROR(VLOOKUP(C571,TD!$B$32:$F$36,4,0)," ")</f>
        <v>20240207</v>
      </c>
      <c r="S571" s="54" t="s">
        <v>186</v>
      </c>
      <c r="T571" s="132" t="str">
        <f>IFERROR(VLOOKUP(S571,TD!$J$33:$K$43,2,0)," ")</f>
        <v>Infraestructura física, mantenimiento y dotación (Sedes construidas, mantenidas reforzadas)</v>
      </c>
      <c r="U571" s="54" t="str">
        <f t="shared" si="32"/>
        <v>08-Infraestructura física, mantenimiento y dotación (Sedes construidas, mantenidas reforzadas)</v>
      </c>
      <c r="V571" s="54" t="s">
        <v>239</v>
      </c>
      <c r="W571" s="132" t="str">
        <f>IFERROR(VLOOKUP(V571,TD!$N$33:$O$45,2,0)," ")</f>
        <v>Sedes mantenidas</v>
      </c>
      <c r="X571" s="54" t="str">
        <f t="shared" si="33"/>
        <v>016_Sedes mantenidas</v>
      </c>
      <c r="Y571" s="54" t="str">
        <f t="shared" si="34"/>
        <v>08-Infraestructura física, mantenimiento y dotación (Sedes construidas, mantenidas reforzadas) 016_Sedes mantenidas</v>
      </c>
      <c r="Z571" s="132" t="str">
        <f t="shared" si="35"/>
        <v>O23011745992024020708016</v>
      </c>
      <c r="AA571" s="132" t="str">
        <f>IFERROR(VLOOKUP(Y571,TD!$K$46:$L$64,2,0)," ")</f>
        <v>PM/0131/0108/45990160207</v>
      </c>
      <c r="AB571" s="57" t="s">
        <v>139</v>
      </c>
      <c r="AC571" s="54" t="s">
        <v>206</v>
      </c>
    </row>
    <row r="572" spans="2:29" s="28" customFormat="1" ht="57">
      <c r="B572" s="85">
        <v>20241282</v>
      </c>
      <c r="C572" s="53" t="s">
        <v>347</v>
      </c>
      <c r="D572" s="130" t="s">
        <v>167</v>
      </c>
      <c r="E572" s="54" t="s">
        <v>839</v>
      </c>
      <c r="F572" s="130" t="s">
        <v>827</v>
      </c>
      <c r="G572" s="130" t="s">
        <v>156</v>
      </c>
      <c r="H572" s="117" t="s">
        <v>587</v>
      </c>
      <c r="I572" s="131">
        <v>10</v>
      </c>
      <c r="J572" s="131">
        <v>1</v>
      </c>
      <c r="K572" s="56">
        <v>0</v>
      </c>
      <c r="L572" s="57">
        <v>5090400</v>
      </c>
      <c r="M572" s="130" t="s">
        <v>173</v>
      </c>
      <c r="N572" s="57" t="s">
        <v>114</v>
      </c>
      <c r="O572" s="54" t="s">
        <v>348</v>
      </c>
      <c r="P572" s="132" t="str">
        <f>IFERROR(VLOOKUP(C572,TD!$B$32:$F$36,2,0)," ")</f>
        <v>NA</v>
      </c>
      <c r="Q572" s="132" t="str">
        <f>IFERROR(VLOOKUP(C572,TD!$B$32:$F$36,3,0)," ")</f>
        <v>NA</v>
      </c>
      <c r="R572" s="132" t="str">
        <f>IFERROR(VLOOKUP(C572,TD!$B$32:$F$36,4,0)," ")</f>
        <v>NA</v>
      </c>
      <c r="S572" s="54" t="s">
        <v>546</v>
      </c>
      <c r="T572" s="132" t="str">
        <f>IFERROR(VLOOKUP(S572,TD!$J$33:$K$43,2,0)," ")</f>
        <v>N/A</v>
      </c>
      <c r="U572" s="54" t="str">
        <f t="shared" si="32"/>
        <v>N/A-N/A</v>
      </c>
      <c r="V572" s="54" t="s">
        <v>546</v>
      </c>
      <c r="W572" s="132" t="str">
        <f>IFERROR(VLOOKUP(V572,TD!$N$33:$O$45,2,0)," ")</f>
        <v>N/A</v>
      </c>
      <c r="X572" s="54" t="str">
        <f t="shared" si="33"/>
        <v>N/A_N/A</v>
      </c>
      <c r="Y572" s="54" t="str">
        <f t="shared" si="34"/>
        <v>N/A-N/A N/A_N/A</v>
      </c>
      <c r="Z572" s="132" t="str">
        <f t="shared" si="35"/>
        <v>NANANAN/AN/A</v>
      </c>
      <c r="AA572" s="132" t="str">
        <f>IFERROR(VLOOKUP(Y572,TD!$K$46:$L$64,2,0)," ")</f>
        <v>N/A</v>
      </c>
      <c r="AB572" s="57" t="s">
        <v>349</v>
      </c>
      <c r="AC572" s="133" t="s">
        <v>206</v>
      </c>
    </row>
    <row r="573" spans="2:29" s="28" customFormat="1" ht="57">
      <c r="B573" s="85">
        <v>20241283</v>
      </c>
      <c r="C573" s="53" t="s">
        <v>347</v>
      </c>
      <c r="D573" s="130" t="s">
        <v>167</v>
      </c>
      <c r="E573" s="54" t="s">
        <v>839</v>
      </c>
      <c r="F573" s="130" t="s">
        <v>828</v>
      </c>
      <c r="G573" s="130" t="s">
        <v>156</v>
      </c>
      <c r="H573" s="117" t="s">
        <v>587</v>
      </c>
      <c r="I573" s="131">
        <v>10</v>
      </c>
      <c r="J573" s="131">
        <v>1</v>
      </c>
      <c r="K573" s="56">
        <v>0</v>
      </c>
      <c r="L573" s="57">
        <v>5090400</v>
      </c>
      <c r="M573" s="130" t="s">
        <v>173</v>
      </c>
      <c r="N573" s="57" t="s">
        <v>114</v>
      </c>
      <c r="O573" s="54" t="s">
        <v>348</v>
      </c>
      <c r="P573" s="132" t="str">
        <f>IFERROR(VLOOKUP(C573,TD!$B$32:$F$36,2,0)," ")</f>
        <v>NA</v>
      </c>
      <c r="Q573" s="132" t="str">
        <f>IFERROR(VLOOKUP(C573,TD!$B$32:$F$36,3,0)," ")</f>
        <v>NA</v>
      </c>
      <c r="R573" s="132" t="str">
        <f>IFERROR(VLOOKUP(C573,TD!$B$32:$F$36,4,0)," ")</f>
        <v>NA</v>
      </c>
      <c r="S573" s="54" t="s">
        <v>546</v>
      </c>
      <c r="T573" s="132" t="str">
        <f>IFERROR(VLOOKUP(S573,TD!$J$33:$K$43,2,0)," ")</f>
        <v>N/A</v>
      </c>
      <c r="U573" s="54" t="str">
        <f t="shared" si="32"/>
        <v>N/A-N/A</v>
      </c>
      <c r="V573" s="54" t="s">
        <v>546</v>
      </c>
      <c r="W573" s="132" t="str">
        <f>IFERROR(VLOOKUP(V573,TD!$N$33:$O$45,2,0)," ")</f>
        <v>N/A</v>
      </c>
      <c r="X573" s="54" t="str">
        <f t="shared" si="33"/>
        <v>N/A_N/A</v>
      </c>
      <c r="Y573" s="54" t="str">
        <f t="shared" si="34"/>
        <v>N/A-N/A N/A_N/A</v>
      </c>
      <c r="Z573" s="132" t="str">
        <f t="shared" si="35"/>
        <v>NANANAN/AN/A</v>
      </c>
      <c r="AA573" s="132" t="str">
        <f>IFERROR(VLOOKUP(Y573,TD!$K$46:$L$64,2,0)," ")</f>
        <v>N/A</v>
      </c>
      <c r="AB573" s="57" t="s">
        <v>349</v>
      </c>
      <c r="AC573" s="133" t="s">
        <v>206</v>
      </c>
    </row>
    <row r="574" spans="2:29" s="28" customFormat="1" ht="99.75">
      <c r="B574" s="85">
        <v>20241285</v>
      </c>
      <c r="C574" s="53" t="s">
        <v>209</v>
      </c>
      <c r="D574" s="130" t="s">
        <v>37</v>
      </c>
      <c r="E574" s="54" t="s">
        <v>406</v>
      </c>
      <c r="F574" s="130" t="s">
        <v>838</v>
      </c>
      <c r="G574" s="130" t="s">
        <v>157</v>
      </c>
      <c r="H574" s="117">
        <v>80111600</v>
      </c>
      <c r="I574" s="131">
        <v>10</v>
      </c>
      <c r="J574" s="131">
        <v>4</v>
      </c>
      <c r="K574" s="56">
        <v>0</v>
      </c>
      <c r="L574" s="57">
        <v>11000000</v>
      </c>
      <c r="M574" s="130" t="s">
        <v>173</v>
      </c>
      <c r="N574" s="57" t="s">
        <v>114</v>
      </c>
      <c r="O574" s="54" t="s">
        <v>213</v>
      </c>
      <c r="P574" s="132" t="str">
        <f>IFERROR(VLOOKUP(C574,TD!$B$32:$F$36,2,0)," ")</f>
        <v>O230117</v>
      </c>
      <c r="Q574" s="132" t="str">
        <f>IFERROR(VLOOKUP(C574,TD!$B$32:$F$36,3,0)," ")</f>
        <v>4599</v>
      </c>
      <c r="R574" s="132">
        <f>IFERROR(VLOOKUP(C574,TD!$B$32:$F$36,4,0)," ")</f>
        <v>20240207</v>
      </c>
      <c r="S574" s="54" t="s">
        <v>194</v>
      </c>
      <c r="T574" s="132" t="str">
        <f>IFERROR(VLOOKUP(S574,TD!$J$33:$K$43,2,0)," ")</f>
        <v>Servicios para la planeación y sistemas de gestión y comunicación estratégica</v>
      </c>
      <c r="U574" s="54" t="str">
        <f t="shared" si="32"/>
        <v>13-Servicios para la planeación y sistemas de gestión y comunicación estratégica</v>
      </c>
      <c r="V574" s="54" t="s">
        <v>242</v>
      </c>
      <c r="W574" s="132" t="str">
        <f>IFERROR(VLOOKUP(V574,TD!$N$33:$O$45,2,0)," ")</f>
        <v>Servicio de Implementación Sistemas de Gestión</v>
      </c>
      <c r="X574" s="54" t="str">
        <f t="shared" si="33"/>
        <v>023_Servicio de Implementación Sistemas de Gestión</v>
      </c>
      <c r="Y574" s="54" t="str">
        <f t="shared" si="34"/>
        <v>13-Servicios para la planeación y sistemas de gestión y comunicación estratégica 023_Servicio de Implementación Sistemas de Gestión</v>
      </c>
      <c r="Z574" s="132" t="str">
        <f t="shared" si="35"/>
        <v>O23011745992024020713023</v>
      </c>
      <c r="AA574" s="132" t="str">
        <f>IFERROR(VLOOKUP(Y574,TD!$K$46:$L$64,2,0)," ")</f>
        <v>PM/0131/0113/45990230207</v>
      </c>
      <c r="AB574" s="57" t="s">
        <v>139</v>
      </c>
      <c r="AC574" s="133" t="s">
        <v>205</v>
      </c>
    </row>
    <row r="575" spans="2:29" s="28" customFormat="1" ht="57">
      <c r="B575" s="85">
        <v>20241286</v>
      </c>
      <c r="C575" s="53" t="s">
        <v>210</v>
      </c>
      <c r="D575" s="130" t="s">
        <v>169</v>
      </c>
      <c r="E575" s="54" t="s">
        <v>804</v>
      </c>
      <c r="F575" s="130" t="s">
        <v>841</v>
      </c>
      <c r="G575" s="130" t="s">
        <v>156</v>
      </c>
      <c r="H575" s="117">
        <v>80111600</v>
      </c>
      <c r="I575" s="131">
        <v>10</v>
      </c>
      <c r="J575" s="131">
        <v>3</v>
      </c>
      <c r="K575" s="56">
        <v>0</v>
      </c>
      <c r="L575" s="57">
        <f>22200000+1800000</f>
        <v>24000000</v>
      </c>
      <c r="M575" s="130" t="s">
        <v>173</v>
      </c>
      <c r="N575" s="57" t="s">
        <v>114</v>
      </c>
      <c r="O575" s="54" t="s">
        <v>225</v>
      </c>
      <c r="P575" s="132" t="str">
        <f>IFERROR(VLOOKUP(C575,TD!$B$32:$F$36,2,0)," ")</f>
        <v>O230117</v>
      </c>
      <c r="Q575" s="132" t="str">
        <f>IFERROR(VLOOKUP(C575,TD!$B$32:$F$36,3,0)," ")</f>
        <v>4503</v>
      </c>
      <c r="R575" s="132">
        <f>IFERROR(VLOOKUP(C575,TD!$B$32:$F$36,4,0)," ")</f>
        <v>20240255</v>
      </c>
      <c r="S575" s="54" t="s">
        <v>192</v>
      </c>
      <c r="T575" s="132" t="str">
        <f>IFERROR(VLOOKUP(S575,TD!$J$33:$K$43,2,0)," ")</f>
        <v>Servicio de apoyo   logístico  en eventos operativos y/o emergencias.</v>
      </c>
      <c r="U575" s="54" t="str">
        <f t="shared" si="32"/>
        <v>12-Servicio de apoyo   logístico  en eventos operativos y/o emergencias.</v>
      </c>
      <c r="V575" s="54" t="s">
        <v>233</v>
      </c>
      <c r="W575" s="132" t="str">
        <f>IFERROR(VLOOKUP(V575,TD!$N$33:$O$45,2,0)," ")</f>
        <v>Servicio de atención a emergencias y desastres</v>
      </c>
      <c r="X575" s="54" t="str">
        <f t="shared" si="33"/>
        <v>004_Servicio de atención a emergencias y desastres</v>
      </c>
      <c r="Y575" s="54" t="str">
        <f t="shared" si="34"/>
        <v>12-Servicio de apoyo   logístico  en eventos operativos y/o emergencias. 004_Servicio de atención a emergencias y desastres</v>
      </c>
      <c r="Z575" s="132" t="str">
        <f t="shared" si="35"/>
        <v>O23011745032024025512004</v>
      </c>
      <c r="AA575" s="132" t="str">
        <f>IFERROR(VLOOKUP(Y575,TD!$K$46:$L$64,2,0)," ")</f>
        <v>PM/0131/0112/45030040255</v>
      </c>
      <c r="AB575" s="57" t="s">
        <v>139</v>
      </c>
      <c r="AC575" s="133" t="s">
        <v>205</v>
      </c>
    </row>
    <row r="576" spans="2:29" s="28" customFormat="1" ht="57">
      <c r="B576" s="85">
        <v>20241287</v>
      </c>
      <c r="C576" s="53" t="s">
        <v>210</v>
      </c>
      <c r="D576" s="130" t="s">
        <v>169</v>
      </c>
      <c r="E576" s="54" t="s">
        <v>804</v>
      </c>
      <c r="F576" s="130" t="s">
        <v>842</v>
      </c>
      <c r="G576" s="130" t="s">
        <v>156</v>
      </c>
      <c r="H576" s="117">
        <v>80111600</v>
      </c>
      <c r="I576" s="131">
        <v>10</v>
      </c>
      <c r="J576" s="131">
        <v>3</v>
      </c>
      <c r="K576" s="56">
        <v>0</v>
      </c>
      <c r="L576" s="57">
        <f>27900000-2368560</f>
        <v>25531440</v>
      </c>
      <c r="M576" s="130" t="s">
        <v>173</v>
      </c>
      <c r="N576" s="57" t="s">
        <v>114</v>
      </c>
      <c r="O576" s="54" t="s">
        <v>225</v>
      </c>
      <c r="P576" s="132" t="str">
        <f>IFERROR(VLOOKUP(C576,TD!$B$32:$F$36,2,0)," ")</f>
        <v>O230117</v>
      </c>
      <c r="Q576" s="132" t="str">
        <f>IFERROR(VLOOKUP(C576,TD!$B$32:$F$36,3,0)," ")</f>
        <v>4503</v>
      </c>
      <c r="R576" s="132">
        <f>IFERROR(VLOOKUP(C576,TD!$B$32:$F$36,4,0)," ")</f>
        <v>20240255</v>
      </c>
      <c r="S576" s="54" t="s">
        <v>192</v>
      </c>
      <c r="T576" s="132" t="str">
        <f>IFERROR(VLOOKUP(S576,TD!$J$33:$K$43,2,0)," ")</f>
        <v>Servicio de apoyo   logístico  en eventos operativos y/o emergencias.</v>
      </c>
      <c r="U576" s="54" t="str">
        <f t="shared" si="32"/>
        <v>12-Servicio de apoyo   logístico  en eventos operativos y/o emergencias.</v>
      </c>
      <c r="V576" s="54" t="s">
        <v>233</v>
      </c>
      <c r="W576" s="132" t="str">
        <f>IFERROR(VLOOKUP(V576,TD!$N$33:$O$45,2,0)," ")</f>
        <v>Servicio de atención a emergencias y desastres</v>
      </c>
      <c r="X576" s="54" t="str">
        <f t="shared" si="33"/>
        <v>004_Servicio de atención a emergencias y desastres</v>
      </c>
      <c r="Y576" s="54" t="str">
        <f t="shared" si="34"/>
        <v>12-Servicio de apoyo   logístico  en eventos operativos y/o emergencias. 004_Servicio de atención a emergencias y desastres</v>
      </c>
      <c r="Z576" s="132" t="str">
        <f t="shared" si="35"/>
        <v>O23011745032024025512004</v>
      </c>
      <c r="AA576" s="132" t="str">
        <f>IFERROR(VLOOKUP(Y576,TD!$K$46:$L$64,2,0)," ")</f>
        <v>PM/0131/0112/45030040255</v>
      </c>
      <c r="AB576" s="57" t="s">
        <v>139</v>
      </c>
      <c r="AC576" s="133" t="s">
        <v>205</v>
      </c>
    </row>
    <row r="577" spans="2:29" s="28" customFormat="1" ht="57">
      <c r="B577" s="85">
        <v>20241289</v>
      </c>
      <c r="C577" s="53" t="s">
        <v>210</v>
      </c>
      <c r="D577" s="130" t="s">
        <v>169</v>
      </c>
      <c r="E577" s="54" t="s">
        <v>804</v>
      </c>
      <c r="F577" s="130" t="s">
        <v>852</v>
      </c>
      <c r="G577" s="130" t="s">
        <v>157</v>
      </c>
      <c r="H577" s="117">
        <v>80111600</v>
      </c>
      <c r="I577" s="131">
        <v>10</v>
      </c>
      <c r="J577" s="131">
        <v>3</v>
      </c>
      <c r="K577" s="56">
        <v>0</v>
      </c>
      <c r="L577" s="57">
        <f>15600000</f>
        <v>15600000</v>
      </c>
      <c r="M577" s="130" t="s">
        <v>173</v>
      </c>
      <c r="N577" s="57" t="s">
        <v>114</v>
      </c>
      <c r="O577" s="54" t="s">
        <v>225</v>
      </c>
      <c r="P577" s="132" t="str">
        <f>IFERROR(VLOOKUP(C577,TD!$B$32:$F$36,2,0)," ")</f>
        <v>O230117</v>
      </c>
      <c r="Q577" s="132" t="str">
        <f>IFERROR(VLOOKUP(C577,TD!$B$32:$F$36,3,0)," ")</f>
        <v>4503</v>
      </c>
      <c r="R577" s="132">
        <f>IFERROR(VLOOKUP(C577,TD!$B$32:$F$36,4,0)," ")</f>
        <v>20240255</v>
      </c>
      <c r="S577" s="54" t="s">
        <v>192</v>
      </c>
      <c r="T577" s="132" t="str">
        <f>IFERROR(VLOOKUP(S577,TD!$J$33:$K$43,2,0)," ")</f>
        <v>Servicio de apoyo   logístico  en eventos operativos y/o emergencias.</v>
      </c>
      <c r="U577" s="54" t="str">
        <f t="shared" si="32"/>
        <v>12-Servicio de apoyo   logístico  en eventos operativos y/o emergencias.</v>
      </c>
      <c r="V577" s="54" t="s">
        <v>233</v>
      </c>
      <c r="W577" s="132" t="str">
        <f>IFERROR(VLOOKUP(V577,TD!$N$33:$O$45,2,0)," ")</f>
        <v>Servicio de atención a emergencias y desastres</v>
      </c>
      <c r="X577" s="54" t="str">
        <f t="shared" si="33"/>
        <v>004_Servicio de atención a emergencias y desastres</v>
      </c>
      <c r="Y577" s="54" t="str">
        <f t="shared" si="34"/>
        <v>12-Servicio de apoyo   logístico  en eventos operativos y/o emergencias. 004_Servicio de atención a emergencias y desastres</v>
      </c>
      <c r="Z577" s="132" t="str">
        <f t="shared" si="35"/>
        <v>O23011745032024025512004</v>
      </c>
      <c r="AA577" s="132" t="str">
        <f>IFERROR(VLOOKUP(Y577,TD!$K$46:$L$64,2,0)," ")</f>
        <v>PM/0131/0112/45030040255</v>
      </c>
      <c r="AB577" s="57" t="s">
        <v>139</v>
      </c>
      <c r="AC577" s="133" t="s">
        <v>205</v>
      </c>
    </row>
    <row r="578" spans="2:29" s="28" customFormat="1" ht="57">
      <c r="B578" s="85">
        <v>20241291</v>
      </c>
      <c r="C578" s="53" t="s">
        <v>209</v>
      </c>
      <c r="D578" s="130" t="s">
        <v>167</v>
      </c>
      <c r="E578" s="54" t="s">
        <v>839</v>
      </c>
      <c r="F578" s="130" t="s">
        <v>678</v>
      </c>
      <c r="G578" s="130" t="s">
        <v>157</v>
      </c>
      <c r="H578" s="117">
        <v>80111600</v>
      </c>
      <c r="I578" s="131">
        <v>10</v>
      </c>
      <c r="J578" s="131">
        <v>3</v>
      </c>
      <c r="K578" s="56">
        <v>15</v>
      </c>
      <c r="L578" s="57">
        <v>9700040</v>
      </c>
      <c r="M578" s="130" t="s">
        <v>173</v>
      </c>
      <c r="N578" s="57" t="s">
        <v>114</v>
      </c>
      <c r="O578" s="54" t="s">
        <v>219</v>
      </c>
      <c r="P578" s="132" t="str">
        <f>IFERROR(VLOOKUP(C578,TD!$B$32:$F$36,2,0)," ")</f>
        <v>O230117</v>
      </c>
      <c r="Q578" s="132" t="str">
        <f>IFERROR(VLOOKUP(C578,TD!$B$32:$F$36,3,0)," ")</f>
        <v>4599</v>
      </c>
      <c r="R578" s="132">
        <f>IFERROR(VLOOKUP(C578,TD!$B$32:$F$36,4,0)," ")</f>
        <v>20240207</v>
      </c>
      <c r="S578" s="54" t="s">
        <v>186</v>
      </c>
      <c r="T578" s="132" t="str">
        <f>IFERROR(VLOOKUP(S578,TD!$J$33:$K$43,2,0)," ")</f>
        <v>Infraestructura física, mantenimiento y dotación (Sedes construidas, mantenidas reforzadas)</v>
      </c>
      <c r="U578" s="54" t="str">
        <f t="shared" si="32"/>
        <v>08-Infraestructura física, mantenimiento y dotación (Sedes construidas, mantenidas reforzadas)</v>
      </c>
      <c r="V578" s="54" t="s">
        <v>239</v>
      </c>
      <c r="W578" s="132" t="str">
        <f>IFERROR(VLOOKUP(V578,TD!$N$33:$O$45,2,0)," ")</f>
        <v>Sedes mantenidas</v>
      </c>
      <c r="X578" s="54" t="str">
        <f t="shared" si="33"/>
        <v>016_Sedes mantenidas</v>
      </c>
      <c r="Y578" s="54" t="str">
        <f t="shared" si="34"/>
        <v>08-Infraestructura física, mantenimiento y dotación (Sedes construidas, mantenidas reforzadas) 016_Sedes mantenidas</v>
      </c>
      <c r="Z578" s="132" t="str">
        <f t="shared" si="35"/>
        <v>O23011745992024020708016</v>
      </c>
      <c r="AA578" s="132" t="str">
        <f>IFERROR(VLOOKUP(Y578,TD!$K$46:$L$64,2,0)," ")</f>
        <v>PM/0131/0108/45990160207</v>
      </c>
      <c r="AB578" s="57" t="s">
        <v>139</v>
      </c>
      <c r="AC578" s="133" t="s">
        <v>205</v>
      </c>
    </row>
    <row r="579" spans="2:29" s="28" customFormat="1" ht="57">
      <c r="B579" s="85">
        <v>20241292</v>
      </c>
      <c r="C579" s="53" t="s">
        <v>209</v>
      </c>
      <c r="D579" s="130" t="s">
        <v>167</v>
      </c>
      <c r="E579" s="54" t="s">
        <v>839</v>
      </c>
      <c r="F579" s="130" t="s">
        <v>678</v>
      </c>
      <c r="G579" s="130" t="s">
        <v>157</v>
      </c>
      <c r="H579" s="117">
        <v>80111600</v>
      </c>
      <c r="I579" s="131">
        <v>10</v>
      </c>
      <c r="J579" s="131">
        <v>3</v>
      </c>
      <c r="K579" s="56">
        <v>15</v>
      </c>
      <c r="L579" s="57">
        <v>9700040</v>
      </c>
      <c r="M579" s="130" t="s">
        <v>173</v>
      </c>
      <c r="N579" s="57" t="s">
        <v>114</v>
      </c>
      <c r="O579" s="54" t="s">
        <v>219</v>
      </c>
      <c r="P579" s="132" t="str">
        <f>IFERROR(VLOOKUP(C579,TD!$B$32:$F$36,2,0)," ")</f>
        <v>O230117</v>
      </c>
      <c r="Q579" s="132" t="str">
        <f>IFERROR(VLOOKUP(C579,TD!$B$32:$F$36,3,0)," ")</f>
        <v>4599</v>
      </c>
      <c r="R579" s="132">
        <f>IFERROR(VLOOKUP(C579,TD!$B$32:$F$36,4,0)," ")</f>
        <v>20240207</v>
      </c>
      <c r="S579" s="54" t="s">
        <v>186</v>
      </c>
      <c r="T579" s="132" t="str">
        <f>IFERROR(VLOOKUP(S579,TD!$J$33:$K$43,2,0)," ")</f>
        <v>Infraestructura física, mantenimiento y dotación (Sedes construidas, mantenidas reforzadas)</v>
      </c>
      <c r="U579" s="54" t="str">
        <f t="shared" si="32"/>
        <v>08-Infraestructura física, mantenimiento y dotación (Sedes construidas, mantenidas reforzadas)</v>
      </c>
      <c r="V579" s="54" t="s">
        <v>239</v>
      </c>
      <c r="W579" s="132" t="str">
        <f>IFERROR(VLOOKUP(V579,TD!$N$33:$O$45,2,0)," ")</f>
        <v>Sedes mantenidas</v>
      </c>
      <c r="X579" s="54" t="str">
        <f t="shared" si="33"/>
        <v>016_Sedes mantenidas</v>
      </c>
      <c r="Y579" s="54" t="str">
        <f t="shared" si="34"/>
        <v>08-Infraestructura física, mantenimiento y dotación (Sedes construidas, mantenidas reforzadas) 016_Sedes mantenidas</v>
      </c>
      <c r="Z579" s="132" t="str">
        <f t="shared" si="35"/>
        <v>O23011745992024020708016</v>
      </c>
      <c r="AA579" s="132" t="str">
        <f>IFERROR(VLOOKUP(Y579,TD!$K$46:$L$64,2,0)," ")</f>
        <v>PM/0131/0108/45990160207</v>
      </c>
      <c r="AB579" s="57" t="s">
        <v>139</v>
      </c>
      <c r="AC579" s="133" t="s">
        <v>205</v>
      </c>
    </row>
    <row r="580" spans="2:29" s="28" customFormat="1" ht="57">
      <c r="B580" s="85">
        <v>20241293</v>
      </c>
      <c r="C580" s="53" t="s">
        <v>209</v>
      </c>
      <c r="D580" s="130" t="s">
        <v>167</v>
      </c>
      <c r="E580" s="54" t="s">
        <v>839</v>
      </c>
      <c r="F580" s="130" t="s">
        <v>847</v>
      </c>
      <c r="G580" s="130" t="s">
        <v>156</v>
      </c>
      <c r="H580" s="117">
        <v>80111600</v>
      </c>
      <c r="I580" s="131">
        <v>10</v>
      </c>
      <c r="J580" s="131">
        <v>3</v>
      </c>
      <c r="K580" s="56">
        <v>15</v>
      </c>
      <c r="L580" s="57">
        <v>32465440</v>
      </c>
      <c r="M580" s="130" t="s">
        <v>173</v>
      </c>
      <c r="N580" s="57" t="s">
        <v>114</v>
      </c>
      <c r="O580" s="54" t="s">
        <v>220</v>
      </c>
      <c r="P580" s="132" t="str">
        <f>IFERROR(VLOOKUP(C580,TD!$B$32:$F$36,2,0)," ")</f>
        <v>O230117</v>
      </c>
      <c r="Q580" s="132" t="str">
        <f>IFERROR(VLOOKUP(C580,TD!$B$32:$F$36,3,0)," ")</f>
        <v>4599</v>
      </c>
      <c r="R580" s="132">
        <f>IFERROR(VLOOKUP(C580,TD!$B$32:$F$36,4,0)," ")</f>
        <v>20240207</v>
      </c>
      <c r="S580" s="54" t="s">
        <v>186</v>
      </c>
      <c r="T580" s="132" t="str">
        <f>IFERROR(VLOOKUP(S580,TD!$J$33:$K$43,2,0)," ")</f>
        <v>Infraestructura física, mantenimiento y dotación (Sedes construidas, mantenidas reforzadas)</v>
      </c>
      <c r="U580" s="54" t="str">
        <f t="shared" si="32"/>
        <v>08-Infraestructura física, mantenimiento y dotación (Sedes construidas, mantenidas reforzadas)</v>
      </c>
      <c r="V580" s="54" t="s">
        <v>239</v>
      </c>
      <c r="W580" s="132" t="str">
        <f>IFERROR(VLOOKUP(V580,TD!$N$33:$O$45,2,0)," ")</f>
        <v>Sedes mantenidas</v>
      </c>
      <c r="X580" s="54" t="str">
        <f t="shared" si="33"/>
        <v>016_Sedes mantenidas</v>
      </c>
      <c r="Y580" s="54" t="str">
        <f t="shared" si="34"/>
        <v>08-Infraestructura física, mantenimiento y dotación (Sedes construidas, mantenidas reforzadas) 016_Sedes mantenidas</v>
      </c>
      <c r="Z580" s="132" t="str">
        <f t="shared" si="35"/>
        <v>O23011745992024020708016</v>
      </c>
      <c r="AA580" s="132" t="str">
        <f>IFERROR(VLOOKUP(Y580,TD!$K$46:$L$64,2,0)," ")</f>
        <v>PM/0131/0108/45990160207</v>
      </c>
      <c r="AB580" s="57" t="s">
        <v>139</v>
      </c>
      <c r="AC580" s="133" t="s">
        <v>205</v>
      </c>
    </row>
    <row r="581" spans="2:29" s="28" customFormat="1" ht="71.25">
      <c r="B581" s="85">
        <v>20241294</v>
      </c>
      <c r="C581" s="53" t="s">
        <v>209</v>
      </c>
      <c r="D581" s="130" t="s">
        <v>167</v>
      </c>
      <c r="E581" s="54" t="s">
        <v>839</v>
      </c>
      <c r="F581" s="130" t="s">
        <v>848</v>
      </c>
      <c r="G581" s="130" t="s">
        <v>156</v>
      </c>
      <c r="H581" s="117">
        <v>80111600</v>
      </c>
      <c r="I581" s="131">
        <v>10</v>
      </c>
      <c r="J581" s="131">
        <v>3</v>
      </c>
      <c r="K581" s="56">
        <v>15</v>
      </c>
      <c r="L581" s="57">
        <v>22050000</v>
      </c>
      <c r="M581" s="130" t="s">
        <v>173</v>
      </c>
      <c r="N581" s="57" t="s">
        <v>114</v>
      </c>
      <c r="O581" s="54" t="s">
        <v>220</v>
      </c>
      <c r="P581" s="132" t="str">
        <f>IFERROR(VLOOKUP(C581,TD!$B$32:$F$36,2,0)," ")</f>
        <v>O230117</v>
      </c>
      <c r="Q581" s="132" t="str">
        <f>IFERROR(VLOOKUP(C581,TD!$B$32:$F$36,3,0)," ")</f>
        <v>4599</v>
      </c>
      <c r="R581" s="132">
        <f>IFERROR(VLOOKUP(C581,TD!$B$32:$F$36,4,0)," ")</f>
        <v>20240207</v>
      </c>
      <c r="S581" s="54" t="s">
        <v>186</v>
      </c>
      <c r="T581" s="132" t="str">
        <f>IFERROR(VLOOKUP(S581,TD!$J$33:$K$43,2,0)," ")</f>
        <v>Infraestructura física, mantenimiento y dotación (Sedes construidas, mantenidas reforzadas)</v>
      </c>
      <c r="U581" s="54" t="str">
        <f t="shared" si="32"/>
        <v>08-Infraestructura física, mantenimiento y dotación (Sedes construidas, mantenidas reforzadas)</v>
      </c>
      <c r="V581" s="54" t="s">
        <v>239</v>
      </c>
      <c r="W581" s="132" t="str">
        <f>IFERROR(VLOOKUP(V581,TD!$N$33:$O$45,2,0)," ")</f>
        <v>Sedes mantenidas</v>
      </c>
      <c r="X581" s="54" t="str">
        <f t="shared" si="33"/>
        <v>016_Sedes mantenidas</v>
      </c>
      <c r="Y581" s="54" t="str">
        <f t="shared" si="34"/>
        <v>08-Infraestructura física, mantenimiento y dotación (Sedes construidas, mantenidas reforzadas) 016_Sedes mantenidas</v>
      </c>
      <c r="Z581" s="132" t="str">
        <f t="shared" si="35"/>
        <v>O23011745992024020708016</v>
      </c>
      <c r="AA581" s="132" t="str">
        <f>IFERROR(VLOOKUP(Y581,TD!$K$46:$L$64,2,0)," ")</f>
        <v>PM/0131/0108/45990160207</v>
      </c>
      <c r="AB581" s="57" t="s">
        <v>139</v>
      </c>
      <c r="AC581" s="133" t="s">
        <v>205</v>
      </c>
    </row>
    <row r="582" spans="2:29" s="28" customFormat="1" ht="57">
      <c r="B582" s="85">
        <v>20241295</v>
      </c>
      <c r="C582" s="53" t="s">
        <v>209</v>
      </c>
      <c r="D582" s="130" t="s">
        <v>167</v>
      </c>
      <c r="E582" s="54" t="s">
        <v>839</v>
      </c>
      <c r="F582" s="130" t="s">
        <v>849</v>
      </c>
      <c r="G582" s="130" t="s">
        <v>156</v>
      </c>
      <c r="H582" s="117">
        <v>80111600</v>
      </c>
      <c r="I582" s="131">
        <v>10</v>
      </c>
      <c r="J582" s="131">
        <v>3</v>
      </c>
      <c r="K582" s="56">
        <v>15</v>
      </c>
      <c r="L582" s="57">
        <v>28902160</v>
      </c>
      <c r="M582" s="130" t="s">
        <v>173</v>
      </c>
      <c r="N582" s="57" t="s">
        <v>114</v>
      </c>
      <c r="O582" s="54" t="s">
        <v>220</v>
      </c>
      <c r="P582" s="132" t="str">
        <f>IFERROR(VLOOKUP(C582,TD!$B$32:$F$36,2,0)," ")</f>
        <v>O230117</v>
      </c>
      <c r="Q582" s="132" t="str">
        <f>IFERROR(VLOOKUP(C582,TD!$B$32:$F$36,3,0)," ")</f>
        <v>4599</v>
      </c>
      <c r="R582" s="132">
        <f>IFERROR(VLOOKUP(C582,TD!$B$32:$F$36,4,0)," ")</f>
        <v>20240207</v>
      </c>
      <c r="S582" s="54" t="s">
        <v>186</v>
      </c>
      <c r="T582" s="132" t="str">
        <f>IFERROR(VLOOKUP(S582,TD!$J$33:$K$43,2,0)," ")</f>
        <v>Infraestructura física, mantenimiento y dotación (Sedes construidas, mantenidas reforzadas)</v>
      </c>
      <c r="U582" s="54" t="str">
        <f t="shared" si="32"/>
        <v>08-Infraestructura física, mantenimiento y dotación (Sedes construidas, mantenidas reforzadas)</v>
      </c>
      <c r="V582" s="54" t="s">
        <v>239</v>
      </c>
      <c r="W582" s="132" t="str">
        <f>IFERROR(VLOOKUP(V582,TD!$N$33:$O$45,2,0)," ")</f>
        <v>Sedes mantenidas</v>
      </c>
      <c r="X582" s="54" t="str">
        <f t="shared" si="33"/>
        <v>016_Sedes mantenidas</v>
      </c>
      <c r="Y582" s="54" t="str">
        <f t="shared" si="34"/>
        <v>08-Infraestructura física, mantenimiento y dotación (Sedes construidas, mantenidas reforzadas) 016_Sedes mantenidas</v>
      </c>
      <c r="Z582" s="132" t="str">
        <f t="shared" si="35"/>
        <v>O23011745992024020708016</v>
      </c>
      <c r="AA582" s="132" t="str">
        <f>IFERROR(VLOOKUP(Y582,TD!$K$46:$L$64,2,0)," ")</f>
        <v>PM/0131/0108/45990160207</v>
      </c>
      <c r="AB582" s="57" t="s">
        <v>121</v>
      </c>
      <c r="AC582" s="133" t="s">
        <v>205</v>
      </c>
    </row>
    <row r="583" spans="2:29" s="28" customFormat="1" ht="71.25">
      <c r="B583" s="85">
        <v>20241296</v>
      </c>
      <c r="C583" s="53" t="s">
        <v>209</v>
      </c>
      <c r="D583" s="130" t="s">
        <v>167</v>
      </c>
      <c r="E583" s="54" t="s">
        <v>839</v>
      </c>
      <c r="F583" s="130" t="s">
        <v>850</v>
      </c>
      <c r="G583" s="130" t="s">
        <v>157</v>
      </c>
      <c r="H583" s="117">
        <v>80111600</v>
      </c>
      <c r="I583" s="131">
        <v>10</v>
      </c>
      <c r="J583" s="131">
        <v>3</v>
      </c>
      <c r="K583" s="56">
        <v>15</v>
      </c>
      <c r="L583" s="57">
        <v>12669440</v>
      </c>
      <c r="M583" s="130" t="s">
        <v>173</v>
      </c>
      <c r="N583" s="57" t="s">
        <v>114</v>
      </c>
      <c r="O583" s="54" t="s">
        <v>220</v>
      </c>
      <c r="P583" s="132" t="str">
        <f>IFERROR(VLOOKUP(C583,TD!$B$32:$F$36,2,0)," ")</f>
        <v>O230117</v>
      </c>
      <c r="Q583" s="132" t="str">
        <f>IFERROR(VLOOKUP(C583,TD!$B$32:$F$36,3,0)," ")</f>
        <v>4599</v>
      </c>
      <c r="R583" s="132">
        <f>IFERROR(VLOOKUP(C583,TD!$B$32:$F$36,4,0)," ")</f>
        <v>20240207</v>
      </c>
      <c r="S583" s="54" t="s">
        <v>186</v>
      </c>
      <c r="T583" s="132" t="str">
        <f>IFERROR(VLOOKUP(S583,TD!$J$33:$K$43,2,0)," ")</f>
        <v>Infraestructura física, mantenimiento y dotación (Sedes construidas, mantenidas reforzadas)</v>
      </c>
      <c r="U583" s="54" t="str">
        <f t="shared" si="32"/>
        <v>08-Infraestructura física, mantenimiento y dotación (Sedes construidas, mantenidas reforzadas)</v>
      </c>
      <c r="V583" s="54" t="s">
        <v>239</v>
      </c>
      <c r="W583" s="132" t="str">
        <f>IFERROR(VLOOKUP(V583,TD!$N$33:$O$45,2,0)," ")</f>
        <v>Sedes mantenidas</v>
      </c>
      <c r="X583" s="54" t="str">
        <f t="shared" si="33"/>
        <v>016_Sedes mantenidas</v>
      </c>
      <c r="Y583" s="54" t="str">
        <f t="shared" si="34"/>
        <v>08-Infraestructura física, mantenimiento y dotación (Sedes construidas, mantenidas reforzadas) 016_Sedes mantenidas</v>
      </c>
      <c r="Z583" s="132" t="str">
        <f t="shared" si="35"/>
        <v>O23011745992024020708016</v>
      </c>
      <c r="AA583" s="132" t="str">
        <f>IFERROR(VLOOKUP(Y583,TD!$K$46:$L$64,2,0)," ")</f>
        <v>PM/0131/0108/45990160207</v>
      </c>
      <c r="AB583" s="57" t="s">
        <v>139</v>
      </c>
      <c r="AC583" s="133" t="s">
        <v>205</v>
      </c>
    </row>
    <row r="584" spans="2:29" s="28" customFormat="1" ht="57">
      <c r="B584" s="85">
        <v>20241297</v>
      </c>
      <c r="C584" s="53" t="s">
        <v>210</v>
      </c>
      <c r="D584" s="130" t="s">
        <v>169</v>
      </c>
      <c r="E584" s="54" t="s">
        <v>804</v>
      </c>
      <c r="F584" s="130" t="s">
        <v>855</v>
      </c>
      <c r="G584" s="130" t="s">
        <v>157</v>
      </c>
      <c r="H584" s="117">
        <v>80111600</v>
      </c>
      <c r="I584" s="131">
        <v>10</v>
      </c>
      <c r="J584" s="131">
        <v>3</v>
      </c>
      <c r="K584" s="56">
        <v>0</v>
      </c>
      <c r="L584" s="57">
        <f>12000000</f>
        <v>12000000</v>
      </c>
      <c r="M584" s="130" t="s">
        <v>173</v>
      </c>
      <c r="N584" s="57" t="s">
        <v>114</v>
      </c>
      <c r="O584" s="54" t="s">
        <v>225</v>
      </c>
      <c r="P584" s="132" t="str">
        <f>IFERROR(VLOOKUP(C584,TD!$B$32:$F$36,2,0)," ")</f>
        <v>O230117</v>
      </c>
      <c r="Q584" s="132" t="str">
        <f>IFERROR(VLOOKUP(C584,TD!$B$32:$F$36,3,0)," ")</f>
        <v>4503</v>
      </c>
      <c r="R584" s="132">
        <f>IFERROR(VLOOKUP(C584,TD!$B$32:$F$36,4,0)," ")</f>
        <v>20240255</v>
      </c>
      <c r="S584" s="54" t="s">
        <v>192</v>
      </c>
      <c r="T584" s="132" t="str">
        <f>IFERROR(VLOOKUP(S584,TD!$J$33:$K$43,2,0)," ")</f>
        <v>Servicio de apoyo   logístico  en eventos operativos y/o emergencias.</v>
      </c>
      <c r="U584" s="54" t="str">
        <f t="shared" si="32"/>
        <v>12-Servicio de apoyo   logístico  en eventos operativos y/o emergencias.</v>
      </c>
      <c r="V584" s="54" t="s">
        <v>233</v>
      </c>
      <c r="W584" s="132" t="str">
        <f>IFERROR(VLOOKUP(V584,TD!$N$33:$O$45,2,0)," ")</f>
        <v>Servicio de atención a emergencias y desastres</v>
      </c>
      <c r="X584" s="54" t="str">
        <f t="shared" si="33"/>
        <v>004_Servicio de atención a emergencias y desastres</v>
      </c>
      <c r="Y584" s="54" t="str">
        <f t="shared" si="34"/>
        <v>12-Servicio de apoyo   logístico  en eventos operativos y/o emergencias. 004_Servicio de atención a emergencias y desastres</v>
      </c>
      <c r="Z584" s="132" t="str">
        <f t="shared" si="35"/>
        <v>O23011745032024025512004</v>
      </c>
      <c r="AA584" s="132" t="str">
        <f>IFERROR(VLOOKUP(Y584,TD!$K$46:$L$64,2,0)," ")</f>
        <v>PM/0131/0112/45030040255</v>
      </c>
      <c r="AB584" s="57" t="s">
        <v>139</v>
      </c>
      <c r="AC584" s="133" t="s">
        <v>205</v>
      </c>
    </row>
    <row r="585" spans="2:29" s="28" customFormat="1" ht="57">
      <c r="B585" s="85">
        <v>20241299</v>
      </c>
      <c r="C585" s="53" t="s">
        <v>209</v>
      </c>
      <c r="D585" s="130" t="s">
        <v>162</v>
      </c>
      <c r="E585" s="54" t="s">
        <v>364</v>
      </c>
      <c r="F585" s="130" t="s">
        <v>856</v>
      </c>
      <c r="G585" s="130" t="s">
        <v>157</v>
      </c>
      <c r="H585" s="117">
        <v>80111600</v>
      </c>
      <c r="I585" s="131">
        <v>10</v>
      </c>
      <c r="J585" s="131">
        <v>3</v>
      </c>
      <c r="K585" s="56">
        <v>0</v>
      </c>
      <c r="L585" s="57">
        <v>7500000</v>
      </c>
      <c r="M585" s="130" t="s">
        <v>173</v>
      </c>
      <c r="N585" s="57" t="s">
        <v>114</v>
      </c>
      <c r="O585" s="54" t="s">
        <v>221</v>
      </c>
      <c r="P585" s="132" t="str">
        <f>IFERROR(VLOOKUP(C585,TD!$B$32:$F$36,2,0)," ")</f>
        <v>O230117</v>
      </c>
      <c r="Q585" s="132" t="str">
        <f>IFERROR(VLOOKUP(C585,TD!$B$32:$F$36,3,0)," ")</f>
        <v>4599</v>
      </c>
      <c r="R585" s="132">
        <f>IFERROR(VLOOKUP(C585,TD!$B$32:$F$36,4,0)," ")</f>
        <v>20240207</v>
      </c>
      <c r="S585" s="54" t="s">
        <v>194</v>
      </c>
      <c r="T585" s="132" t="str">
        <f>IFERROR(VLOOKUP(S585,TD!$J$33:$K$43,2,0)," ")</f>
        <v>Servicios para la planeación y sistemas de gestión y comunicación estratégica</v>
      </c>
      <c r="U585" s="54" t="str">
        <f t="shared" si="32"/>
        <v>13-Servicios para la planeación y sistemas de gestión y comunicación estratégica</v>
      </c>
      <c r="V585" s="54" t="s">
        <v>243</v>
      </c>
      <c r="W585" s="132" t="str">
        <f>IFERROR(VLOOKUP(V585,TD!$N$33:$O$45,2,0)," ")</f>
        <v>Documentos de planeación</v>
      </c>
      <c r="X585" s="54" t="str">
        <f t="shared" si="33"/>
        <v>019_Documentos de planeación</v>
      </c>
      <c r="Y585" s="54" t="str">
        <f t="shared" si="34"/>
        <v>13-Servicios para la planeación y sistemas de gestión y comunicación estratégica 019_Documentos de planeación</v>
      </c>
      <c r="Z585" s="132" t="str">
        <f t="shared" si="35"/>
        <v>O23011745992024020713019</v>
      </c>
      <c r="AA585" s="132" t="str">
        <f>IFERROR(VLOOKUP(Y585,TD!$K$46:$L$64,2,0)," ")</f>
        <v>PM/0131/0113/45990190207</v>
      </c>
      <c r="AB585" s="57" t="s">
        <v>139</v>
      </c>
      <c r="AC585" s="133" t="s">
        <v>205</v>
      </c>
    </row>
    <row r="586" spans="2:29" s="28" customFormat="1" ht="57">
      <c r="B586" s="85">
        <v>20241300</v>
      </c>
      <c r="C586" s="53" t="s">
        <v>210</v>
      </c>
      <c r="D586" s="130" t="s">
        <v>166</v>
      </c>
      <c r="E586" s="54" t="s">
        <v>857</v>
      </c>
      <c r="F586" s="130" t="s">
        <v>858</v>
      </c>
      <c r="G586" s="130" t="s">
        <v>156</v>
      </c>
      <c r="H586" s="117">
        <v>80111600</v>
      </c>
      <c r="I586" s="131">
        <v>10</v>
      </c>
      <c r="J586" s="131">
        <v>3</v>
      </c>
      <c r="K586" s="56">
        <v>15</v>
      </c>
      <c r="L586" s="57">
        <v>24500000</v>
      </c>
      <c r="M586" s="130" t="s">
        <v>173</v>
      </c>
      <c r="N586" s="57" t="s">
        <v>114</v>
      </c>
      <c r="O586" s="54" t="s">
        <v>230</v>
      </c>
      <c r="P586" s="132" t="str">
        <f>IFERROR(VLOOKUP(C586,TD!$B$32:$F$36,2,0)," ")</f>
        <v>O230117</v>
      </c>
      <c r="Q586" s="132" t="str">
        <f>IFERROR(VLOOKUP(C586,TD!$B$32:$F$36,3,0)," ")</f>
        <v>4503</v>
      </c>
      <c r="R586" s="132">
        <f>IFERROR(VLOOKUP(C586,TD!$B$32:$F$36,4,0)," ")</f>
        <v>20240255</v>
      </c>
      <c r="S586" s="54" t="s">
        <v>184</v>
      </c>
      <c r="T586" s="132" t="str">
        <f>IFERROR(VLOOKUP(S586,TD!$J$33:$K$43,2,0)," ")</f>
        <v>Servicio de formación en gestión del riesgo de incendios para el personal UAECOB</v>
      </c>
      <c r="U586" s="54" t="str">
        <f t="shared" si="32"/>
        <v>07-Servicio de formación en gestión del riesgo de incendios para el personal UAECOB</v>
      </c>
      <c r="V586" s="54" t="s">
        <v>234</v>
      </c>
      <c r="W586" s="132" t="str">
        <f>IFERROR(VLOOKUP(V586,TD!$N$33:$O$45,2,0)," ")</f>
        <v>Servicio de educación informal</v>
      </c>
      <c r="X586" s="54" t="str">
        <f t="shared" si="33"/>
        <v>002_Servicio de educación informal</v>
      </c>
      <c r="Y586" s="54" t="str">
        <f t="shared" si="34"/>
        <v>07-Servicio de formación en gestión del riesgo de incendios para el personal UAECOB 002_Servicio de educación informal</v>
      </c>
      <c r="Z586" s="132" t="str">
        <f t="shared" si="35"/>
        <v>O23011745032024025507002</v>
      </c>
      <c r="AA586" s="132" t="str">
        <f>IFERROR(VLOOKUP(Y586,TD!$K$46:$L$64,2,0)," ")</f>
        <v>PM/0131/0107/45030020255</v>
      </c>
      <c r="AB586" s="57" t="s">
        <v>139</v>
      </c>
      <c r="AC586" s="133" t="s">
        <v>205</v>
      </c>
    </row>
    <row r="587" spans="2:29" s="28" customFormat="1">
      <c r="B587" s="85"/>
      <c r="C587" s="53"/>
      <c r="D587" s="130"/>
      <c r="E587" s="54"/>
      <c r="F587" s="130"/>
      <c r="G587" s="130"/>
      <c r="H587" s="55"/>
      <c r="I587" s="135"/>
      <c r="J587" s="131"/>
      <c r="K587" s="56"/>
      <c r="L587" s="57"/>
      <c r="M587" s="130"/>
      <c r="N587" s="57"/>
      <c r="O587" s="54"/>
      <c r="P587" s="132" t="str">
        <f>IFERROR(VLOOKUP(C587,TD!$B$32:$F$36,2,0)," ")</f>
        <v xml:space="preserve"> </v>
      </c>
      <c r="Q587" s="132" t="str">
        <f>IFERROR(VLOOKUP(C587,TD!$B$32:$F$36,3,0)," ")</f>
        <v xml:space="preserve"> </v>
      </c>
      <c r="R587" s="132" t="str">
        <f>IFERROR(VLOOKUP(C587,TD!$B$32:$F$36,4,0)," ")</f>
        <v xml:space="preserve"> </v>
      </c>
      <c r="S587" s="54"/>
      <c r="T587" s="132" t="str">
        <f>IFERROR(VLOOKUP(S587,TD!$J$33:$K$43,2,0)," ")</f>
        <v xml:space="preserve"> </v>
      </c>
      <c r="U587" s="54" t="str">
        <f t="shared" ref="U587:U650" si="36">CONCATENATE(S587,"-",T587)</f>
        <v xml:space="preserve">- </v>
      </c>
      <c r="V587" s="54"/>
      <c r="W587" s="132" t="str">
        <f>IFERROR(VLOOKUP(V587,TD!$N$33:$O$45,2,0)," ")</f>
        <v xml:space="preserve"> </v>
      </c>
      <c r="X587" s="54" t="str">
        <f t="shared" ref="X587:X650" si="37">CONCATENATE(V587,"_",W587)</f>
        <v xml:space="preserve">_ </v>
      </c>
      <c r="Y587" s="54" t="str">
        <f t="shared" ref="Y587:Y650" si="38">CONCATENATE(U587," ",X587)</f>
        <v xml:space="preserve">-  _ </v>
      </c>
      <c r="Z587" s="132" t="str">
        <f t="shared" ref="Z587:Z650" si="39">CONCATENATE(P587,Q587,R587,S587,V587)</f>
        <v xml:space="preserve">   </v>
      </c>
      <c r="AA587" s="132" t="str">
        <f>IFERROR(VLOOKUP(Y587,TD!$K$46:$L$64,2,0)," ")</f>
        <v xml:space="preserve"> </v>
      </c>
      <c r="AB587" s="57"/>
      <c r="AC587" s="133"/>
    </row>
    <row r="588" spans="2:29" s="28" customFormat="1">
      <c r="B588" s="85"/>
      <c r="C588" s="53"/>
      <c r="D588" s="130"/>
      <c r="E588" s="54"/>
      <c r="F588" s="130"/>
      <c r="G588" s="130"/>
      <c r="H588" s="55"/>
      <c r="I588" s="135"/>
      <c r="J588" s="131"/>
      <c r="K588" s="56"/>
      <c r="L588" s="57"/>
      <c r="M588" s="130"/>
      <c r="N588" s="57"/>
      <c r="O588" s="54"/>
      <c r="P588" s="132" t="str">
        <f>IFERROR(VLOOKUP(C588,TD!$B$32:$F$36,2,0)," ")</f>
        <v xml:space="preserve"> </v>
      </c>
      <c r="Q588" s="132" t="str">
        <f>IFERROR(VLOOKUP(C588,TD!$B$32:$F$36,3,0)," ")</f>
        <v xml:space="preserve"> </v>
      </c>
      <c r="R588" s="132" t="str">
        <f>IFERROR(VLOOKUP(C588,TD!$B$32:$F$36,4,0)," ")</f>
        <v xml:space="preserve"> </v>
      </c>
      <c r="S588" s="54"/>
      <c r="T588" s="132" t="str">
        <f>IFERROR(VLOOKUP(S588,TD!$J$33:$K$43,2,0)," ")</f>
        <v xml:space="preserve"> </v>
      </c>
      <c r="U588" s="54" t="str">
        <f t="shared" si="36"/>
        <v xml:space="preserve">- </v>
      </c>
      <c r="V588" s="54"/>
      <c r="W588" s="132" t="str">
        <f>IFERROR(VLOOKUP(V588,TD!$N$33:$O$45,2,0)," ")</f>
        <v xml:space="preserve"> </v>
      </c>
      <c r="X588" s="54" t="str">
        <f t="shared" si="37"/>
        <v xml:space="preserve">_ </v>
      </c>
      <c r="Y588" s="54" t="str">
        <f t="shared" si="38"/>
        <v xml:space="preserve">-  _ </v>
      </c>
      <c r="Z588" s="132" t="str">
        <f t="shared" si="39"/>
        <v xml:space="preserve">   </v>
      </c>
      <c r="AA588" s="132" t="str">
        <f>IFERROR(VLOOKUP(Y588,TD!$K$46:$L$64,2,0)," ")</f>
        <v xml:space="preserve"> </v>
      </c>
      <c r="AB588" s="57"/>
      <c r="AC588" s="133"/>
    </row>
    <row r="589" spans="2:29" s="28" customFormat="1">
      <c r="B589" s="85"/>
      <c r="C589" s="53"/>
      <c r="D589" s="130"/>
      <c r="E589" s="54"/>
      <c r="F589" s="130"/>
      <c r="G589" s="130"/>
      <c r="H589" s="55"/>
      <c r="I589" s="135"/>
      <c r="J589" s="131"/>
      <c r="K589" s="56"/>
      <c r="L589" s="57"/>
      <c r="M589" s="130"/>
      <c r="N589" s="57"/>
      <c r="O589" s="54"/>
      <c r="P589" s="132" t="str">
        <f>IFERROR(VLOOKUP(C589,TD!$B$32:$F$36,2,0)," ")</f>
        <v xml:space="preserve"> </v>
      </c>
      <c r="Q589" s="132" t="str">
        <f>IFERROR(VLOOKUP(C589,TD!$B$32:$F$36,3,0)," ")</f>
        <v xml:space="preserve"> </v>
      </c>
      <c r="R589" s="132" t="str">
        <f>IFERROR(VLOOKUP(C589,TD!$B$32:$F$36,4,0)," ")</f>
        <v xml:space="preserve"> </v>
      </c>
      <c r="S589" s="54"/>
      <c r="T589" s="132" t="str">
        <f>IFERROR(VLOOKUP(S589,TD!$J$33:$K$43,2,0)," ")</f>
        <v xml:space="preserve"> </v>
      </c>
      <c r="U589" s="54" t="str">
        <f t="shared" si="36"/>
        <v xml:space="preserve">- </v>
      </c>
      <c r="V589" s="54"/>
      <c r="W589" s="132" t="str">
        <f>IFERROR(VLOOKUP(V589,TD!$N$33:$O$45,2,0)," ")</f>
        <v xml:space="preserve"> </v>
      </c>
      <c r="X589" s="54" t="str">
        <f t="shared" si="37"/>
        <v xml:space="preserve">_ </v>
      </c>
      <c r="Y589" s="54" t="str">
        <f t="shared" si="38"/>
        <v xml:space="preserve">-  _ </v>
      </c>
      <c r="Z589" s="132" t="str">
        <f t="shared" si="39"/>
        <v xml:space="preserve">   </v>
      </c>
      <c r="AA589" s="132" t="str">
        <f>IFERROR(VLOOKUP(Y589,TD!$K$46:$L$64,2,0)," ")</f>
        <v xml:space="preserve"> </v>
      </c>
      <c r="AB589" s="57"/>
      <c r="AC589" s="133"/>
    </row>
    <row r="590" spans="2:29" s="28" customFormat="1">
      <c r="B590" s="85"/>
      <c r="C590" s="53"/>
      <c r="D590" s="130"/>
      <c r="E590" s="54"/>
      <c r="F590" s="130"/>
      <c r="G590" s="130"/>
      <c r="H590" s="55"/>
      <c r="I590" s="135"/>
      <c r="J590" s="131"/>
      <c r="K590" s="56"/>
      <c r="L590" s="57"/>
      <c r="M590" s="130"/>
      <c r="N590" s="57"/>
      <c r="O590" s="54"/>
      <c r="P590" s="132" t="str">
        <f>IFERROR(VLOOKUP(C590,TD!$B$32:$F$36,2,0)," ")</f>
        <v xml:space="preserve"> </v>
      </c>
      <c r="Q590" s="132" t="str">
        <f>IFERROR(VLOOKUP(C590,TD!$B$32:$F$36,3,0)," ")</f>
        <v xml:space="preserve"> </v>
      </c>
      <c r="R590" s="132" t="str">
        <f>IFERROR(VLOOKUP(C590,TD!$B$32:$F$36,4,0)," ")</f>
        <v xml:space="preserve"> </v>
      </c>
      <c r="S590" s="54"/>
      <c r="T590" s="132" t="str">
        <f>IFERROR(VLOOKUP(S590,TD!$J$33:$K$43,2,0)," ")</f>
        <v xml:space="preserve"> </v>
      </c>
      <c r="U590" s="54" t="str">
        <f t="shared" si="36"/>
        <v xml:space="preserve">- </v>
      </c>
      <c r="V590" s="54"/>
      <c r="W590" s="132" t="str">
        <f>IFERROR(VLOOKUP(V590,TD!$N$33:$O$45,2,0)," ")</f>
        <v xml:space="preserve"> </v>
      </c>
      <c r="X590" s="54" t="str">
        <f t="shared" si="37"/>
        <v xml:space="preserve">_ </v>
      </c>
      <c r="Y590" s="54" t="str">
        <f t="shared" si="38"/>
        <v xml:space="preserve">-  _ </v>
      </c>
      <c r="Z590" s="132" t="str">
        <f t="shared" si="39"/>
        <v xml:space="preserve">   </v>
      </c>
      <c r="AA590" s="132" t="str">
        <f>IFERROR(VLOOKUP(Y590,TD!$K$46:$L$64,2,0)," ")</f>
        <v xml:space="preserve"> </v>
      </c>
      <c r="AB590" s="57"/>
      <c r="AC590" s="133"/>
    </row>
    <row r="591" spans="2:29" s="28" customFormat="1">
      <c r="B591" s="85"/>
      <c r="C591" s="53"/>
      <c r="D591" s="130"/>
      <c r="E591" s="54"/>
      <c r="F591" s="130"/>
      <c r="G591" s="130"/>
      <c r="H591" s="55"/>
      <c r="I591" s="135"/>
      <c r="J591" s="131"/>
      <c r="K591" s="56"/>
      <c r="L591" s="57"/>
      <c r="M591" s="130"/>
      <c r="N591" s="57"/>
      <c r="O591" s="54"/>
      <c r="P591" s="132" t="str">
        <f>IFERROR(VLOOKUP(C591,TD!$B$32:$F$36,2,0)," ")</f>
        <v xml:space="preserve"> </v>
      </c>
      <c r="Q591" s="132" t="str">
        <f>IFERROR(VLOOKUP(C591,TD!$B$32:$F$36,3,0)," ")</f>
        <v xml:space="preserve"> </v>
      </c>
      <c r="R591" s="132" t="str">
        <f>IFERROR(VLOOKUP(C591,TD!$B$32:$F$36,4,0)," ")</f>
        <v xml:space="preserve"> </v>
      </c>
      <c r="S591" s="54"/>
      <c r="T591" s="132" t="str">
        <f>IFERROR(VLOOKUP(S591,TD!$J$33:$K$43,2,0)," ")</f>
        <v xml:space="preserve"> </v>
      </c>
      <c r="U591" s="54" t="str">
        <f t="shared" si="36"/>
        <v xml:space="preserve">- </v>
      </c>
      <c r="V591" s="54"/>
      <c r="W591" s="132" t="str">
        <f>IFERROR(VLOOKUP(V591,TD!$N$33:$O$45,2,0)," ")</f>
        <v xml:space="preserve"> </v>
      </c>
      <c r="X591" s="54" t="str">
        <f t="shared" si="37"/>
        <v xml:space="preserve">_ </v>
      </c>
      <c r="Y591" s="54" t="str">
        <f t="shared" si="38"/>
        <v xml:space="preserve">-  _ </v>
      </c>
      <c r="Z591" s="132" t="str">
        <f t="shared" si="39"/>
        <v xml:space="preserve">   </v>
      </c>
      <c r="AA591" s="132" t="str">
        <f>IFERROR(VLOOKUP(Y591,TD!$K$46:$L$64,2,0)," ")</f>
        <v xml:space="preserve"> </v>
      </c>
      <c r="AB591" s="57"/>
      <c r="AC591" s="133"/>
    </row>
    <row r="592" spans="2:29" s="28" customFormat="1">
      <c r="B592" s="85"/>
      <c r="C592" s="53"/>
      <c r="D592" s="130"/>
      <c r="E592" s="54"/>
      <c r="F592" s="130"/>
      <c r="G592" s="130"/>
      <c r="H592" s="55"/>
      <c r="I592" s="135"/>
      <c r="J592" s="131"/>
      <c r="K592" s="56"/>
      <c r="L592" s="57"/>
      <c r="M592" s="130"/>
      <c r="N592" s="57"/>
      <c r="O592" s="54"/>
      <c r="P592" s="132" t="str">
        <f>IFERROR(VLOOKUP(C592,TD!$B$32:$F$36,2,0)," ")</f>
        <v xml:space="preserve"> </v>
      </c>
      <c r="Q592" s="132" t="str">
        <f>IFERROR(VLOOKUP(C592,TD!$B$32:$F$36,3,0)," ")</f>
        <v xml:space="preserve"> </v>
      </c>
      <c r="R592" s="132" t="str">
        <f>IFERROR(VLOOKUP(C592,TD!$B$32:$F$36,4,0)," ")</f>
        <v xml:space="preserve"> </v>
      </c>
      <c r="S592" s="54"/>
      <c r="T592" s="132" t="str">
        <f>IFERROR(VLOOKUP(S592,TD!$J$33:$K$43,2,0)," ")</f>
        <v xml:space="preserve"> </v>
      </c>
      <c r="U592" s="54" t="str">
        <f t="shared" si="36"/>
        <v xml:space="preserve">- </v>
      </c>
      <c r="V592" s="54"/>
      <c r="W592" s="132" t="str">
        <f>IFERROR(VLOOKUP(V592,TD!$N$33:$O$45,2,0)," ")</f>
        <v xml:space="preserve"> </v>
      </c>
      <c r="X592" s="54" t="str">
        <f t="shared" si="37"/>
        <v xml:space="preserve">_ </v>
      </c>
      <c r="Y592" s="54" t="str">
        <f t="shared" si="38"/>
        <v xml:space="preserve">-  _ </v>
      </c>
      <c r="Z592" s="132" t="str">
        <f t="shared" si="39"/>
        <v xml:space="preserve">   </v>
      </c>
      <c r="AA592" s="132" t="str">
        <f>IFERROR(VLOOKUP(Y592,TD!$K$46:$L$64,2,0)," ")</f>
        <v xml:space="preserve"> </v>
      </c>
      <c r="AB592" s="57"/>
      <c r="AC592" s="133"/>
    </row>
    <row r="593" spans="2:29" s="28" customFormat="1">
      <c r="B593" s="85"/>
      <c r="C593" s="53"/>
      <c r="D593" s="130"/>
      <c r="E593" s="54"/>
      <c r="F593" s="130"/>
      <c r="G593" s="130"/>
      <c r="H593" s="55"/>
      <c r="I593" s="135"/>
      <c r="J593" s="131"/>
      <c r="K593" s="56"/>
      <c r="L593" s="57"/>
      <c r="M593" s="130"/>
      <c r="N593" s="57"/>
      <c r="O593" s="54"/>
      <c r="P593" s="132" t="str">
        <f>IFERROR(VLOOKUP(C593,TD!$B$32:$F$36,2,0)," ")</f>
        <v xml:space="preserve"> </v>
      </c>
      <c r="Q593" s="132" t="str">
        <f>IFERROR(VLOOKUP(C593,TD!$B$32:$F$36,3,0)," ")</f>
        <v xml:space="preserve"> </v>
      </c>
      <c r="R593" s="132" t="str">
        <f>IFERROR(VLOOKUP(C593,TD!$B$32:$F$36,4,0)," ")</f>
        <v xml:space="preserve"> </v>
      </c>
      <c r="S593" s="54"/>
      <c r="T593" s="132" t="str">
        <f>IFERROR(VLOOKUP(S593,TD!$J$33:$K$43,2,0)," ")</f>
        <v xml:space="preserve"> </v>
      </c>
      <c r="U593" s="54" t="str">
        <f t="shared" si="36"/>
        <v xml:space="preserve">- </v>
      </c>
      <c r="V593" s="54"/>
      <c r="W593" s="132" t="str">
        <f>IFERROR(VLOOKUP(V593,TD!$N$33:$O$45,2,0)," ")</f>
        <v xml:space="preserve"> </v>
      </c>
      <c r="X593" s="54" t="str">
        <f t="shared" si="37"/>
        <v xml:space="preserve">_ </v>
      </c>
      <c r="Y593" s="54" t="str">
        <f t="shared" si="38"/>
        <v xml:space="preserve">-  _ </v>
      </c>
      <c r="Z593" s="132" t="str">
        <f t="shared" si="39"/>
        <v xml:space="preserve">   </v>
      </c>
      <c r="AA593" s="132" t="str">
        <f>IFERROR(VLOOKUP(Y593,TD!$K$46:$L$64,2,0)," ")</f>
        <v xml:space="preserve"> </v>
      </c>
      <c r="AB593" s="57"/>
      <c r="AC593" s="133"/>
    </row>
    <row r="594" spans="2:29" s="28" customFormat="1">
      <c r="B594" s="85"/>
      <c r="C594" s="53"/>
      <c r="D594" s="130"/>
      <c r="E594" s="54"/>
      <c r="F594" s="130"/>
      <c r="G594" s="130"/>
      <c r="H594" s="55"/>
      <c r="I594" s="135"/>
      <c r="J594" s="131"/>
      <c r="K594" s="56"/>
      <c r="L594" s="57"/>
      <c r="M594" s="130"/>
      <c r="N594" s="57"/>
      <c r="O594" s="54"/>
      <c r="P594" s="132" t="str">
        <f>IFERROR(VLOOKUP(C594,TD!$B$32:$F$36,2,0)," ")</f>
        <v xml:space="preserve"> </v>
      </c>
      <c r="Q594" s="132" t="str">
        <f>IFERROR(VLOOKUP(C594,TD!$B$32:$F$36,3,0)," ")</f>
        <v xml:space="preserve"> </v>
      </c>
      <c r="R594" s="132" t="str">
        <f>IFERROR(VLOOKUP(C594,TD!$B$32:$F$36,4,0)," ")</f>
        <v xml:space="preserve"> </v>
      </c>
      <c r="S594" s="54"/>
      <c r="T594" s="132" t="str">
        <f>IFERROR(VLOOKUP(S594,TD!$J$33:$K$43,2,0)," ")</f>
        <v xml:space="preserve"> </v>
      </c>
      <c r="U594" s="54" t="str">
        <f t="shared" si="36"/>
        <v xml:space="preserve">- </v>
      </c>
      <c r="V594" s="54"/>
      <c r="W594" s="132" t="str">
        <f>IFERROR(VLOOKUP(V594,TD!$N$33:$O$45,2,0)," ")</f>
        <v xml:space="preserve"> </v>
      </c>
      <c r="X594" s="54" t="str">
        <f t="shared" si="37"/>
        <v xml:space="preserve">_ </v>
      </c>
      <c r="Y594" s="54" t="str">
        <f t="shared" si="38"/>
        <v xml:space="preserve">-  _ </v>
      </c>
      <c r="Z594" s="132" t="str">
        <f t="shared" si="39"/>
        <v xml:space="preserve">   </v>
      </c>
      <c r="AA594" s="132" t="str">
        <f>IFERROR(VLOOKUP(Y594,TD!$K$46:$L$64,2,0)," ")</f>
        <v xml:space="preserve"> </v>
      </c>
      <c r="AB594" s="57"/>
      <c r="AC594" s="133"/>
    </row>
    <row r="595" spans="2:29" s="28" customFormat="1">
      <c r="B595" s="85"/>
      <c r="C595" s="53"/>
      <c r="D595" s="130"/>
      <c r="E595" s="54"/>
      <c r="F595" s="130"/>
      <c r="G595" s="130"/>
      <c r="H595" s="55"/>
      <c r="I595" s="135"/>
      <c r="J595" s="131"/>
      <c r="K595" s="56"/>
      <c r="L595" s="57"/>
      <c r="M595" s="130"/>
      <c r="N595" s="57"/>
      <c r="O595" s="54"/>
      <c r="P595" s="132" t="str">
        <f>IFERROR(VLOOKUP(C595,TD!$B$32:$F$36,2,0)," ")</f>
        <v xml:space="preserve"> </v>
      </c>
      <c r="Q595" s="132" t="str">
        <f>IFERROR(VLOOKUP(C595,TD!$B$32:$F$36,3,0)," ")</f>
        <v xml:space="preserve"> </v>
      </c>
      <c r="R595" s="132" t="str">
        <f>IFERROR(VLOOKUP(C595,TD!$B$32:$F$36,4,0)," ")</f>
        <v xml:space="preserve"> </v>
      </c>
      <c r="S595" s="54"/>
      <c r="T595" s="132" t="str">
        <f>IFERROR(VLOOKUP(S595,TD!$J$33:$K$43,2,0)," ")</f>
        <v xml:space="preserve"> </v>
      </c>
      <c r="U595" s="54" t="str">
        <f t="shared" si="36"/>
        <v xml:space="preserve">- </v>
      </c>
      <c r="V595" s="54"/>
      <c r="W595" s="132" t="str">
        <f>IFERROR(VLOOKUP(V595,TD!$N$33:$O$45,2,0)," ")</f>
        <v xml:space="preserve"> </v>
      </c>
      <c r="X595" s="54" t="str">
        <f t="shared" si="37"/>
        <v xml:space="preserve">_ </v>
      </c>
      <c r="Y595" s="54" t="str">
        <f t="shared" si="38"/>
        <v xml:space="preserve">-  _ </v>
      </c>
      <c r="Z595" s="132" t="str">
        <f t="shared" si="39"/>
        <v xml:space="preserve">   </v>
      </c>
      <c r="AA595" s="132" t="str">
        <f>IFERROR(VLOOKUP(Y595,TD!$K$46:$L$64,2,0)," ")</f>
        <v xml:space="preserve"> </v>
      </c>
      <c r="AB595" s="57"/>
      <c r="AC595" s="133"/>
    </row>
    <row r="596" spans="2:29" s="28" customFormat="1">
      <c r="B596" s="85"/>
      <c r="C596" s="53"/>
      <c r="D596" s="130"/>
      <c r="E596" s="54"/>
      <c r="F596" s="130"/>
      <c r="G596" s="130"/>
      <c r="H596" s="55"/>
      <c r="I596" s="135"/>
      <c r="J596" s="131"/>
      <c r="K596" s="56"/>
      <c r="L596" s="57"/>
      <c r="M596" s="130"/>
      <c r="N596" s="57"/>
      <c r="O596" s="54"/>
      <c r="P596" s="132" t="str">
        <f>IFERROR(VLOOKUP(C596,TD!$B$32:$F$36,2,0)," ")</f>
        <v xml:space="preserve"> </v>
      </c>
      <c r="Q596" s="132" t="str">
        <f>IFERROR(VLOOKUP(C596,TD!$B$32:$F$36,3,0)," ")</f>
        <v xml:space="preserve"> </v>
      </c>
      <c r="R596" s="132" t="str">
        <f>IFERROR(VLOOKUP(C596,TD!$B$32:$F$36,4,0)," ")</f>
        <v xml:space="preserve"> </v>
      </c>
      <c r="S596" s="54"/>
      <c r="T596" s="132" t="str">
        <f>IFERROR(VLOOKUP(S596,TD!$J$33:$K$43,2,0)," ")</f>
        <v xml:space="preserve"> </v>
      </c>
      <c r="U596" s="54" t="str">
        <f t="shared" si="36"/>
        <v xml:space="preserve">- </v>
      </c>
      <c r="V596" s="54"/>
      <c r="W596" s="132" t="str">
        <f>IFERROR(VLOOKUP(V596,TD!$N$33:$O$45,2,0)," ")</f>
        <v xml:space="preserve"> </v>
      </c>
      <c r="X596" s="54" t="str">
        <f t="shared" si="37"/>
        <v xml:space="preserve">_ </v>
      </c>
      <c r="Y596" s="54" t="str">
        <f t="shared" si="38"/>
        <v xml:space="preserve">-  _ </v>
      </c>
      <c r="Z596" s="132" t="str">
        <f t="shared" si="39"/>
        <v xml:space="preserve">   </v>
      </c>
      <c r="AA596" s="132" t="str">
        <f>IFERROR(VLOOKUP(Y596,TD!$K$46:$L$64,2,0)," ")</f>
        <v xml:space="preserve"> </v>
      </c>
      <c r="AB596" s="57"/>
      <c r="AC596" s="133"/>
    </row>
    <row r="597" spans="2:29" s="28" customFormat="1">
      <c r="B597" s="85"/>
      <c r="C597" s="53"/>
      <c r="D597" s="130"/>
      <c r="E597" s="54"/>
      <c r="F597" s="130"/>
      <c r="G597" s="130"/>
      <c r="H597" s="55"/>
      <c r="I597" s="135"/>
      <c r="J597" s="131"/>
      <c r="K597" s="56"/>
      <c r="L597" s="57"/>
      <c r="M597" s="130"/>
      <c r="N597" s="57"/>
      <c r="O597" s="54"/>
      <c r="P597" s="132" t="str">
        <f>IFERROR(VLOOKUP(C597,TD!$B$32:$F$36,2,0)," ")</f>
        <v xml:space="preserve"> </v>
      </c>
      <c r="Q597" s="132" t="str">
        <f>IFERROR(VLOOKUP(C597,TD!$B$32:$F$36,3,0)," ")</f>
        <v xml:space="preserve"> </v>
      </c>
      <c r="R597" s="132" t="str">
        <f>IFERROR(VLOOKUP(C597,TD!$B$32:$F$36,4,0)," ")</f>
        <v xml:space="preserve"> </v>
      </c>
      <c r="S597" s="54"/>
      <c r="T597" s="132" t="str">
        <f>IFERROR(VLOOKUP(S597,TD!$J$33:$K$43,2,0)," ")</f>
        <v xml:space="preserve"> </v>
      </c>
      <c r="U597" s="54" t="str">
        <f t="shared" si="36"/>
        <v xml:space="preserve">- </v>
      </c>
      <c r="V597" s="54"/>
      <c r="W597" s="132" t="str">
        <f>IFERROR(VLOOKUP(V597,TD!$N$33:$O$45,2,0)," ")</f>
        <v xml:space="preserve"> </v>
      </c>
      <c r="X597" s="54" t="str">
        <f t="shared" si="37"/>
        <v xml:space="preserve">_ </v>
      </c>
      <c r="Y597" s="54" t="str">
        <f t="shared" si="38"/>
        <v xml:space="preserve">-  _ </v>
      </c>
      <c r="Z597" s="132" t="str">
        <f t="shared" si="39"/>
        <v xml:space="preserve">   </v>
      </c>
      <c r="AA597" s="132" t="str">
        <f>IFERROR(VLOOKUP(Y597,TD!$K$46:$L$64,2,0)," ")</f>
        <v xml:space="preserve"> </v>
      </c>
      <c r="AB597" s="57"/>
      <c r="AC597" s="133"/>
    </row>
    <row r="598" spans="2:29" s="28" customFormat="1">
      <c r="B598" s="85"/>
      <c r="C598" s="53"/>
      <c r="D598" s="130"/>
      <c r="E598" s="54"/>
      <c r="F598" s="130"/>
      <c r="G598" s="130"/>
      <c r="H598" s="55"/>
      <c r="I598" s="135"/>
      <c r="J598" s="131"/>
      <c r="K598" s="56"/>
      <c r="L598" s="57"/>
      <c r="M598" s="130"/>
      <c r="N598" s="57"/>
      <c r="O598" s="54"/>
      <c r="P598" s="132" t="str">
        <f>IFERROR(VLOOKUP(C598,TD!$B$32:$F$36,2,0)," ")</f>
        <v xml:space="preserve"> </v>
      </c>
      <c r="Q598" s="132" t="str">
        <f>IFERROR(VLOOKUP(C598,TD!$B$32:$F$36,3,0)," ")</f>
        <v xml:space="preserve"> </v>
      </c>
      <c r="R598" s="132" t="str">
        <f>IFERROR(VLOOKUP(C598,TD!$B$32:$F$36,4,0)," ")</f>
        <v xml:space="preserve"> </v>
      </c>
      <c r="S598" s="54"/>
      <c r="T598" s="132" t="str">
        <f>IFERROR(VLOOKUP(S598,TD!$J$33:$K$43,2,0)," ")</f>
        <v xml:space="preserve"> </v>
      </c>
      <c r="U598" s="54" t="str">
        <f t="shared" si="36"/>
        <v xml:space="preserve">- </v>
      </c>
      <c r="V598" s="54"/>
      <c r="W598" s="132" t="str">
        <f>IFERROR(VLOOKUP(V598,TD!$N$33:$O$45,2,0)," ")</f>
        <v xml:space="preserve"> </v>
      </c>
      <c r="X598" s="54" t="str">
        <f t="shared" si="37"/>
        <v xml:space="preserve">_ </v>
      </c>
      <c r="Y598" s="54" t="str">
        <f t="shared" si="38"/>
        <v xml:space="preserve">-  _ </v>
      </c>
      <c r="Z598" s="132" t="str">
        <f t="shared" si="39"/>
        <v xml:space="preserve">   </v>
      </c>
      <c r="AA598" s="132" t="str">
        <f>IFERROR(VLOOKUP(Y598,TD!$K$46:$L$64,2,0)," ")</f>
        <v xml:space="preserve"> </v>
      </c>
      <c r="AB598" s="57"/>
      <c r="AC598" s="133"/>
    </row>
    <row r="599" spans="2:29" s="28" customFormat="1">
      <c r="B599" s="85"/>
      <c r="C599" s="53"/>
      <c r="D599" s="130"/>
      <c r="E599" s="54"/>
      <c r="F599" s="130"/>
      <c r="G599" s="130"/>
      <c r="H599" s="55"/>
      <c r="I599" s="135"/>
      <c r="J599" s="131"/>
      <c r="K599" s="56"/>
      <c r="L599" s="57"/>
      <c r="M599" s="130"/>
      <c r="N599" s="57"/>
      <c r="O599" s="54"/>
      <c r="P599" s="132" t="str">
        <f>IFERROR(VLOOKUP(C599,TD!$B$32:$F$36,2,0)," ")</f>
        <v xml:space="preserve"> </v>
      </c>
      <c r="Q599" s="132" t="str">
        <f>IFERROR(VLOOKUP(C599,TD!$B$32:$F$36,3,0)," ")</f>
        <v xml:space="preserve"> </v>
      </c>
      <c r="R599" s="132" t="str">
        <f>IFERROR(VLOOKUP(C599,TD!$B$32:$F$36,4,0)," ")</f>
        <v xml:space="preserve"> </v>
      </c>
      <c r="S599" s="54"/>
      <c r="T599" s="132" t="str">
        <f>IFERROR(VLOOKUP(S599,TD!$J$33:$K$43,2,0)," ")</f>
        <v xml:space="preserve"> </v>
      </c>
      <c r="U599" s="54" t="str">
        <f t="shared" si="36"/>
        <v xml:space="preserve">- </v>
      </c>
      <c r="V599" s="54"/>
      <c r="W599" s="132" t="str">
        <f>IFERROR(VLOOKUP(V599,TD!$N$33:$O$45,2,0)," ")</f>
        <v xml:space="preserve"> </v>
      </c>
      <c r="X599" s="54" t="str">
        <f t="shared" si="37"/>
        <v xml:space="preserve">_ </v>
      </c>
      <c r="Y599" s="54" t="str">
        <f t="shared" si="38"/>
        <v xml:space="preserve">-  _ </v>
      </c>
      <c r="Z599" s="132" t="str">
        <f t="shared" si="39"/>
        <v xml:space="preserve">   </v>
      </c>
      <c r="AA599" s="132" t="str">
        <f>IFERROR(VLOOKUP(Y599,TD!$K$46:$L$64,2,0)," ")</f>
        <v xml:space="preserve"> </v>
      </c>
      <c r="AB599" s="57"/>
      <c r="AC599" s="133"/>
    </row>
    <row r="600" spans="2:29" s="28" customFormat="1">
      <c r="B600" s="85"/>
      <c r="C600" s="53"/>
      <c r="D600" s="130"/>
      <c r="E600" s="54"/>
      <c r="F600" s="130"/>
      <c r="G600" s="130"/>
      <c r="H600" s="55"/>
      <c r="I600" s="135"/>
      <c r="J600" s="131"/>
      <c r="K600" s="56"/>
      <c r="L600" s="57"/>
      <c r="M600" s="130"/>
      <c r="N600" s="57"/>
      <c r="O600" s="54"/>
      <c r="P600" s="132" t="str">
        <f>IFERROR(VLOOKUP(C600,TD!$B$32:$F$36,2,0)," ")</f>
        <v xml:space="preserve"> </v>
      </c>
      <c r="Q600" s="132" t="str">
        <f>IFERROR(VLOOKUP(C600,TD!$B$32:$F$36,3,0)," ")</f>
        <v xml:space="preserve"> </v>
      </c>
      <c r="R600" s="132" t="str">
        <f>IFERROR(VLOOKUP(C600,TD!$B$32:$F$36,4,0)," ")</f>
        <v xml:space="preserve"> </v>
      </c>
      <c r="S600" s="54"/>
      <c r="T600" s="132" t="str">
        <f>IFERROR(VLOOKUP(S600,TD!$J$33:$K$43,2,0)," ")</f>
        <v xml:space="preserve"> </v>
      </c>
      <c r="U600" s="54" t="str">
        <f t="shared" si="36"/>
        <v xml:space="preserve">- </v>
      </c>
      <c r="V600" s="54"/>
      <c r="W600" s="132" t="str">
        <f>IFERROR(VLOOKUP(V600,TD!$N$33:$O$45,2,0)," ")</f>
        <v xml:space="preserve"> </v>
      </c>
      <c r="X600" s="54" t="str">
        <f t="shared" si="37"/>
        <v xml:space="preserve">_ </v>
      </c>
      <c r="Y600" s="54" t="str">
        <f t="shared" si="38"/>
        <v xml:space="preserve">-  _ </v>
      </c>
      <c r="Z600" s="132" t="str">
        <f t="shared" si="39"/>
        <v xml:space="preserve">   </v>
      </c>
      <c r="AA600" s="132" t="str">
        <f>IFERROR(VLOOKUP(Y600,TD!$K$46:$L$64,2,0)," ")</f>
        <v xml:space="preserve"> </v>
      </c>
      <c r="AB600" s="57"/>
      <c r="AC600" s="133"/>
    </row>
    <row r="601" spans="2:29" s="28" customFormat="1">
      <c r="B601" s="85"/>
      <c r="C601" s="53"/>
      <c r="D601" s="130"/>
      <c r="E601" s="54"/>
      <c r="F601" s="130"/>
      <c r="G601" s="130"/>
      <c r="H601" s="55"/>
      <c r="I601" s="135"/>
      <c r="J601" s="131"/>
      <c r="K601" s="56"/>
      <c r="L601" s="57"/>
      <c r="M601" s="130"/>
      <c r="N601" s="57"/>
      <c r="O601" s="54"/>
      <c r="P601" s="132" t="str">
        <f>IFERROR(VLOOKUP(C601,TD!$B$32:$F$36,2,0)," ")</f>
        <v xml:space="preserve"> </v>
      </c>
      <c r="Q601" s="132" t="str">
        <f>IFERROR(VLOOKUP(C601,TD!$B$32:$F$36,3,0)," ")</f>
        <v xml:space="preserve"> </v>
      </c>
      <c r="R601" s="132" t="str">
        <f>IFERROR(VLOOKUP(C601,TD!$B$32:$F$36,4,0)," ")</f>
        <v xml:space="preserve"> </v>
      </c>
      <c r="S601" s="54"/>
      <c r="T601" s="132" t="str">
        <f>IFERROR(VLOOKUP(S601,TD!$J$33:$K$43,2,0)," ")</f>
        <v xml:space="preserve"> </v>
      </c>
      <c r="U601" s="54" t="str">
        <f t="shared" si="36"/>
        <v xml:space="preserve">- </v>
      </c>
      <c r="V601" s="54"/>
      <c r="W601" s="132" t="str">
        <f>IFERROR(VLOOKUP(V601,TD!$N$33:$O$45,2,0)," ")</f>
        <v xml:space="preserve"> </v>
      </c>
      <c r="X601" s="54" t="str">
        <f t="shared" si="37"/>
        <v xml:space="preserve">_ </v>
      </c>
      <c r="Y601" s="54" t="str">
        <f t="shared" si="38"/>
        <v xml:space="preserve">-  _ </v>
      </c>
      <c r="Z601" s="132" t="str">
        <f t="shared" si="39"/>
        <v xml:space="preserve">   </v>
      </c>
      <c r="AA601" s="132" t="str">
        <f>IFERROR(VLOOKUP(Y601,TD!$K$46:$L$64,2,0)," ")</f>
        <v xml:space="preserve"> </v>
      </c>
      <c r="AB601" s="57"/>
      <c r="AC601" s="133"/>
    </row>
    <row r="602" spans="2:29" s="28" customFormat="1">
      <c r="B602" s="85"/>
      <c r="C602" s="53"/>
      <c r="D602" s="130"/>
      <c r="E602" s="54"/>
      <c r="F602" s="130"/>
      <c r="G602" s="130"/>
      <c r="H602" s="55"/>
      <c r="I602" s="135"/>
      <c r="J602" s="131"/>
      <c r="K602" s="56"/>
      <c r="L602" s="57"/>
      <c r="M602" s="130"/>
      <c r="N602" s="57"/>
      <c r="O602" s="54"/>
      <c r="P602" s="132" t="str">
        <f>IFERROR(VLOOKUP(C602,TD!$B$32:$F$36,2,0)," ")</f>
        <v xml:space="preserve"> </v>
      </c>
      <c r="Q602" s="132" t="str">
        <f>IFERROR(VLOOKUP(C602,TD!$B$32:$F$36,3,0)," ")</f>
        <v xml:space="preserve"> </v>
      </c>
      <c r="R602" s="132" t="str">
        <f>IFERROR(VLOOKUP(C602,TD!$B$32:$F$36,4,0)," ")</f>
        <v xml:space="preserve"> </v>
      </c>
      <c r="S602" s="54"/>
      <c r="T602" s="132" t="str">
        <f>IFERROR(VLOOKUP(S602,TD!$J$33:$K$43,2,0)," ")</f>
        <v xml:space="preserve"> </v>
      </c>
      <c r="U602" s="54" t="str">
        <f t="shared" si="36"/>
        <v xml:space="preserve">- </v>
      </c>
      <c r="V602" s="54"/>
      <c r="W602" s="132" t="str">
        <f>IFERROR(VLOOKUP(V602,TD!$N$33:$O$45,2,0)," ")</f>
        <v xml:space="preserve"> </v>
      </c>
      <c r="X602" s="54" t="str">
        <f t="shared" si="37"/>
        <v xml:space="preserve">_ </v>
      </c>
      <c r="Y602" s="54" t="str">
        <f t="shared" si="38"/>
        <v xml:space="preserve">-  _ </v>
      </c>
      <c r="Z602" s="132" t="str">
        <f t="shared" si="39"/>
        <v xml:space="preserve">   </v>
      </c>
      <c r="AA602" s="132" t="str">
        <f>IFERROR(VLOOKUP(Y602,TD!$K$46:$L$64,2,0)," ")</f>
        <v xml:space="preserve"> </v>
      </c>
      <c r="AB602" s="57"/>
      <c r="AC602" s="133"/>
    </row>
    <row r="603" spans="2:29" s="28" customFormat="1">
      <c r="B603" s="85"/>
      <c r="C603" s="53"/>
      <c r="D603" s="130"/>
      <c r="E603" s="54"/>
      <c r="F603" s="130"/>
      <c r="G603" s="130"/>
      <c r="H603" s="55"/>
      <c r="I603" s="135"/>
      <c r="J603" s="131"/>
      <c r="K603" s="56"/>
      <c r="L603" s="57"/>
      <c r="M603" s="130"/>
      <c r="N603" s="57"/>
      <c r="O603" s="54"/>
      <c r="P603" s="132" t="str">
        <f>IFERROR(VLOOKUP(C603,TD!$B$32:$F$36,2,0)," ")</f>
        <v xml:space="preserve"> </v>
      </c>
      <c r="Q603" s="132" t="str">
        <f>IFERROR(VLOOKUP(C603,TD!$B$32:$F$36,3,0)," ")</f>
        <v xml:space="preserve"> </v>
      </c>
      <c r="R603" s="132" t="str">
        <f>IFERROR(VLOOKUP(C603,TD!$B$32:$F$36,4,0)," ")</f>
        <v xml:space="preserve"> </v>
      </c>
      <c r="S603" s="54"/>
      <c r="T603" s="132" t="str">
        <f>IFERROR(VLOOKUP(S603,TD!$J$33:$K$43,2,0)," ")</f>
        <v xml:space="preserve"> </v>
      </c>
      <c r="U603" s="54" t="str">
        <f t="shared" si="36"/>
        <v xml:space="preserve">- </v>
      </c>
      <c r="V603" s="54"/>
      <c r="W603" s="132" t="str">
        <f>IFERROR(VLOOKUP(V603,TD!$N$33:$O$45,2,0)," ")</f>
        <v xml:space="preserve"> </v>
      </c>
      <c r="X603" s="54" t="str">
        <f t="shared" si="37"/>
        <v xml:space="preserve">_ </v>
      </c>
      <c r="Y603" s="54" t="str">
        <f t="shared" si="38"/>
        <v xml:space="preserve">-  _ </v>
      </c>
      <c r="Z603" s="132" t="str">
        <f t="shared" si="39"/>
        <v xml:space="preserve">   </v>
      </c>
      <c r="AA603" s="132" t="str">
        <f>IFERROR(VLOOKUP(Y603,TD!$K$46:$L$64,2,0)," ")</f>
        <v xml:space="preserve"> </v>
      </c>
      <c r="AB603" s="57"/>
      <c r="AC603" s="133"/>
    </row>
    <row r="604" spans="2:29" s="28" customFormat="1">
      <c r="B604" s="85"/>
      <c r="C604" s="53"/>
      <c r="D604" s="130"/>
      <c r="E604" s="54"/>
      <c r="F604" s="130"/>
      <c r="G604" s="130"/>
      <c r="H604" s="55"/>
      <c r="I604" s="135"/>
      <c r="J604" s="131"/>
      <c r="K604" s="56"/>
      <c r="L604" s="57"/>
      <c r="M604" s="130"/>
      <c r="N604" s="57"/>
      <c r="O604" s="54"/>
      <c r="P604" s="132" t="str">
        <f>IFERROR(VLOOKUP(C604,TD!$B$32:$F$36,2,0)," ")</f>
        <v xml:space="preserve"> </v>
      </c>
      <c r="Q604" s="132" t="str">
        <f>IFERROR(VLOOKUP(C604,TD!$B$32:$F$36,3,0)," ")</f>
        <v xml:space="preserve"> </v>
      </c>
      <c r="R604" s="132" t="str">
        <f>IFERROR(VLOOKUP(C604,TD!$B$32:$F$36,4,0)," ")</f>
        <v xml:space="preserve"> </v>
      </c>
      <c r="S604" s="54"/>
      <c r="T604" s="132" t="str">
        <f>IFERROR(VLOOKUP(S604,TD!$J$33:$K$43,2,0)," ")</f>
        <v xml:space="preserve"> </v>
      </c>
      <c r="U604" s="54" t="str">
        <f t="shared" si="36"/>
        <v xml:space="preserve">- </v>
      </c>
      <c r="V604" s="54"/>
      <c r="W604" s="132" t="str">
        <f>IFERROR(VLOOKUP(V604,TD!$N$33:$O$45,2,0)," ")</f>
        <v xml:space="preserve"> </v>
      </c>
      <c r="X604" s="54" t="str">
        <f t="shared" si="37"/>
        <v xml:space="preserve">_ </v>
      </c>
      <c r="Y604" s="54" t="str">
        <f t="shared" si="38"/>
        <v xml:space="preserve">-  _ </v>
      </c>
      <c r="Z604" s="132" t="str">
        <f t="shared" si="39"/>
        <v xml:space="preserve">   </v>
      </c>
      <c r="AA604" s="132" t="str">
        <f>IFERROR(VLOOKUP(Y604,TD!$K$46:$L$64,2,0)," ")</f>
        <v xml:space="preserve"> </v>
      </c>
      <c r="AB604" s="57"/>
      <c r="AC604" s="133"/>
    </row>
    <row r="605" spans="2:29" s="28" customFormat="1">
      <c r="B605" s="85"/>
      <c r="C605" s="53"/>
      <c r="D605" s="130"/>
      <c r="E605" s="54"/>
      <c r="F605" s="130"/>
      <c r="G605" s="130"/>
      <c r="H605" s="55"/>
      <c r="I605" s="135"/>
      <c r="J605" s="131"/>
      <c r="K605" s="56"/>
      <c r="L605" s="57"/>
      <c r="M605" s="130"/>
      <c r="N605" s="57"/>
      <c r="O605" s="54"/>
      <c r="P605" s="132" t="str">
        <f>IFERROR(VLOOKUP(C605,TD!$B$32:$F$36,2,0)," ")</f>
        <v xml:space="preserve"> </v>
      </c>
      <c r="Q605" s="132" t="str">
        <f>IFERROR(VLOOKUP(C605,TD!$B$32:$F$36,3,0)," ")</f>
        <v xml:space="preserve"> </v>
      </c>
      <c r="R605" s="132" t="str">
        <f>IFERROR(VLOOKUP(C605,TD!$B$32:$F$36,4,0)," ")</f>
        <v xml:space="preserve"> </v>
      </c>
      <c r="S605" s="54"/>
      <c r="T605" s="132" t="str">
        <f>IFERROR(VLOOKUP(S605,TD!$J$33:$K$43,2,0)," ")</f>
        <v xml:space="preserve"> </v>
      </c>
      <c r="U605" s="54" t="str">
        <f t="shared" si="36"/>
        <v xml:space="preserve">- </v>
      </c>
      <c r="V605" s="54"/>
      <c r="W605" s="132" t="str">
        <f>IFERROR(VLOOKUP(V605,TD!$N$33:$O$45,2,0)," ")</f>
        <v xml:space="preserve"> </v>
      </c>
      <c r="X605" s="54" t="str">
        <f t="shared" si="37"/>
        <v xml:space="preserve">_ </v>
      </c>
      <c r="Y605" s="54" t="str">
        <f t="shared" si="38"/>
        <v xml:space="preserve">-  _ </v>
      </c>
      <c r="Z605" s="132" t="str">
        <f t="shared" si="39"/>
        <v xml:space="preserve">   </v>
      </c>
      <c r="AA605" s="132" t="str">
        <f>IFERROR(VLOOKUP(Y605,TD!$K$46:$L$64,2,0)," ")</f>
        <v xml:space="preserve"> </v>
      </c>
      <c r="AB605" s="57"/>
      <c r="AC605" s="133"/>
    </row>
    <row r="606" spans="2:29" s="28" customFormat="1">
      <c r="B606" s="85"/>
      <c r="C606" s="53"/>
      <c r="D606" s="130"/>
      <c r="E606" s="54"/>
      <c r="F606" s="130"/>
      <c r="G606" s="130"/>
      <c r="H606" s="55"/>
      <c r="I606" s="135"/>
      <c r="J606" s="131"/>
      <c r="K606" s="56"/>
      <c r="L606" s="57"/>
      <c r="M606" s="130"/>
      <c r="N606" s="57"/>
      <c r="O606" s="54"/>
      <c r="P606" s="132" t="str">
        <f>IFERROR(VLOOKUP(C606,TD!$B$32:$F$36,2,0)," ")</f>
        <v xml:space="preserve"> </v>
      </c>
      <c r="Q606" s="132" t="str">
        <f>IFERROR(VLOOKUP(C606,TD!$B$32:$F$36,3,0)," ")</f>
        <v xml:space="preserve"> </v>
      </c>
      <c r="R606" s="132" t="str">
        <f>IFERROR(VLOOKUP(C606,TD!$B$32:$F$36,4,0)," ")</f>
        <v xml:space="preserve"> </v>
      </c>
      <c r="S606" s="54"/>
      <c r="T606" s="132" t="str">
        <f>IFERROR(VLOOKUP(S606,TD!$J$33:$K$43,2,0)," ")</f>
        <v xml:space="preserve"> </v>
      </c>
      <c r="U606" s="54" t="str">
        <f t="shared" si="36"/>
        <v xml:space="preserve">- </v>
      </c>
      <c r="V606" s="54"/>
      <c r="W606" s="132" t="str">
        <f>IFERROR(VLOOKUP(V606,TD!$N$33:$O$45,2,0)," ")</f>
        <v xml:space="preserve"> </v>
      </c>
      <c r="X606" s="54" t="str">
        <f t="shared" si="37"/>
        <v xml:space="preserve">_ </v>
      </c>
      <c r="Y606" s="54" t="str">
        <f t="shared" si="38"/>
        <v xml:space="preserve">-  _ </v>
      </c>
      <c r="Z606" s="132" t="str">
        <f t="shared" si="39"/>
        <v xml:space="preserve">   </v>
      </c>
      <c r="AA606" s="132" t="str">
        <f>IFERROR(VLOOKUP(Y606,TD!$K$46:$L$64,2,0)," ")</f>
        <v xml:space="preserve"> </v>
      </c>
      <c r="AB606" s="57"/>
      <c r="AC606" s="133"/>
    </row>
    <row r="607" spans="2:29" s="28" customFormat="1">
      <c r="B607" s="85"/>
      <c r="C607" s="53"/>
      <c r="D607" s="130"/>
      <c r="E607" s="54"/>
      <c r="F607" s="130"/>
      <c r="G607" s="130"/>
      <c r="H607" s="55"/>
      <c r="I607" s="135"/>
      <c r="J607" s="131"/>
      <c r="K607" s="56"/>
      <c r="L607" s="57"/>
      <c r="M607" s="130"/>
      <c r="N607" s="57"/>
      <c r="O607" s="54"/>
      <c r="P607" s="132" t="str">
        <f>IFERROR(VLOOKUP(C607,TD!$B$32:$F$36,2,0)," ")</f>
        <v xml:space="preserve"> </v>
      </c>
      <c r="Q607" s="132" t="str">
        <f>IFERROR(VLOOKUP(C607,TD!$B$32:$F$36,3,0)," ")</f>
        <v xml:space="preserve"> </v>
      </c>
      <c r="R607" s="132" t="str">
        <f>IFERROR(VLOOKUP(C607,TD!$B$32:$F$36,4,0)," ")</f>
        <v xml:space="preserve"> </v>
      </c>
      <c r="S607" s="54"/>
      <c r="T607" s="132" t="str">
        <f>IFERROR(VLOOKUP(S607,TD!$J$33:$K$43,2,0)," ")</f>
        <v xml:space="preserve"> </v>
      </c>
      <c r="U607" s="54" t="str">
        <f t="shared" si="36"/>
        <v xml:space="preserve">- </v>
      </c>
      <c r="V607" s="54"/>
      <c r="W607" s="132" t="str">
        <f>IFERROR(VLOOKUP(V607,TD!$N$33:$O$45,2,0)," ")</f>
        <v xml:space="preserve"> </v>
      </c>
      <c r="X607" s="54" t="str">
        <f t="shared" si="37"/>
        <v xml:space="preserve">_ </v>
      </c>
      <c r="Y607" s="54" t="str">
        <f t="shared" si="38"/>
        <v xml:space="preserve">-  _ </v>
      </c>
      <c r="Z607" s="132" t="str">
        <f t="shared" si="39"/>
        <v xml:space="preserve">   </v>
      </c>
      <c r="AA607" s="132" t="str">
        <f>IFERROR(VLOOKUP(Y607,TD!$K$46:$L$64,2,0)," ")</f>
        <v xml:space="preserve"> </v>
      </c>
      <c r="AB607" s="57"/>
      <c r="AC607" s="133"/>
    </row>
    <row r="608" spans="2:29" s="28" customFormat="1">
      <c r="B608" s="85"/>
      <c r="C608" s="53"/>
      <c r="D608" s="130"/>
      <c r="E608" s="54"/>
      <c r="F608" s="130"/>
      <c r="G608" s="130"/>
      <c r="H608" s="55"/>
      <c r="I608" s="135"/>
      <c r="J608" s="131"/>
      <c r="K608" s="56"/>
      <c r="L608" s="57"/>
      <c r="M608" s="130"/>
      <c r="N608" s="57"/>
      <c r="O608" s="54"/>
      <c r="P608" s="132" t="str">
        <f>IFERROR(VLOOKUP(C608,TD!$B$32:$F$36,2,0)," ")</f>
        <v xml:space="preserve"> </v>
      </c>
      <c r="Q608" s="132" t="str">
        <f>IFERROR(VLOOKUP(C608,TD!$B$32:$F$36,3,0)," ")</f>
        <v xml:space="preserve"> </v>
      </c>
      <c r="R608" s="132" t="str">
        <f>IFERROR(VLOOKUP(C608,TD!$B$32:$F$36,4,0)," ")</f>
        <v xml:space="preserve"> </v>
      </c>
      <c r="S608" s="54"/>
      <c r="T608" s="132" t="str">
        <f>IFERROR(VLOOKUP(S608,TD!$J$33:$K$43,2,0)," ")</f>
        <v xml:space="preserve"> </v>
      </c>
      <c r="U608" s="54" t="str">
        <f t="shared" si="36"/>
        <v xml:space="preserve">- </v>
      </c>
      <c r="V608" s="54"/>
      <c r="W608" s="132" t="str">
        <f>IFERROR(VLOOKUP(V608,TD!$N$33:$O$45,2,0)," ")</f>
        <v xml:space="preserve"> </v>
      </c>
      <c r="X608" s="54" t="str">
        <f t="shared" si="37"/>
        <v xml:space="preserve">_ </v>
      </c>
      <c r="Y608" s="54" t="str">
        <f t="shared" si="38"/>
        <v xml:space="preserve">-  _ </v>
      </c>
      <c r="Z608" s="132" t="str">
        <f t="shared" si="39"/>
        <v xml:space="preserve">   </v>
      </c>
      <c r="AA608" s="132" t="str">
        <f>IFERROR(VLOOKUP(Y608,TD!$K$46:$L$64,2,0)," ")</f>
        <v xml:space="preserve"> </v>
      </c>
      <c r="AB608" s="57"/>
      <c r="AC608" s="133"/>
    </row>
    <row r="609" spans="2:29" s="28" customFormat="1">
      <c r="B609" s="85"/>
      <c r="C609" s="53"/>
      <c r="D609" s="130"/>
      <c r="E609" s="54"/>
      <c r="F609" s="130"/>
      <c r="G609" s="130"/>
      <c r="H609" s="55"/>
      <c r="I609" s="135"/>
      <c r="J609" s="131"/>
      <c r="K609" s="56"/>
      <c r="L609" s="57"/>
      <c r="M609" s="130"/>
      <c r="N609" s="57"/>
      <c r="O609" s="54"/>
      <c r="P609" s="132" t="str">
        <f>IFERROR(VLOOKUP(C609,TD!$B$32:$F$36,2,0)," ")</f>
        <v xml:space="preserve"> </v>
      </c>
      <c r="Q609" s="132" t="str">
        <f>IFERROR(VLOOKUP(C609,TD!$B$32:$F$36,3,0)," ")</f>
        <v xml:space="preserve"> </v>
      </c>
      <c r="R609" s="132" t="str">
        <f>IFERROR(VLOOKUP(C609,TD!$B$32:$F$36,4,0)," ")</f>
        <v xml:space="preserve"> </v>
      </c>
      <c r="S609" s="54"/>
      <c r="T609" s="132" t="str">
        <f>IFERROR(VLOOKUP(S609,TD!$J$33:$K$43,2,0)," ")</f>
        <v xml:space="preserve"> </v>
      </c>
      <c r="U609" s="54" t="str">
        <f t="shared" si="36"/>
        <v xml:space="preserve">- </v>
      </c>
      <c r="V609" s="54"/>
      <c r="W609" s="132" t="str">
        <f>IFERROR(VLOOKUP(V609,TD!$N$33:$O$45,2,0)," ")</f>
        <v xml:space="preserve"> </v>
      </c>
      <c r="X609" s="54" t="str">
        <f t="shared" si="37"/>
        <v xml:space="preserve">_ </v>
      </c>
      <c r="Y609" s="54" t="str">
        <f t="shared" si="38"/>
        <v xml:space="preserve">-  _ </v>
      </c>
      <c r="Z609" s="132" t="str">
        <f t="shared" si="39"/>
        <v xml:space="preserve">   </v>
      </c>
      <c r="AA609" s="132" t="str">
        <f>IFERROR(VLOOKUP(Y609,TD!$K$46:$L$64,2,0)," ")</f>
        <v xml:space="preserve"> </v>
      </c>
      <c r="AB609" s="57"/>
      <c r="AC609" s="133"/>
    </row>
    <row r="610" spans="2:29" s="28" customFormat="1">
      <c r="B610" s="85"/>
      <c r="C610" s="53"/>
      <c r="D610" s="130"/>
      <c r="E610" s="54"/>
      <c r="F610" s="130"/>
      <c r="G610" s="130"/>
      <c r="H610" s="55"/>
      <c r="I610" s="135"/>
      <c r="J610" s="131"/>
      <c r="K610" s="56"/>
      <c r="L610" s="57"/>
      <c r="M610" s="130"/>
      <c r="N610" s="57"/>
      <c r="O610" s="54"/>
      <c r="P610" s="132" t="str">
        <f>IFERROR(VLOOKUP(C610,TD!$B$32:$F$36,2,0)," ")</f>
        <v xml:space="preserve"> </v>
      </c>
      <c r="Q610" s="132" t="str">
        <f>IFERROR(VLOOKUP(C610,TD!$B$32:$F$36,3,0)," ")</f>
        <v xml:space="preserve"> </v>
      </c>
      <c r="R610" s="132" t="str">
        <f>IFERROR(VLOOKUP(C610,TD!$B$32:$F$36,4,0)," ")</f>
        <v xml:space="preserve"> </v>
      </c>
      <c r="S610" s="54"/>
      <c r="T610" s="132" t="str">
        <f>IFERROR(VLOOKUP(S610,TD!$J$33:$K$43,2,0)," ")</f>
        <v xml:space="preserve"> </v>
      </c>
      <c r="U610" s="54" t="str">
        <f t="shared" si="36"/>
        <v xml:space="preserve">- </v>
      </c>
      <c r="V610" s="54"/>
      <c r="W610" s="132" t="str">
        <f>IFERROR(VLOOKUP(V610,TD!$N$33:$O$45,2,0)," ")</f>
        <v xml:space="preserve"> </v>
      </c>
      <c r="X610" s="54" t="str">
        <f t="shared" si="37"/>
        <v xml:space="preserve">_ </v>
      </c>
      <c r="Y610" s="54" t="str">
        <f t="shared" si="38"/>
        <v xml:space="preserve">-  _ </v>
      </c>
      <c r="Z610" s="132" t="str">
        <f t="shared" si="39"/>
        <v xml:space="preserve">   </v>
      </c>
      <c r="AA610" s="132" t="str">
        <f>IFERROR(VLOOKUP(Y610,TD!$K$46:$L$64,2,0)," ")</f>
        <v xml:space="preserve"> </v>
      </c>
      <c r="AB610" s="57"/>
      <c r="AC610" s="133"/>
    </row>
    <row r="611" spans="2:29" s="28" customFormat="1">
      <c r="B611" s="85"/>
      <c r="C611" s="53"/>
      <c r="D611" s="130"/>
      <c r="E611" s="54"/>
      <c r="F611" s="130"/>
      <c r="G611" s="130"/>
      <c r="H611" s="55"/>
      <c r="I611" s="135"/>
      <c r="J611" s="131"/>
      <c r="K611" s="56"/>
      <c r="L611" s="57"/>
      <c r="M611" s="130"/>
      <c r="N611" s="57"/>
      <c r="O611" s="54"/>
      <c r="P611" s="132" t="str">
        <f>IFERROR(VLOOKUP(C611,TD!$B$32:$F$36,2,0)," ")</f>
        <v xml:space="preserve"> </v>
      </c>
      <c r="Q611" s="132" t="str">
        <f>IFERROR(VLOOKUP(C611,TD!$B$32:$F$36,3,0)," ")</f>
        <v xml:space="preserve"> </v>
      </c>
      <c r="R611" s="132" t="str">
        <f>IFERROR(VLOOKUP(C611,TD!$B$32:$F$36,4,0)," ")</f>
        <v xml:space="preserve"> </v>
      </c>
      <c r="S611" s="54"/>
      <c r="T611" s="132" t="str">
        <f>IFERROR(VLOOKUP(S611,TD!$J$33:$K$43,2,0)," ")</f>
        <v xml:space="preserve"> </v>
      </c>
      <c r="U611" s="54" t="str">
        <f t="shared" si="36"/>
        <v xml:space="preserve">- </v>
      </c>
      <c r="V611" s="54"/>
      <c r="W611" s="132" t="str">
        <f>IFERROR(VLOOKUP(V611,TD!$N$33:$O$45,2,0)," ")</f>
        <v xml:space="preserve"> </v>
      </c>
      <c r="X611" s="54" t="str">
        <f t="shared" si="37"/>
        <v xml:space="preserve">_ </v>
      </c>
      <c r="Y611" s="54" t="str">
        <f t="shared" si="38"/>
        <v xml:space="preserve">-  _ </v>
      </c>
      <c r="Z611" s="132" t="str">
        <f t="shared" si="39"/>
        <v xml:space="preserve">   </v>
      </c>
      <c r="AA611" s="132" t="str">
        <f>IFERROR(VLOOKUP(Y611,TD!$K$46:$L$64,2,0)," ")</f>
        <v xml:space="preserve"> </v>
      </c>
      <c r="AB611" s="57"/>
      <c r="AC611" s="133"/>
    </row>
    <row r="612" spans="2:29" s="28" customFormat="1">
      <c r="B612" s="85"/>
      <c r="C612" s="53"/>
      <c r="D612" s="130"/>
      <c r="E612" s="54"/>
      <c r="F612" s="130"/>
      <c r="G612" s="130"/>
      <c r="H612" s="55"/>
      <c r="I612" s="135"/>
      <c r="J612" s="131"/>
      <c r="K612" s="56"/>
      <c r="L612" s="57"/>
      <c r="M612" s="130"/>
      <c r="N612" s="57"/>
      <c r="O612" s="54"/>
      <c r="P612" s="132" t="str">
        <f>IFERROR(VLOOKUP(C612,TD!$B$32:$F$36,2,0)," ")</f>
        <v xml:space="preserve"> </v>
      </c>
      <c r="Q612" s="132" t="str">
        <f>IFERROR(VLOOKUP(C612,TD!$B$32:$F$36,3,0)," ")</f>
        <v xml:space="preserve"> </v>
      </c>
      <c r="R612" s="132" t="str">
        <f>IFERROR(VLOOKUP(C612,TD!$B$32:$F$36,4,0)," ")</f>
        <v xml:space="preserve"> </v>
      </c>
      <c r="S612" s="54"/>
      <c r="T612" s="132" t="str">
        <f>IFERROR(VLOOKUP(S612,TD!$J$33:$K$43,2,0)," ")</f>
        <v xml:space="preserve"> </v>
      </c>
      <c r="U612" s="54" t="str">
        <f t="shared" si="36"/>
        <v xml:space="preserve">- </v>
      </c>
      <c r="V612" s="54"/>
      <c r="W612" s="132" t="str">
        <f>IFERROR(VLOOKUP(V612,TD!$N$33:$O$45,2,0)," ")</f>
        <v xml:space="preserve"> </v>
      </c>
      <c r="X612" s="54" t="str">
        <f t="shared" si="37"/>
        <v xml:space="preserve">_ </v>
      </c>
      <c r="Y612" s="54" t="str">
        <f t="shared" si="38"/>
        <v xml:space="preserve">-  _ </v>
      </c>
      <c r="Z612" s="132" t="str">
        <f t="shared" si="39"/>
        <v xml:space="preserve">   </v>
      </c>
      <c r="AA612" s="132" t="str">
        <f>IFERROR(VLOOKUP(Y612,TD!$K$46:$L$64,2,0)," ")</f>
        <v xml:space="preserve"> </v>
      </c>
      <c r="AB612" s="57"/>
      <c r="AC612" s="133"/>
    </row>
    <row r="613" spans="2:29" s="28" customFormat="1">
      <c r="B613" s="85"/>
      <c r="C613" s="53"/>
      <c r="D613" s="130"/>
      <c r="E613" s="54"/>
      <c r="F613" s="130"/>
      <c r="G613" s="130"/>
      <c r="H613" s="55"/>
      <c r="I613" s="135"/>
      <c r="J613" s="131"/>
      <c r="K613" s="56"/>
      <c r="L613" s="57"/>
      <c r="M613" s="130"/>
      <c r="N613" s="57"/>
      <c r="O613" s="54"/>
      <c r="P613" s="132" t="str">
        <f>IFERROR(VLOOKUP(C613,TD!$B$32:$F$36,2,0)," ")</f>
        <v xml:space="preserve"> </v>
      </c>
      <c r="Q613" s="132" t="str">
        <f>IFERROR(VLOOKUP(C613,TD!$B$32:$F$36,3,0)," ")</f>
        <v xml:space="preserve"> </v>
      </c>
      <c r="R613" s="132" t="str">
        <f>IFERROR(VLOOKUP(C613,TD!$B$32:$F$36,4,0)," ")</f>
        <v xml:space="preserve"> </v>
      </c>
      <c r="S613" s="54"/>
      <c r="T613" s="132" t="str">
        <f>IFERROR(VLOOKUP(S613,TD!$J$33:$K$43,2,0)," ")</f>
        <v xml:space="preserve"> </v>
      </c>
      <c r="U613" s="54" t="str">
        <f t="shared" si="36"/>
        <v xml:space="preserve">- </v>
      </c>
      <c r="V613" s="54"/>
      <c r="W613" s="132" t="str">
        <f>IFERROR(VLOOKUP(V613,TD!$N$33:$O$45,2,0)," ")</f>
        <v xml:space="preserve"> </v>
      </c>
      <c r="X613" s="54" t="str">
        <f t="shared" si="37"/>
        <v xml:space="preserve">_ </v>
      </c>
      <c r="Y613" s="54" t="str">
        <f t="shared" si="38"/>
        <v xml:space="preserve">-  _ </v>
      </c>
      <c r="Z613" s="132" t="str">
        <f t="shared" si="39"/>
        <v xml:space="preserve">   </v>
      </c>
      <c r="AA613" s="132" t="str">
        <f>IFERROR(VLOOKUP(Y613,TD!$K$46:$L$64,2,0)," ")</f>
        <v xml:space="preserve"> </v>
      </c>
      <c r="AB613" s="57"/>
      <c r="AC613" s="133"/>
    </row>
    <row r="614" spans="2:29" s="28" customFormat="1">
      <c r="B614" s="85"/>
      <c r="C614" s="53"/>
      <c r="D614" s="130"/>
      <c r="E614" s="54"/>
      <c r="F614" s="130"/>
      <c r="G614" s="130"/>
      <c r="H614" s="55"/>
      <c r="I614" s="135"/>
      <c r="J614" s="131"/>
      <c r="K614" s="56"/>
      <c r="L614" s="57"/>
      <c r="M614" s="130"/>
      <c r="N614" s="57"/>
      <c r="O614" s="54"/>
      <c r="P614" s="132" t="str">
        <f>IFERROR(VLOOKUP(C614,TD!$B$32:$F$36,2,0)," ")</f>
        <v xml:space="preserve"> </v>
      </c>
      <c r="Q614" s="132" t="str">
        <f>IFERROR(VLOOKUP(C614,TD!$B$32:$F$36,3,0)," ")</f>
        <v xml:space="preserve"> </v>
      </c>
      <c r="R614" s="132" t="str">
        <f>IFERROR(VLOOKUP(C614,TD!$B$32:$F$36,4,0)," ")</f>
        <v xml:space="preserve"> </v>
      </c>
      <c r="S614" s="54"/>
      <c r="T614" s="132" t="str">
        <f>IFERROR(VLOOKUP(S614,TD!$J$33:$K$43,2,0)," ")</f>
        <v xml:space="preserve"> </v>
      </c>
      <c r="U614" s="54" t="str">
        <f t="shared" si="36"/>
        <v xml:space="preserve">- </v>
      </c>
      <c r="V614" s="54"/>
      <c r="W614" s="132" t="str">
        <f>IFERROR(VLOOKUP(V614,TD!$N$33:$O$45,2,0)," ")</f>
        <v xml:space="preserve"> </v>
      </c>
      <c r="X614" s="54" t="str">
        <f t="shared" si="37"/>
        <v xml:space="preserve">_ </v>
      </c>
      <c r="Y614" s="54" t="str">
        <f t="shared" si="38"/>
        <v xml:space="preserve">-  _ </v>
      </c>
      <c r="Z614" s="132" t="str">
        <f t="shared" si="39"/>
        <v xml:space="preserve">   </v>
      </c>
      <c r="AA614" s="132" t="str">
        <f>IFERROR(VLOOKUP(Y614,TD!$K$46:$L$64,2,0)," ")</f>
        <v xml:space="preserve"> </v>
      </c>
      <c r="AB614" s="57"/>
      <c r="AC614" s="133"/>
    </row>
    <row r="615" spans="2:29" s="28" customFormat="1">
      <c r="B615" s="85"/>
      <c r="C615" s="53"/>
      <c r="D615" s="130"/>
      <c r="E615" s="54"/>
      <c r="F615" s="130"/>
      <c r="G615" s="130"/>
      <c r="H615" s="55"/>
      <c r="I615" s="135"/>
      <c r="J615" s="131"/>
      <c r="K615" s="56"/>
      <c r="L615" s="57"/>
      <c r="M615" s="130"/>
      <c r="N615" s="57"/>
      <c r="O615" s="54"/>
      <c r="P615" s="132" t="str">
        <f>IFERROR(VLOOKUP(C615,TD!$B$32:$F$36,2,0)," ")</f>
        <v xml:space="preserve"> </v>
      </c>
      <c r="Q615" s="132" t="str">
        <f>IFERROR(VLOOKUP(C615,TD!$B$32:$F$36,3,0)," ")</f>
        <v xml:space="preserve"> </v>
      </c>
      <c r="R615" s="132" t="str">
        <f>IFERROR(VLOOKUP(C615,TD!$B$32:$F$36,4,0)," ")</f>
        <v xml:space="preserve"> </v>
      </c>
      <c r="S615" s="54"/>
      <c r="T615" s="132" t="str">
        <f>IFERROR(VLOOKUP(S615,TD!$J$33:$K$43,2,0)," ")</f>
        <v xml:space="preserve"> </v>
      </c>
      <c r="U615" s="54" t="str">
        <f t="shared" si="36"/>
        <v xml:space="preserve">- </v>
      </c>
      <c r="V615" s="54"/>
      <c r="W615" s="132" t="str">
        <f>IFERROR(VLOOKUP(V615,TD!$N$33:$O$45,2,0)," ")</f>
        <v xml:space="preserve"> </v>
      </c>
      <c r="X615" s="54" t="str">
        <f t="shared" si="37"/>
        <v xml:space="preserve">_ </v>
      </c>
      <c r="Y615" s="54" t="str">
        <f t="shared" si="38"/>
        <v xml:space="preserve">-  _ </v>
      </c>
      <c r="Z615" s="132" t="str">
        <f t="shared" si="39"/>
        <v xml:space="preserve">   </v>
      </c>
      <c r="AA615" s="132" t="str">
        <f>IFERROR(VLOOKUP(Y615,TD!$K$46:$L$64,2,0)," ")</f>
        <v xml:space="preserve"> </v>
      </c>
      <c r="AB615" s="57"/>
      <c r="AC615" s="133"/>
    </row>
    <row r="616" spans="2:29" s="28" customFormat="1">
      <c r="B616" s="85"/>
      <c r="C616" s="53"/>
      <c r="D616" s="130"/>
      <c r="E616" s="54"/>
      <c r="F616" s="130"/>
      <c r="G616" s="130"/>
      <c r="H616" s="55"/>
      <c r="I616" s="135"/>
      <c r="J616" s="131"/>
      <c r="K616" s="56"/>
      <c r="L616" s="57"/>
      <c r="M616" s="130"/>
      <c r="N616" s="57"/>
      <c r="O616" s="54"/>
      <c r="P616" s="132" t="str">
        <f>IFERROR(VLOOKUP(C616,TD!$B$32:$F$36,2,0)," ")</f>
        <v xml:space="preserve"> </v>
      </c>
      <c r="Q616" s="132" t="str">
        <f>IFERROR(VLOOKUP(C616,TD!$B$32:$F$36,3,0)," ")</f>
        <v xml:space="preserve"> </v>
      </c>
      <c r="R616" s="132" t="str">
        <f>IFERROR(VLOOKUP(C616,TD!$B$32:$F$36,4,0)," ")</f>
        <v xml:space="preserve"> </v>
      </c>
      <c r="S616" s="54"/>
      <c r="T616" s="132" t="str">
        <f>IFERROR(VLOOKUP(S616,TD!$J$33:$K$43,2,0)," ")</f>
        <v xml:space="preserve"> </v>
      </c>
      <c r="U616" s="54" t="str">
        <f t="shared" si="36"/>
        <v xml:space="preserve">- </v>
      </c>
      <c r="V616" s="54"/>
      <c r="W616" s="132" t="str">
        <f>IFERROR(VLOOKUP(V616,TD!$N$33:$O$45,2,0)," ")</f>
        <v xml:space="preserve"> </v>
      </c>
      <c r="X616" s="54" t="str">
        <f t="shared" si="37"/>
        <v xml:space="preserve">_ </v>
      </c>
      <c r="Y616" s="54" t="str">
        <f t="shared" si="38"/>
        <v xml:space="preserve">-  _ </v>
      </c>
      <c r="Z616" s="132" t="str">
        <f t="shared" si="39"/>
        <v xml:space="preserve">   </v>
      </c>
      <c r="AA616" s="132" t="str">
        <f>IFERROR(VLOOKUP(Y616,TD!$K$46:$L$64,2,0)," ")</f>
        <v xml:space="preserve"> </v>
      </c>
      <c r="AB616" s="57"/>
      <c r="AC616" s="133"/>
    </row>
    <row r="617" spans="2:29" s="28" customFormat="1">
      <c r="B617" s="85"/>
      <c r="C617" s="53"/>
      <c r="D617" s="130"/>
      <c r="E617" s="54"/>
      <c r="F617" s="130"/>
      <c r="G617" s="130"/>
      <c r="H617" s="55"/>
      <c r="I617" s="135"/>
      <c r="J617" s="131"/>
      <c r="K617" s="56"/>
      <c r="L617" s="57"/>
      <c r="M617" s="130"/>
      <c r="N617" s="57"/>
      <c r="O617" s="54"/>
      <c r="P617" s="132" t="str">
        <f>IFERROR(VLOOKUP(C617,TD!$B$32:$F$36,2,0)," ")</f>
        <v xml:space="preserve"> </v>
      </c>
      <c r="Q617" s="132" t="str">
        <f>IFERROR(VLOOKUP(C617,TD!$B$32:$F$36,3,0)," ")</f>
        <v xml:space="preserve"> </v>
      </c>
      <c r="R617" s="132" t="str">
        <f>IFERROR(VLOOKUP(C617,TD!$B$32:$F$36,4,0)," ")</f>
        <v xml:space="preserve"> </v>
      </c>
      <c r="S617" s="54"/>
      <c r="T617" s="132" t="str">
        <f>IFERROR(VLOOKUP(S617,TD!$J$33:$K$43,2,0)," ")</f>
        <v xml:space="preserve"> </v>
      </c>
      <c r="U617" s="54" t="str">
        <f t="shared" si="36"/>
        <v xml:space="preserve">- </v>
      </c>
      <c r="V617" s="54"/>
      <c r="W617" s="132" t="str">
        <f>IFERROR(VLOOKUP(V617,TD!$N$33:$O$45,2,0)," ")</f>
        <v xml:space="preserve"> </v>
      </c>
      <c r="X617" s="54" t="str">
        <f t="shared" si="37"/>
        <v xml:space="preserve">_ </v>
      </c>
      <c r="Y617" s="54" t="str">
        <f t="shared" si="38"/>
        <v xml:space="preserve">-  _ </v>
      </c>
      <c r="Z617" s="132" t="str">
        <f t="shared" si="39"/>
        <v xml:space="preserve">   </v>
      </c>
      <c r="AA617" s="132" t="str">
        <f>IFERROR(VLOOKUP(Y617,TD!$K$46:$L$64,2,0)," ")</f>
        <v xml:space="preserve"> </v>
      </c>
      <c r="AB617" s="57"/>
      <c r="AC617" s="133"/>
    </row>
    <row r="618" spans="2:29" s="28" customFormat="1">
      <c r="B618" s="85"/>
      <c r="C618" s="53"/>
      <c r="D618" s="130"/>
      <c r="E618" s="54"/>
      <c r="F618" s="130"/>
      <c r="G618" s="130"/>
      <c r="H618" s="55"/>
      <c r="I618" s="135"/>
      <c r="J618" s="131"/>
      <c r="K618" s="56"/>
      <c r="L618" s="57"/>
      <c r="M618" s="130"/>
      <c r="N618" s="57"/>
      <c r="O618" s="54"/>
      <c r="P618" s="132" t="str">
        <f>IFERROR(VLOOKUP(C618,TD!$B$32:$F$36,2,0)," ")</f>
        <v xml:space="preserve"> </v>
      </c>
      <c r="Q618" s="132" t="str">
        <f>IFERROR(VLOOKUP(C618,TD!$B$32:$F$36,3,0)," ")</f>
        <v xml:space="preserve"> </v>
      </c>
      <c r="R618" s="132" t="str">
        <f>IFERROR(VLOOKUP(C618,TD!$B$32:$F$36,4,0)," ")</f>
        <v xml:space="preserve"> </v>
      </c>
      <c r="S618" s="54"/>
      <c r="T618" s="132" t="str">
        <f>IFERROR(VLOOKUP(S618,TD!$J$33:$K$43,2,0)," ")</f>
        <v xml:space="preserve"> </v>
      </c>
      <c r="U618" s="54" t="str">
        <f t="shared" si="36"/>
        <v xml:space="preserve">- </v>
      </c>
      <c r="V618" s="54"/>
      <c r="W618" s="132" t="str">
        <f>IFERROR(VLOOKUP(V618,TD!$N$33:$O$45,2,0)," ")</f>
        <v xml:space="preserve"> </v>
      </c>
      <c r="X618" s="54" t="str">
        <f t="shared" si="37"/>
        <v xml:space="preserve">_ </v>
      </c>
      <c r="Y618" s="54" t="str">
        <f t="shared" si="38"/>
        <v xml:space="preserve">-  _ </v>
      </c>
      <c r="Z618" s="132" t="str">
        <f t="shared" si="39"/>
        <v xml:space="preserve">   </v>
      </c>
      <c r="AA618" s="132" t="str">
        <f>IFERROR(VLOOKUP(Y618,TD!$K$46:$L$64,2,0)," ")</f>
        <v xml:space="preserve"> </v>
      </c>
      <c r="AB618" s="57"/>
      <c r="AC618" s="133"/>
    </row>
    <row r="619" spans="2:29" s="28" customFormat="1">
      <c r="B619" s="85"/>
      <c r="C619" s="53"/>
      <c r="D619" s="130"/>
      <c r="E619" s="54"/>
      <c r="F619" s="130"/>
      <c r="G619" s="130"/>
      <c r="H619" s="55"/>
      <c r="I619" s="135"/>
      <c r="J619" s="131"/>
      <c r="K619" s="56"/>
      <c r="L619" s="57"/>
      <c r="M619" s="130"/>
      <c r="N619" s="57"/>
      <c r="O619" s="54"/>
      <c r="P619" s="132" t="str">
        <f>IFERROR(VLOOKUP(C619,TD!$B$32:$F$36,2,0)," ")</f>
        <v xml:space="preserve"> </v>
      </c>
      <c r="Q619" s="132" t="str">
        <f>IFERROR(VLOOKUP(C619,TD!$B$32:$F$36,3,0)," ")</f>
        <v xml:space="preserve"> </v>
      </c>
      <c r="R619" s="132" t="str">
        <f>IFERROR(VLOOKUP(C619,TD!$B$32:$F$36,4,0)," ")</f>
        <v xml:space="preserve"> </v>
      </c>
      <c r="S619" s="54"/>
      <c r="T619" s="132" t="str">
        <f>IFERROR(VLOOKUP(S619,TD!$J$33:$K$43,2,0)," ")</f>
        <v xml:space="preserve"> </v>
      </c>
      <c r="U619" s="54" t="str">
        <f t="shared" si="36"/>
        <v xml:space="preserve">- </v>
      </c>
      <c r="V619" s="54"/>
      <c r="W619" s="132" t="str">
        <f>IFERROR(VLOOKUP(V619,TD!$N$33:$O$45,2,0)," ")</f>
        <v xml:space="preserve"> </v>
      </c>
      <c r="X619" s="54" t="str">
        <f t="shared" si="37"/>
        <v xml:space="preserve">_ </v>
      </c>
      <c r="Y619" s="54" t="str">
        <f t="shared" si="38"/>
        <v xml:space="preserve">-  _ </v>
      </c>
      <c r="Z619" s="132" t="str">
        <f t="shared" si="39"/>
        <v xml:space="preserve">   </v>
      </c>
      <c r="AA619" s="132" t="str">
        <f>IFERROR(VLOOKUP(Y619,TD!$K$46:$L$64,2,0)," ")</f>
        <v xml:space="preserve"> </v>
      </c>
      <c r="AB619" s="57"/>
      <c r="AC619" s="133"/>
    </row>
    <row r="620" spans="2:29" s="28" customFormat="1">
      <c r="B620" s="85"/>
      <c r="C620" s="53"/>
      <c r="D620" s="130"/>
      <c r="E620" s="54"/>
      <c r="F620" s="130"/>
      <c r="G620" s="130"/>
      <c r="H620" s="55"/>
      <c r="I620" s="135"/>
      <c r="J620" s="131"/>
      <c r="K620" s="56"/>
      <c r="L620" s="57"/>
      <c r="M620" s="130"/>
      <c r="N620" s="57"/>
      <c r="O620" s="54"/>
      <c r="P620" s="132" t="str">
        <f>IFERROR(VLOOKUP(C620,TD!$B$32:$F$36,2,0)," ")</f>
        <v xml:space="preserve"> </v>
      </c>
      <c r="Q620" s="132" t="str">
        <f>IFERROR(VLOOKUP(C620,TD!$B$32:$F$36,3,0)," ")</f>
        <v xml:space="preserve"> </v>
      </c>
      <c r="R620" s="132" t="str">
        <f>IFERROR(VLOOKUP(C620,TD!$B$32:$F$36,4,0)," ")</f>
        <v xml:space="preserve"> </v>
      </c>
      <c r="S620" s="54"/>
      <c r="T620" s="132" t="str">
        <f>IFERROR(VLOOKUP(S620,TD!$J$33:$K$43,2,0)," ")</f>
        <v xml:space="preserve"> </v>
      </c>
      <c r="U620" s="54" t="str">
        <f t="shared" si="36"/>
        <v xml:space="preserve">- </v>
      </c>
      <c r="V620" s="54"/>
      <c r="W620" s="132" t="str">
        <f>IFERROR(VLOOKUP(V620,TD!$N$33:$O$45,2,0)," ")</f>
        <v xml:space="preserve"> </v>
      </c>
      <c r="X620" s="54" t="str">
        <f t="shared" si="37"/>
        <v xml:space="preserve">_ </v>
      </c>
      <c r="Y620" s="54" t="str">
        <f t="shared" si="38"/>
        <v xml:space="preserve">-  _ </v>
      </c>
      <c r="Z620" s="132" t="str">
        <f t="shared" si="39"/>
        <v xml:space="preserve">   </v>
      </c>
      <c r="AA620" s="132" t="str">
        <f>IFERROR(VLOOKUP(Y620,TD!$K$46:$L$64,2,0)," ")</f>
        <v xml:space="preserve"> </v>
      </c>
      <c r="AB620" s="57"/>
      <c r="AC620" s="133"/>
    </row>
    <row r="621" spans="2:29" s="28" customFormat="1">
      <c r="B621" s="85"/>
      <c r="C621" s="53"/>
      <c r="D621" s="130"/>
      <c r="E621" s="54"/>
      <c r="F621" s="130"/>
      <c r="G621" s="130"/>
      <c r="H621" s="55"/>
      <c r="I621" s="135"/>
      <c r="J621" s="131"/>
      <c r="K621" s="56"/>
      <c r="L621" s="57"/>
      <c r="M621" s="130"/>
      <c r="N621" s="57"/>
      <c r="O621" s="54"/>
      <c r="P621" s="132" t="str">
        <f>IFERROR(VLOOKUP(C621,TD!$B$32:$F$36,2,0)," ")</f>
        <v xml:space="preserve"> </v>
      </c>
      <c r="Q621" s="132" t="str">
        <f>IFERROR(VLOOKUP(C621,TD!$B$32:$F$36,3,0)," ")</f>
        <v xml:space="preserve"> </v>
      </c>
      <c r="R621" s="132" t="str">
        <f>IFERROR(VLOOKUP(C621,TD!$B$32:$F$36,4,0)," ")</f>
        <v xml:space="preserve"> </v>
      </c>
      <c r="S621" s="54"/>
      <c r="T621" s="132" t="str">
        <f>IFERROR(VLOOKUP(S621,TD!$J$33:$K$43,2,0)," ")</f>
        <v xml:space="preserve"> </v>
      </c>
      <c r="U621" s="54" t="str">
        <f t="shared" si="36"/>
        <v xml:space="preserve">- </v>
      </c>
      <c r="V621" s="54"/>
      <c r="W621" s="132" t="str">
        <f>IFERROR(VLOOKUP(V621,TD!$N$33:$O$45,2,0)," ")</f>
        <v xml:space="preserve"> </v>
      </c>
      <c r="X621" s="54" t="str">
        <f t="shared" si="37"/>
        <v xml:space="preserve">_ </v>
      </c>
      <c r="Y621" s="54" t="str">
        <f t="shared" si="38"/>
        <v xml:space="preserve">-  _ </v>
      </c>
      <c r="Z621" s="132" t="str">
        <f t="shared" si="39"/>
        <v xml:space="preserve">   </v>
      </c>
      <c r="AA621" s="132" t="str">
        <f>IFERROR(VLOOKUP(Y621,TD!$K$46:$L$64,2,0)," ")</f>
        <v xml:space="preserve"> </v>
      </c>
      <c r="AB621" s="57"/>
      <c r="AC621" s="133"/>
    </row>
    <row r="622" spans="2:29" s="28" customFormat="1">
      <c r="B622" s="85"/>
      <c r="C622" s="53"/>
      <c r="D622" s="130"/>
      <c r="E622" s="54"/>
      <c r="F622" s="130"/>
      <c r="G622" s="130"/>
      <c r="H622" s="55"/>
      <c r="I622" s="135"/>
      <c r="J622" s="131"/>
      <c r="K622" s="56"/>
      <c r="L622" s="57"/>
      <c r="M622" s="130"/>
      <c r="N622" s="57"/>
      <c r="O622" s="54"/>
      <c r="P622" s="132" t="str">
        <f>IFERROR(VLOOKUP(C622,TD!$B$32:$F$36,2,0)," ")</f>
        <v xml:space="preserve"> </v>
      </c>
      <c r="Q622" s="132" t="str">
        <f>IFERROR(VLOOKUP(C622,TD!$B$32:$F$36,3,0)," ")</f>
        <v xml:space="preserve"> </v>
      </c>
      <c r="R622" s="132" t="str">
        <f>IFERROR(VLOOKUP(C622,TD!$B$32:$F$36,4,0)," ")</f>
        <v xml:space="preserve"> </v>
      </c>
      <c r="S622" s="54"/>
      <c r="T622" s="132" t="str">
        <f>IFERROR(VLOOKUP(S622,TD!$J$33:$K$43,2,0)," ")</f>
        <v xml:space="preserve"> </v>
      </c>
      <c r="U622" s="54" t="str">
        <f t="shared" si="36"/>
        <v xml:space="preserve">- </v>
      </c>
      <c r="V622" s="54"/>
      <c r="W622" s="132" t="str">
        <f>IFERROR(VLOOKUP(V622,TD!$N$33:$O$45,2,0)," ")</f>
        <v xml:space="preserve"> </v>
      </c>
      <c r="X622" s="54" t="str">
        <f t="shared" si="37"/>
        <v xml:space="preserve">_ </v>
      </c>
      <c r="Y622" s="54" t="str">
        <f t="shared" si="38"/>
        <v xml:space="preserve">-  _ </v>
      </c>
      <c r="Z622" s="132" t="str">
        <f t="shared" si="39"/>
        <v xml:space="preserve">   </v>
      </c>
      <c r="AA622" s="132" t="str">
        <f>IFERROR(VLOOKUP(Y622,TD!$K$46:$L$64,2,0)," ")</f>
        <v xml:space="preserve"> </v>
      </c>
      <c r="AB622" s="57"/>
      <c r="AC622" s="133"/>
    </row>
    <row r="623" spans="2:29" s="28" customFormat="1">
      <c r="B623" s="85"/>
      <c r="C623" s="53"/>
      <c r="D623" s="130"/>
      <c r="E623" s="54"/>
      <c r="F623" s="130"/>
      <c r="G623" s="130"/>
      <c r="H623" s="55"/>
      <c r="I623" s="135"/>
      <c r="J623" s="131"/>
      <c r="K623" s="56"/>
      <c r="L623" s="57"/>
      <c r="M623" s="130"/>
      <c r="N623" s="57"/>
      <c r="O623" s="54"/>
      <c r="P623" s="132" t="str">
        <f>IFERROR(VLOOKUP(C623,TD!$B$32:$F$36,2,0)," ")</f>
        <v xml:space="preserve"> </v>
      </c>
      <c r="Q623" s="132" t="str">
        <f>IFERROR(VLOOKUP(C623,TD!$B$32:$F$36,3,0)," ")</f>
        <v xml:space="preserve"> </v>
      </c>
      <c r="R623" s="132" t="str">
        <f>IFERROR(VLOOKUP(C623,TD!$B$32:$F$36,4,0)," ")</f>
        <v xml:space="preserve"> </v>
      </c>
      <c r="S623" s="54"/>
      <c r="T623" s="132" t="str">
        <f>IFERROR(VLOOKUP(S623,TD!$J$33:$K$43,2,0)," ")</f>
        <v xml:space="preserve"> </v>
      </c>
      <c r="U623" s="54" t="str">
        <f t="shared" si="36"/>
        <v xml:space="preserve">- </v>
      </c>
      <c r="V623" s="54"/>
      <c r="W623" s="132" t="str">
        <f>IFERROR(VLOOKUP(V623,TD!$N$33:$O$45,2,0)," ")</f>
        <v xml:space="preserve"> </v>
      </c>
      <c r="X623" s="54" t="str">
        <f t="shared" si="37"/>
        <v xml:space="preserve">_ </v>
      </c>
      <c r="Y623" s="54" t="str">
        <f t="shared" si="38"/>
        <v xml:space="preserve">-  _ </v>
      </c>
      <c r="Z623" s="132" t="str">
        <f t="shared" si="39"/>
        <v xml:space="preserve">   </v>
      </c>
      <c r="AA623" s="132" t="str">
        <f>IFERROR(VLOOKUP(Y623,TD!$K$46:$L$64,2,0)," ")</f>
        <v xml:space="preserve"> </v>
      </c>
      <c r="AB623" s="57"/>
      <c r="AC623" s="133"/>
    </row>
    <row r="624" spans="2:29" s="28" customFormat="1">
      <c r="B624" s="85"/>
      <c r="C624" s="53"/>
      <c r="D624" s="130"/>
      <c r="E624" s="54"/>
      <c r="F624" s="130"/>
      <c r="G624" s="130"/>
      <c r="H624" s="55"/>
      <c r="I624" s="135"/>
      <c r="J624" s="131"/>
      <c r="K624" s="56"/>
      <c r="L624" s="57"/>
      <c r="M624" s="130"/>
      <c r="N624" s="57"/>
      <c r="O624" s="54"/>
      <c r="P624" s="132" t="str">
        <f>IFERROR(VLOOKUP(C624,TD!$B$32:$F$36,2,0)," ")</f>
        <v xml:space="preserve"> </v>
      </c>
      <c r="Q624" s="132" t="str">
        <f>IFERROR(VLOOKUP(C624,TD!$B$32:$F$36,3,0)," ")</f>
        <v xml:space="preserve"> </v>
      </c>
      <c r="R624" s="132" t="str">
        <f>IFERROR(VLOOKUP(C624,TD!$B$32:$F$36,4,0)," ")</f>
        <v xml:space="preserve"> </v>
      </c>
      <c r="S624" s="54"/>
      <c r="T624" s="132" t="str">
        <f>IFERROR(VLOOKUP(S624,TD!$J$33:$K$43,2,0)," ")</f>
        <v xml:space="preserve"> </v>
      </c>
      <c r="U624" s="54" t="str">
        <f t="shared" si="36"/>
        <v xml:space="preserve">- </v>
      </c>
      <c r="V624" s="54"/>
      <c r="W624" s="132" t="str">
        <f>IFERROR(VLOOKUP(V624,TD!$N$33:$O$45,2,0)," ")</f>
        <v xml:space="preserve"> </v>
      </c>
      <c r="X624" s="54" t="str">
        <f t="shared" si="37"/>
        <v xml:space="preserve">_ </v>
      </c>
      <c r="Y624" s="54" t="str">
        <f t="shared" si="38"/>
        <v xml:space="preserve">-  _ </v>
      </c>
      <c r="Z624" s="132" t="str">
        <f t="shared" si="39"/>
        <v xml:space="preserve">   </v>
      </c>
      <c r="AA624" s="132" t="str">
        <f>IFERROR(VLOOKUP(Y624,TD!$K$46:$L$64,2,0)," ")</f>
        <v xml:space="preserve"> </v>
      </c>
      <c r="AB624" s="57"/>
      <c r="AC624" s="133"/>
    </row>
    <row r="625" spans="2:29" s="28" customFormat="1">
      <c r="B625" s="85"/>
      <c r="C625" s="53"/>
      <c r="D625" s="130"/>
      <c r="E625" s="54"/>
      <c r="F625" s="130"/>
      <c r="G625" s="130"/>
      <c r="H625" s="55"/>
      <c r="I625" s="135"/>
      <c r="J625" s="131"/>
      <c r="K625" s="56"/>
      <c r="L625" s="57"/>
      <c r="M625" s="130"/>
      <c r="N625" s="57"/>
      <c r="O625" s="54"/>
      <c r="P625" s="132" t="str">
        <f>IFERROR(VLOOKUP(C625,TD!$B$32:$F$36,2,0)," ")</f>
        <v xml:space="preserve"> </v>
      </c>
      <c r="Q625" s="132" t="str">
        <f>IFERROR(VLOOKUP(C625,TD!$B$32:$F$36,3,0)," ")</f>
        <v xml:space="preserve"> </v>
      </c>
      <c r="R625" s="132" t="str">
        <f>IFERROR(VLOOKUP(C625,TD!$B$32:$F$36,4,0)," ")</f>
        <v xml:space="preserve"> </v>
      </c>
      <c r="S625" s="54"/>
      <c r="T625" s="132" t="str">
        <f>IFERROR(VLOOKUP(S625,TD!$J$33:$K$43,2,0)," ")</f>
        <v xml:space="preserve"> </v>
      </c>
      <c r="U625" s="54" t="str">
        <f t="shared" si="36"/>
        <v xml:space="preserve">- </v>
      </c>
      <c r="V625" s="54"/>
      <c r="W625" s="132" t="str">
        <f>IFERROR(VLOOKUP(V625,TD!$N$33:$O$45,2,0)," ")</f>
        <v xml:space="preserve"> </v>
      </c>
      <c r="X625" s="54" t="str">
        <f t="shared" si="37"/>
        <v xml:space="preserve">_ </v>
      </c>
      <c r="Y625" s="54" t="str">
        <f t="shared" si="38"/>
        <v xml:space="preserve">-  _ </v>
      </c>
      <c r="Z625" s="132" t="str">
        <f t="shared" si="39"/>
        <v xml:space="preserve">   </v>
      </c>
      <c r="AA625" s="132" t="str">
        <f>IFERROR(VLOOKUP(Y625,TD!$K$46:$L$64,2,0)," ")</f>
        <v xml:space="preserve"> </v>
      </c>
      <c r="AB625" s="57"/>
      <c r="AC625" s="133"/>
    </row>
    <row r="626" spans="2:29" s="28" customFormat="1">
      <c r="B626" s="85"/>
      <c r="C626" s="53"/>
      <c r="D626" s="130"/>
      <c r="E626" s="54"/>
      <c r="F626" s="130"/>
      <c r="G626" s="130"/>
      <c r="H626" s="55"/>
      <c r="I626" s="135"/>
      <c r="J626" s="131"/>
      <c r="K626" s="56"/>
      <c r="L626" s="57"/>
      <c r="M626" s="130"/>
      <c r="N626" s="57"/>
      <c r="O626" s="54"/>
      <c r="P626" s="132" t="str">
        <f>IFERROR(VLOOKUP(C626,TD!$B$32:$F$36,2,0)," ")</f>
        <v xml:space="preserve"> </v>
      </c>
      <c r="Q626" s="132" t="str">
        <f>IFERROR(VLOOKUP(C626,TD!$B$32:$F$36,3,0)," ")</f>
        <v xml:space="preserve"> </v>
      </c>
      <c r="R626" s="132" t="str">
        <f>IFERROR(VLOOKUP(C626,TD!$B$32:$F$36,4,0)," ")</f>
        <v xml:space="preserve"> </v>
      </c>
      <c r="S626" s="54"/>
      <c r="T626" s="132" t="str">
        <f>IFERROR(VLOOKUP(S626,TD!$J$33:$K$43,2,0)," ")</f>
        <v xml:space="preserve"> </v>
      </c>
      <c r="U626" s="54" t="str">
        <f t="shared" si="36"/>
        <v xml:space="preserve">- </v>
      </c>
      <c r="V626" s="54"/>
      <c r="W626" s="132" t="str">
        <f>IFERROR(VLOOKUP(V626,TD!$N$33:$O$45,2,0)," ")</f>
        <v xml:space="preserve"> </v>
      </c>
      <c r="X626" s="54" t="str">
        <f t="shared" si="37"/>
        <v xml:space="preserve">_ </v>
      </c>
      <c r="Y626" s="54" t="str">
        <f t="shared" si="38"/>
        <v xml:space="preserve">-  _ </v>
      </c>
      <c r="Z626" s="132" t="str">
        <f t="shared" si="39"/>
        <v xml:space="preserve">   </v>
      </c>
      <c r="AA626" s="132" t="str">
        <f>IFERROR(VLOOKUP(Y626,TD!$K$46:$L$64,2,0)," ")</f>
        <v xml:space="preserve"> </v>
      </c>
      <c r="AB626" s="57"/>
      <c r="AC626" s="133"/>
    </row>
    <row r="627" spans="2:29" s="28" customFormat="1">
      <c r="B627" s="85"/>
      <c r="C627" s="53"/>
      <c r="D627" s="130"/>
      <c r="E627" s="54"/>
      <c r="F627" s="130"/>
      <c r="G627" s="130"/>
      <c r="H627" s="55"/>
      <c r="I627" s="135"/>
      <c r="J627" s="131"/>
      <c r="K627" s="56"/>
      <c r="L627" s="57"/>
      <c r="M627" s="130"/>
      <c r="N627" s="57"/>
      <c r="O627" s="54"/>
      <c r="P627" s="132" t="str">
        <f>IFERROR(VLOOKUP(C627,TD!$B$32:$F$36,2,0)," ")</f>
        <v xml:space="preserve"> </v>
      </c>
      <c r="Q627" s="132" t="str">
        <f>IFERROR(VLOOKUP(C627,TD!$B$32:$F$36,3,0)," ")</f>
        <v xml:space="preserve"> </v>
      </c>
      <c r="R627" s="132" t="str">
        <f>IFERROR(VLOOKUP(C627,TD!$B$32:$F$36,4,0)," ")</f>
        <v xml:space="preserve"> </v>
      </c>
      <c r="S627" s="54"/>
      <c r="T627" s="132" t="str">
        <f>IFERROR(VLOOKUP(S627,TD!$J$33:$K$43,2,0)," ")</f>
        <v xml:space="preserve"> </v>
      </c>
      <c r="U627" s="54" t="str">
        <f t="shared" si="36"/>
        <v xml:space="preserve">- </v>
      </c>
      <c r="V627" s="54"/>
      <c r="W627" s="132" t="str">
        <f>IFERROR(VLOOKUP(V627,TD!$N$33:$O$45,2,0)," ")</f>
        <v xml:space="preserve"> </v>
      </c>
      <c r="X627" s="54" t="str">
        <f t="shared" si="37"/>
        <v xml:space="preserve">_ </v>
      </c>
      <c r="Y627" s="54" t="str">
        <f t="shared" si="38"/>
        <v xml:space="preserve">-  _ </v>
      </c>
      <c r="Z627" s="132" t="str">
        <f t="shared" si="39"/>
        <v xml:space="preserve">   </v>
      </c>
      <c r="AA627" s="132" t="str">
        <f>IFERROR(VLOOKUP(Y627,TD!$K$46:$L$64,2,0)," ")</f>
        <v xml:space="preserve"> </v>
      </c>
      <c r="AB627" s="57"/>
      <c r="AC627" s="133"/>
    </row>
    <row r="628" spans="2:29" s="28" customFormat="1">
      <c r="B628" s="85"/>
      <c r="C628" s="53"/>
      <c r="D628" s="130"/>
      <c r="E628" s="54"/>
      <c r="F628" s="130"/>
      <c r="G628" s="130"/>
      <c r="H628" s="55"/>
      <c r="I628" s="135"/>
      <c r="J628" s="131"/>
      <c r="K628" s="56"/>
      <c r="L628" s="57"/>
      <c r="M628" s="130"/>
      <c r="N628" s="57"/>
      <c r="O628" s="54"/>
      <c r="P628" s="132" t="str">
        <f>IFERROR(VLOOKUP(C628,TD!$B$32:$F$36,2,0)," ")</f>
        <v xml:space="preserve"> </v>
      </c>
      <c r="Q628" s="132" t="str">
        <f>IFERROR(VLOOKUP(C628,TD!$B$32:$F$36,3,0)," ")</f>
        <v xml:space="preserve"> </v>
      </c>
      <c r="R628" s="132" t="str">
        <f>IFERROR(VLOOKUP(C628,TD!$B$32:$F$36,4,0)," ")</f>
        <v xml:space="preserve"> </v>
      </c>
      <c r="S628" s="54"/>
      <c r="T628" s="132" t="str">
        <f>IFERROR(VLOOKUP(S628,TD!$J$33:$K$43,2,0)," ")</f>
        <v xml:space="preserve"> </v>
      </c>
      <c r="U628" s="54" t="str">
        <f t="shared" si="36"/>
        <v xml:space="preserve">- </v>
      </c>
      <c r="V628" s="54"/>
      <c r="W628" s="132" t="str">
        <f>IFERROR(VLOOKUP(V628,TD!$N$33:$O$45,2,0)," ")</f>
        <v xml:space="preserve"> </v>
      </c>
      <c r="X628" s="54" t="str">
        <f t="shared" si="37"/>
        <v xml:space="preserve">_ </v>
      </c>
      <c r="Y628" s="54" t="str">
        <f t="shared" si="38"/>
        <v xml:space="preserve">-  _ </v>
      </c>
      <c r="Z628" s="132" t="str">
        <f t="shared" si="39"/>
        <v xml:space="preserve">   </v>
      </c>
      <c r="AA628" s="132" t="str">
        <f>IFERROR(VLOOKUP(Y628,TD!$K$46:$L$64,2,0)," ")</f>
        <v xml:space="preserve"> </v>
      </c>
      <c r="AB628" s="57"/>
      <c r="AC628" s="133"/>
    </row>
    <row r="629" spans="2:29" s="28" customFormat="1">
      <c r="B629" s="85"/>
      <c r="C629" s="53"/>
      <c r="D629" s="130"/>
      <c r="E629" s="54"/>
      <c r="F629" s="130"/>
      <c r="G629" s="130"/>
      <c r="H629" s="55"/>
      <c r="I629" s="135"/>
      <c r="J629" s="131"/>
      <c r="K629" s="56"/>
      <c r="L629" s="57"/>
      <c r="M629" s="130"/>
      <c r="N629" s="57"/>
      <c r="O629" s="54"/>
      <c r="P629" s="132" t="str">
        <f>IFERROR(VLOOKUP(C629,TD!$B$32:$F$36,2,0)," ")</f>
        <v xml:space="preserve"> </v>
      </c>
      <c r="Q629" s="132" t="str">
        <f>IFERROR(VLOOKUP(C629,TD!$B$32:$F$36,3,0)," ")</f>
        <v xml:space="preserve"> </v>
      </c>
      <c r="R629" s="132" t="str">
        <f>IFERROR(VLOOKUP(C629,TD!$B$32:$F$36,4,0)," ")</f>
        <v xml:space="preserve"> </v>
      </c>
      <c r="S629" s="54"/>
      <c r="T629" s="132" t="str">
        <f>IFERROR(VLOOKUP(S629,TD!$J$33:$K$43,2,0)," ")</f>
        <v xml:space="preserve"> </v>
      </c>
      <c r="U629" s="54" t="str">
        <f t="shared" si="36"/>
        <v xml:space="preserve">- </v>
      </c>
      <c r="V629" s="54"/>
      <c r="W629" s="132" t="str">
        <f>IFERROR(VLOOKUP(V629,TD!$N$33:$O$45,2,0)," ")</f>
        <v xml:space="preserve"> </v>
      </c>
      <c r="X629" s="54" t="str">
        <f t="shared" si="37"/>
        <v xml:space="preserve">_ </v>
      </c>
      <c r="Y629" s="54" t="str">
        <f t="shared" si="38"/>
        <v xml:space="preserve">-  _ </v>
      </c>
      <c r="Z629" s="132" t="str">
        <f t="shared" si="39"/>
        <v xml:space="preserve">   </v>
      </c>
      <c r="AA629" s="132" t="str">
        <f>IFERROR(VLOOKUP(Y629,TD!$K$46:$L$64,2,0)," ")</f>
        <v xml:space="preserve"> </v>
      </c>
      <c r="AB629" s="57"/>
      <c r="AC629" s="133"/>
    </row>
    <row r="630" spans="2:29" s="28" customFormat="1">
      <c r="B630" s="85"/>
      <c r="C630" s="53"/>
      <c r="D630" s="130"/>
      <c r="E630" s="54"/>
      <c r="F630" s="130"/>
      <c r="G630" s="130"/>
      <c r="H630" s="55"/>
      <c r="I630" s="135"/>
      <c r="J630" s="131"/>
      <c r="K630" s="56"/>
      <c r="L630" s="57"/>
      <c r="M630" s="130"/>
      <c r="N630" s="57"/>
      <c r="O630" s="54"/>
      <c r="P630" s="132" t="str">
        <f>IFERROR(VLOOKUP(C630,TD!$B$32:$F$36,2,0)," ")</f>
        <v xml:space="preserve"> </v>
      </c>
      <c r="Q630" s="132" t="str">
        <f>IFERROR(VLOOKUP(C630,TD!$B$32:$F$36,3,0)," ")</f>
        <v xml:space="preserve"> </v>
      </c>
      <c r="R630" s="132" t="str">
        <f>IFERROR(VLOOKUP(C630,TD!$B$32:$F$36,4,0)," ")</f>
        <v xml:space="preserve"> </v>
      </c>
      <c r="S630" s="54"/>
      <c r="T630" s="132" t="str">
        <f>IFERROR(VLOOKUP(S630,TD!$J$33:$K$43,2,0)," ")</f>
        <v xml:space="preserve"> </v>
      </c>
      <c r="U630" s="54" t="str">
        <f t="shared" si="36"/>
        <v xml:space="preserve">- </v>
      </c>
      <c r="V630" s="54"/>
      <c r="W630" s="132" t="str">
        <f>IFERROR(VLOOKUP(V630,TD!$N$33:$O$45,2,0)," ")</f>
        <v xml:space="preserve"> </v>
      </c>
      <c r="X630" s="54" t="str">
        <f t="shared" si="37"/>
        <v xml:space="preserve">_ </v>
      </c>
      <c r="Y630" s="54" t="str">
        <f t="shared" si="38"/>
        <v xml:space="preserve">-  _ </v>
      </c>
      <c r="Z630" s="132" t="str">
        <f t="shared" si="39"/>
        <v xml:space="preserve">   </v>
      </c>
      <c r="AA630" s="132" t="str">
        <f>IFERROR(VLOOKUP(Y630,TD!$K$46:$L$64,2,0)," ")</f>
        <v xml:space="preserve"> </v>
      </c>
      <c r="AB630" s="57"/>
      <c r="AC630" s="133"/>
    </row>
    <row r="631" spans="2:29" s="28" customFormat="1">
      <c r="B631" s="85"/>
      <c r="C631" s="53"/>
      <c r="D631" s="130"/>
      <c r="E631" s="54"/>
      <c r="F631" s="130"/>
      <c r="G631" s="130"/>
      <c r="H631" s="55"/>
      <c r="I631" s="135"/>
      <c r="J631" s="131"/>
      <c r="K631" s="56"/>
      <c r="L631" s="57"/>
      <c r="M631" s="130"/>
      <c r="N631" s="57"/>
      <c r="O631" s="54"/>
      <c r="P631" s="132" t="str">
        <f>IFERROR(VLOOKUP(C631,TD!$B$32:$F$36,2,0)," ")</f>
        <v xml:space="preserve"> </v>
      </c>
      <c r="Q631" s="132" t="str">
        <f>IFERROR(VLOOKUP(C631,TD!$B$32:$F$36,3,0)," ")</f>
        <v xml:space="preserve"> </v>
      </c>
      <c r="R631" s="132" t="str">
        <f>IFERROR(VLOOKUP(C631,TD!$B$32:$F$36,4,0)," ")</f>
        <v xml:space="preserve"> </v>
      </c>
      <c r="S631" s="54"/>
      <c r="T631" s="132" t="str">
        <f>IFERROR(VLOOKUP(S631,TD!$J$33:$K$43,2,0)," ")</f>
        <v xml:space="preserve"> </v>
      </c>
      <c r="U631" s="54" t="str">
        <f t="shared" si="36"/>
        <v xml:space="preserve">- </v>
      </c>
      <c r="V631" s="54"/>
      <c r="W631" s="132" t="str">
        <f>IFERROR(VLOOKUP(V631,TD!$N$33:$O$45,2,0)," ")</f>
        <v xml:space="preserve"> </v>
      </c>
      <c r="X631" s="54" t="str">
        <f t="shared" si="37"/>
        <v xml:space="preserve">_ </v>
      </c>
      <c r="Y631" s="54" t="str">
        <f t="shared" si="38"/>
        <v xml:space="preserve">-  _ </v>
      </c>
      <c r="Z631" s="132" t="str">
        <f t="shared" si="39"/>
        <v xml:space="preserve">   </v>
      </c>
      <c r="AA631" s="132" t="str">
        <f>IFERROR(VLOOKUP(Y631,TD!$K$46:$L$64,2,0)," ")</f>
        <v xml:space="preserve"> </v>
      </c>
      <c r="AB631" s="57"/>
      <c r="AC631" s="133"/>
    </row>
    <row r="632" spans="2:29" s="28" customFormat="1">
      <c r="B632" s="85"/>
      <c r="C632" s="53"/>
      <c r="D632" s="130"/>
      <c r="E632" s="54"/>
      <c r="F632" s="130"/>
      <c r="G632" s="130"/>
      <c r="H632" s="55"/>
      <c r="I632" s="135"/>
      <c r="J632" s="131"/>
      <c r="K632" s="56"/>
      <c r="L632" s="57"/>
      <c r="M632" s="130"/>
      <c r="N632" s="57"/>
      <c r="O632" s="54"/>
      <c r="P632" s="132" t="str">
        <f>IFERROR(VLOOKUP(C632,TD!$B$32:$F$36,2,0)," ")</f>
        <v xml:space="preserve"> </v>
      </c>
      <c r="Q632" s="132" t="str">
        <f>IFERROR(VLOOKUP(C632,TD!$B$32:$F$36,3,0)," ")</f>
        <v xml:space="preserve"> </v>
      </c>
      <c r="R632" s="132" t="str">
        <f>IFERROR(VLOOKUP(C632,TD!$B$32:$F$36,4,0)," ")</f>
        <v xml:space="preserve"> </v>
      </c>
      <c r="S632" s="54"/>
      <c r="T632" s="132" t="str">
        <f>IFERROR(VLOOKUP(S632,TD!$J$33:$K$43,2,0)," ")</f>
        <v xml:space="preserve"> </v>
      </c>
      <c r="U632" s="54" t="str">
        <f t="shared" si="36"/>
        <v xml:space="preserve">- </v>
      </c>
      <c r="V632" s="54"/>
      <c r="W632" s="132" t="str">
        <f>IFERROR(VLOOKUP(V632,TD!$N$33:$O$45,2,0)," ")</f>
        <v xml:space="preserve"> </v>
      </c>
      <c r="X632" s="54" t="str">
        <f t="shared" si="37"/>
        <v xml:space="preserve">_ </v>
      </c>
      <c r="Y632" s="54" t="str">
        <f t="shared" si="38"/>
        <v xml:space="preserve">-  _ </v>
      </c>
      <c r="Z632" s="132" t="str">
        <f t="shared" si="39"/>
        <v xml:space="preserve">   </v>
      </c>
      <c r="AA632" s="132" t="str">
        <f>IFERROR(VLOOKUP(Y632,TD!$K$46:$L$64,2,0)," ")</f>
        <v xml:space="preserve"> </v>
      </c>
      <c r="AB632" s="57"/>
      <c r="AC632" s="133"/>
    </row>
    <row r="633" spans="2:29" s="28" customFormat="1">
      <c r="B633" s="85"/>
      <c r="C633" s="53"/>
      <c r="D633" s="130"/>
      <c r="E633" s="54"/>
      <c r="F633" s="130"/>
      <c r="G633" s="130"/>
      <c r="H633" s="55"/>
      <c r="I633" s="135"/>
      <c r="J633" s="131"/>
      <c r="K633" s="56"/>
      <c r="L633" s="57"/>
      <c r="M633" s="130"/>
      <c r="N633" s="57"/>
      <c r="O633" s="54"/>
      <c r="P633" s="132" t="str">
        <f>IFERROR(VLOOKUP(C633,TD!$B$32:$F$36,2,0)," ")</f>
        <v xml:space="preserve"> </v>
      </c>
      <c r="Q633" s="132" t="str">
        <f>IFERROR(VLOOKUP(C633,TD!$B$32:$F$36,3,0)," ")</f>
        <v xml:space="preserve"> </v>
      </c>
      <c r="R633" s="132" t="str">
        <f>IFERROR(VLOOKUP(C633,TD!$B$32:$F$36,4,0)," ")</f>
        <v xml:space="preserve"> </v>
      </c>
      <c r="S633" s="54"/>
      <c r="T633" s="132" t="str">
        <f>IFERROR(VLOOKUP(S633,TD!$J$33:$K$43,2,0)," ")</f>
        <v xml:space="preserve"> </v>
      </c>
      <c r="U633" s="54" t="str">
        <f t="shared" si="36"/>
        <v xml:space="preserve">- </v>
      </c>
      <c r="V633" s="54"/>
      <c r="W633" s="132" t="str">
        <f>IFERROR(VLOOKUP(V633,TD!$N$33:$O$45,2,0)," ")</f>
        <v xml:space="preserve"> </v>
      </c>
      <c r="X633" s="54" t="str">
        <f t="shared" si="37"/>
        <v xml:space="preserve">_ </v>
      </c>
      <c r="Y633" s="54" t="str">
        <f t="shared" si="38"/>
        <v xml:space="preserve">-  _ </v>
      </c>
      <c r="Z633" s="132" t="str">
        <f t="shared" si="39"/>
        <v xml:space="preserve">   </v>
      </c>
      <c r="AA633" s="132" t="str">
        <f>IFERROR(VLOOKUP(Y633,TD!$K$46:$L$64,2,0)," ")</f>
        <v xml:space="preserve"> </v>
      </c>
      <c r="AB633" s="57"/>
      <c r="AC633" s="133"/>
    </row>
    <row r="634" spans="2:29" s="28" customFormat="1">
      <c r="B634" s="85"/>
      <c r="C634" s="53"/>
      <c r="D634" s="130"/>
      <c r="E634" s="54"/>
      <c r="F634" s="130"/>
      <c r="G634" s="130"/>
      <c r="H634" s="55"/>
      <c r="I634" s="135"/>
      <c r="J634" s="131"/>
      <c r="K634" s="56"/>
      <c r="L634" s="57"/>
      <c r="M634" s="130"/>
      <c r="N634" s="57"/>
      <c r="O634" s="54"/>
      <c r="P634" s="132" t="str">
        <f>IFERROR(VLOOKUP(C634,TD!$B$32:$F$36,2,0)," ")</f>
        <v xml:space="preserve"> </v>
      </c>
      <c r="Q634" s="132" t="str">
        <f>IFERROR(VLOOKUP(C634,TD!$B$32:$F$36,3,0)," ")</f>
        <v xml:space="preserve"> </v>
      </c>
      <c r="R634" s="132" t="str">
        <f>IFERROR(VLOOKUP(C634,TD!$B$32:$F$36,4,0)," ")</f>
        <v xml:space="preserve"> </v>
      </c>
      <c r="S634" s="54"/>
      <c r="T634" s="132" t="str">
        <f>IFERROR(VLOOKUP(S634,TD!$J$33:$K$43,2,0)," ")</f>
        <v xml:space="preserve"> </v>
      </c>
      <c r="U634" s="54" t="str">
        <f t="shared" si="36"/>
        <v xml:space="preserve">- </v>
      </c>
      <c r="V634" s="54"/>
      <c r="W634" s="132" t="str">
        <f>IFERROR(VLOOKUP(V634,TD!$N$33:$O$45,2,0)," ")</f>
        <v xml:space="preserve"> </v>
      </c>
      <c r="X634" s="54" t="str">
        <f t="shared" si="37"/>
        <v xml:space="preserve">_ </v>
      </c>
      <c r="Y634" s="54" t="str">
        <f t="shared" si="38"/>
        <v xml:space="preserve">-  _ </v>
      </c>
      <c r="Z634" s="132" t="str">
        <f t="shared" si="39"/>
        <v xml:space="preserve">   </v>
      </c>
      <c r="AA634" s="132" t="str">
        <f>IFERROR(VLOOKUP(Y634,TD!$K$46:$L$64,2,0)," ")</f>
        <v xml:space="preserve"> </v>
      </c>
      <c r="AB634" s="57"/>
      <c r="AC634" s="133"/>
    </row>
    <row r="635" spans="2:29" s="28" customFormat="1">
      <c r="B635" s="85"/>
      <c r="C635" s="53"/>
      <c r="D635" s="130"/>
      <c r="E635" s="54"/>
      <c r="F635" s="130"/>
      <c r="G635" s="130"/>
      <c r="H635" s="55"/>
      <c r="I635" s="135"/>
      <c r="J635" s="131"/>
      <c r="K635" s="56"/>
      <c r="L635" s="57"/>
      <c r="M635" s="130"/>
      <c r="N635" s="57"/>
      <c r="O635" s="54"/>
      <c r="P635" s="132" t="str">
        <f>IFERROR(VLOOKUP(C635,TD!$B$32:$F$36,2,0)," ")</f>
        <v xml:space="preserve"> </v>
      </c>
      <c r="Q635" s="132" t="str">
        <f>IFERROR(VLOOKUP(C635,TD!$B$32:$F$36,3,0)," ")</f>
        <v xml:space="preserve"> </v>
      </c>
      <c r="R635" s="132" t="str">
        <f>IFERROR(VLOOKUP(C635,TD!$B$32:$F$36,4,0)," ")</f>
        <v xml:space="preserve"> </v>
      </c>
      <c r="S635" s="54"/>
      <c r="T635" s="132" t="str">
        <f>IFERROR(VLOOKUP(S635,TD!$J$33:$K$43,2,0)," ")</f>
        <v xml:space="preserve"> </v>
      </c>
      <c r="U635" s="54" t="str">
        <f t="shared" si="36"/>
        <v xml:space="preserve">- </v>
      </c>
      <c r="V635" s="54"/>
      <c r="W635" s="132" t="str">
        <f>IFERROR(VLOOKUP(V635,TD!$N$33:$O$45,2,0)," ")</f>
        <v xml:space="preserve"> </v>
      </c>
      <c r="X635" s="54" t="str">
        <f t="shared" si="37"/>
        <v xml:space="preserve">_ </v>
      </c>
      <c r="Y635" s="54" t="str">
        <f t="shared" si="38"/>
        <v xml:space="preserve">-  _ </v>
      </c>
      <c r="Z635" s="132" t="str">
        <f t="shared" si="39"/>
        <v xml:space="preserve">   </v>
      </c>
      <c r="AA635" s="132" t="str">
        <f>IFERROR(VLOOKUP(Y635,TD!$K$46:$L$64,2,0)," ")</f>
        <v xml:space="preserve"> </v>
      </c>
      <c r="AB635" s="57"/>
      <c r="AC635" s="133"/>
    </row>
    <row r="636" spans="2:29" s="28" customFormat="1">
      <c r="B636" s="85"/>
      <c r="C636" s="53"/>
      <c r="D636" s="130"/>
      <c r="E636" s="54"/>
      <c r="F636" s="130"/>
      <c r="G636" s="130"/>
      <c r="H636" s="55"/>
      <c r="I636" s="135"/>
      <c r="J636" s="131"/>
      <c r="K636" s="56"/>
      <c r="L636" s="57"/>
      <c r="M636" s="130"/>
      <c r="N636" s="57"/>
      <c r="O636" s="54"/>
      <c r="P636" s="132" t="str">
        <f>IFERROR(VLOOKUP(C636,TD!$B$32:$F$36,2,0)," ")</f>
        <v xml:space="preserve"> </v>
      </c>
      <c r="Q636" s="132" t="str">
        <f>IFERROR(VLOOKUP(C636,TD!$B$32:$F$36,3,0)," ")</f>
        <v xml:space="preserve"> </v>
      </c>
      <c r="R636" s="132" t="str">
        <f>IFERROR(VLOOKUP(C636,TD!$B$32:$F$36,4,0)," ")</f>
        <v xml:space="preserve"> </v>
      </c>
      <c r="S636" s="54"/>
      <c r="T636" s="132" t="str">
        <f>IFERROR(VLOOKUP(S636,TD!$J$33:$K$43,2,0)," ")</f>
        <v xml:space="preserve"> </v>
      </c>
      <c r="U636" s="54" t="str">
        <f t="shared" si="36"/>
        <v xml:space="preserve">- </v>
      </c>
      <c r="V636" s="54"/>
      <c r="W636" s="132" t="str">
        <f>IFERROR(VLOOKUP(V636,TD!$N$33:$O$45,2,0)," ")</f>
        <v xml:space="preserve"> </v>
      </c>
      <c r="X636" s="54" t="str">
        <f t="shared" si="37"/>
        <v xml:space="preserve">_ </v>
      </c>
      <c r="Y636" s="54" t="str">
        <f t="shared" si="38"/>
        <v xml:space="preserve">-  _ </v>
      </c>
      <c r="Z636" s="132" t="str">
        <f t="shared" si="39"/>
        <v xml:space="preserve">   </v>
      </c>
      <c r="AA636" s="132" t="str">
        <f>IFERROR(VLOOKUP(Y636,TD!$K$46:$L$64,2,0)," ")</f>
        <v xml:space="preserve"> </v>
      </c>
      <c r="AB636" s="57"/>
      <c r="AC636" s="133"/>
    </row>
    <row r="637" spans="2:29" s="28" customFormat="1">
      <c r="B637" s="85"/>
      <c r="C637" s="53"/>
      <c r="D637" s="130"/>
      <c r="E637" s="54"/>
      <c r="F637" s="130"/>
      <c r="G637" s="130"/>
      <c r="H637" s="55"/>
      <c r="I637" s="135"/>
      <c r="J637" s="131"/>
      <c r="K637" s="56"/>
      <c r="L637" s="57"/>
      <c r="M637" s="130"/>
      <c r="N637" s="57"/>
      <c r="O637" s="54"/>
      <c r="P637" s="132" t="str">
        <f>IFERROR(VLOOKUP(C637,TD!$B$32:$F$36,2,0)," ")</f>
        <v xml:space="preserve"> </v>
      </c>
      <c r="Q637" s="132" t="str">
        <f>IFERROR(VLOOKUP(C637,TD!$B$32:$F$36,3,0)," ")</f>
        <v xml:space="preserve"> </v>
      </c>
      <c r="R637" s="132" t="str">
        <f>IFERROR(VLOOKUP(C637,TD!$B$32:$F$36,4,0)," ")</f>
        <v xml:space="preserve"> </v>
      </c>
      <c r="S637" s="54"/>
      <c r="T637" s="132" t="str">
        <f>IFERROR(VLOOKUP(S637,TD!$J$33:$K$43,2,0)," ")</f>
        <v xml:space="preserve"> </v>
      </c>
      <c r="U637" s="54" t="str">
        <f t="shared" si="36"/>
        <v xml:space="preserve">- </v>
      </c>
      <c r="V637" s="54"/>
      <c r="W637" s="132" t="str">
        <f>IFERROR(VLOOKUP(V637,TD!$N$33:$O$45,2,0)," ")</f>
        <v xml:space="preserve"> </v>
      </c>
      <c r="X637" s="54" t="str">
        <f t="shared" si="37"/>
        <v xml:space="preserve">_ </v>
      </c>
      <c r="Y637" s="54" t="str">
        <f t="shared" si="38"/>
        <v xml:space="preserve">-  _ </v>
      </c>
      <c r="Z637" s="132" t="str">
        <f t="shared" si="39"/>
        <v xml:space="preserve">   </v>
      </c>
      <c r="AA637" s="132" t="str">
        <f>IFERROR(VLOOKUP(Y637,TD!$K$46:$L$64,2,0)," ")</f>
        <v xml:space="preserve"> </v>
      </c>
      <c r="AB637" s="57"/>
      <c r="AC637" s="133"/>
    </row>
    <row r="638" spans="2:29" s="28" customFormat="1">
      <c r="B638" s="85"/>
      <c r="C638" s="53"/>
      <c r="D638" s="130"/>
      <c r="E638" s="54"/>
      <c r="F638" s="130"/>
      <c r="G638" s="130"/>
      <c r="H638" s="55"/>
      <c r="I638" s="135"/>
      <c r="J638" s="131"/>
      <c r="K638" s="56"/>
      <c r="L638" s="57"/>
      <c r="M638" s="130"/>
      <c r="N638" s="57"/>
      <c r="O638" s="54"/>
      <c r="P638" s="132" t="str">
        <f>IFERROR(VLOOKUP(C638,TD!$B$32:$F$36,2,0)," ")</f>
        <v xml:space="preserve"> </v>
      </c>
      <c r="Q638" s="132" t="str">
        <f>IFERROR(VLOOKUP(C638,TD!$B$32:$F$36,3,0)," ")</f>
        <v xml:space="preserve"> </v>
      </c>
      <c r="R638" s="132" t="str">
        <f>IFERROR(VLOOKUP(C638,TD!$B$32:$F$36,4,0)," ")</f>
        <v xml:space="preserve"> </v>
      </c>
      <c r="S638" s="54"/>
      <c r="T638" s="132" t="str">
        <f>IFERROR(VLOOKUP(S638,TD!$J$33:$K$43,2,0)," ")</f>
        <v xml:space="preserve"> </v>
      </c>
      <c r="U638" s="54" t="str">
        <f t="shared" si="36"/>
        <v xml:space="preserve">- </v>
      </c>
      <c r="V638" s="54"/>
      <c r="W638" s="132" t="str">
        <f>IFERROR(VLOOKUP(V638,TD!$N$33:$O$45,2,0)," ")</f>
        <v xml:space="preserve"> </v>
      </c>
      <c r="X638" s="54" t="str">
        <f t="shared" si="37"/>
        <v xml:space="preserve">_ </v>
      </c>
      <c r="Y638" s="54" t="str">
        <f t="shared" si="38"/>
        <v xml:space="preserve">-  _ </v>
      </c>
      <c r="Z638" s="132" t="str">
        <f t="shared" si="39"/>
        <v xml:space="preserve">   </v>
      </c>
      <c r="AA638" s="132" t="str">
        <f>IFERROR(VLOOKUP(Y638,TD!$K$46:$L$64,2,0)," ")</f>
        <v xml:space="preserve"> </v>
      </c>
      <c r="AB638" s="57"/>
      <c r="AC638" s="133"/>
    </row>
    <row r="639" spans="2:29" s="28" customFormat="1">
      <c r="B639" s="85"/>
      <c r="C639" s="53"/>
      <c r="D639" s="130"/>
      <c r="E639" s="54"/>
      <c r="F639" s="130"/>
      <c r="G639" s="130"/>
      <c r="H639" s="55"/>
      <c r="I639" s="135"/>
      <c r="J639" s="131"/>
      <c r="K639" s="56"/>
      <c r="L639" s="57"/>
      <c r="M639" s="130"/>
      <c r="N639" s="57"/>
      <c r="O639" s="54"/>
      <c r="P639" s="132" t="str">
        <f>IFERROR(VLOOKUP(C639,TD!$B$32:$F$36,2,0)," ")</f>
        <v xml:space="preserve"> </v>
      </c>
      <c r="Q639" s="132" t="str">
        <f>IFERROR(VLOOKUP(C639,TD!$B$32:$F$36,3,0)," ")</f>
        <v xml:space="preserve"> </v>
      </c>
      <c r="R639" s="132" t="str">
        <f>IFERROR(VLOOKUP(C639,TD!$B$32:$F$36,4,0)," ")</f>
        <v xml:space="preserve"> </v>
      </c>
      <c r="S639" s="54"/>
      <c r="T639" s="132" t="str">
        <f>IFERROR(VLOOKUP(S639,TD!$J$33:$K$43,2,0)," ")</f>
        <v xml:space="preserve"> </v>
      </c>
      <c r="U639" s="54" t="str">
        <f t="shared" si="36"/>
        <v xml:space="preserve">- </v>
      </c>
      <c r="V639" s="54"/>
      <c r="W639" s="132" t="str">
        <f>IFERROR(VLOOKUP(V639,TD!$N$33:$O$45,2,0)," ")</f>
        <v xml:space="preserve"> </v>
      </c>
      <c r="X639" s="54" t="str">
        <f t="shared" si="37"/>
        <v xml:space="preserve">_ </v>
      </c>
      <c r="Y639" s="54" t="str">
        <f t="shared" si="38"/>
        <v xml:space="preserve">-  _ </v>
      </c>
      <c r="Z639" s="132" t="str">
        <f t="shared" si="39"/>
        <v xml:space="preserve">   </v>
      </c>
      <c r="AA639" s="132" t="str">
        <f>IFERROR(VLOOKUP(Y639,TD!$K$46:$L$64,2,0)," ")</f>
        <v xml:space="preserve"> </v>
      </c>
      <c r="AB639" s="57"/>
      <c r="AC639" s="133"/>
    </row>
    <row r="640" spans="2:29" s="28" customFormat="1">
      <c r="B640" s="85"/>
      <c r="C640" s="53"/>
      <c r="D640" s="130"/>
      <c r="E640" s="54"/>
      <c r="F640" s="130"/>
      <c r="G640" s="130"/>
      <c r="H640" s="55"/>
      <c r="I640" s="135"/>
      <c r="J640" s="131"/>
      <c r="K640" s="56"/>
      <c r="L640" s="57"/>
      <c r="M640" s="130"/>
      <c r="N640" s="57"/>
      <c r="O640" s="54"/>
      <c r="P640" s="132" t="str">
        <f>IFERROR(VLOOKUP(C640,TD!$B$32:$F$36,2,0)," ")</f>
        <v xml:space="preserve"> </v>
      </c>
      <c r="Q640" s="132" t="str">
        <f>IFERROR(VLOOKUP(C640,TD!$B$32:$F$36,3,0)," ")</f>
        <v xml:space="preserve"> </v>
      </c>
      <c r="R640" s="132" t="str">
        <f>IFERROR(VLOOKUP(C640,TD!$B$32:$F$36,4,0)," ")</f>
        <v xml:space="preserve"> </v>
      </c>
      <c r="S640" s="54"/>
      <c r="T640" s="132" t="str">
        <f>IFERROR(VLOOKUP(S640,TD!$J$33:$K$43,2,0)," ")</f>
        <v xml:space="preserve"> </v>
      </c>
      <c r="U640" s="54" t="str">
        <f t="shared" si="36"/>
        <v xml:space="preserve">- </v>
      </c>
      <c r="V640" s="54"/>
      <c r="W640" s="132" t="str">
        <f>IFERROR(VLOOKUP(V640,TD!$N$33:$O$45,2,0)," ")</f>
        <v xml:space="preserve"> </v>
      </c>
      <c r="X640" s="54" t="str">
        <f t="shared" si="37"/>
        <v xml:space="preserve">_ </v>
      </c>
      <c r="Y640" s="54" t="str">
        <f t="shared" si="38"/>
        <v xml:space="preserve">-  _ </v>
      </c>
      <c r="Z640" s="132" t="str">
        <f t="shared" si="39"/>
        <v xml:space="preserve">   </v>
      </c>
      <c r="AA640" s="132" t="str">
        <f>IFERROR(VLOOKUP(Y640,TD!$K$46:$L$64,2,0)," ")</f>
        <v xml:space="preserve"> </v>
      </c>
      <c r="AB640" s="57"/>
      <c r="AC640" s="133"/>
    </row>
    <row r="641" spans="2:29" s="28" customFormat="1">
      <c r="B641" s="85"/>
      <c r="C641" s="53"/>
      <c r="D641" s="130"/>
      <c r="E641" s="54"/>
      <c r="F641" s="130"/>
      <c r="G641" s="130"/>
      <c r="H641" s="55"/>
      <c r="I641" s="135"/>
      <c r="J641" s="131"/>
      <c r="K641" s="56"/>
      <c r="L641" s="57"/>
      <c r="M641" s="130"/>
      <c r="N641" s="57"/>
      <c r="O641" s="54"/>
      <c r="P641" s="132" t="str">
        <f>IFERROR(VLOOKUP(C641,TD!$B$32:$F$36,2,0)," ")</f>
        <v xml:space="preserve"> </v>
      </c>
      <c r="Q641" s="132" t="str">
        <f>IFERROR(VLOOKUP(C641,TD!$B$32:$F$36,3,0)," ")</f>
        <v xml:space="preserve"> </v>
      </c>
      <c r="R641" s="132" t="str">
        <f>IFERROR(VLOOKUP(C641,TD!$B$32:$F$36,4,0)," ")</f>
        <v xml:space="preserve"> </v>
      </c>
      <c r="S641" s="54"/>
      <c r="T641" s="132" t="str">
        <f>IFERROR(VLOOKUP(S641,TD!$J$33:$K$43,2,0)," ")</f>
        <v xml:space="preserve"> </v>
      </c>
      <c r="U641" s="54" t="str">
        <f t="shared" si="36"/>
        <v xml:space="preserve">- </v>
      </c>
      <c r="V641" s="54"/>
      <c r="W641" s="132" t="str">
        <f>IFERROR(VLOOKUP(V641,TD!$N$33:$O$45,2,0)," ")</f>
        <v xml:space="preserve"> </v>
      </c>
      <c r="X641" s="54" t="str">
        <f t="shared" si="37"/>
        <v xml:space="preserve">_ </v>
      </c>
      <c r="Y641" s="54" t="str">
        <f t="shared" si="38"/>
        <v xml:space="preserve">-  _ </v>
      </c>
      <c r="Z641" s="132" t="str">
        <f t="shared" si="39"/>
        <v xml:space="preserve">   </v>
      </c>
      <c r="AA641" s="132" t="str">
        <f>IFERROR(VLOOKUP(Y641,TD!$K$46:$L$64,2,0)," ")</f>
        <v xml:space="preserve"> </v>
      </c>
      <c r="AB641" s="57"/>
      <c r="AC641" s="133"/>
    </row>
    <row r="642" spans="2:29" s="28" customFormat="1">
      <c r="B642" s="85"/>
      <c r="C642" s="53"/>
      <c r="D642" s="130"/>
      <c r="E642" s="54"/>
      <c r="F642" s="130"/>
      <c r="G642" s="130"/>
      <c r="H642" s="55"/>
      <c r="I642" s="135"/>
      <c r="J642" s="131"/>
      <c r="K642" s="56"/>
      <c r="L642" s="57"/>
      <c r="M642" s="130"/>
      <c r="N642" s="57"/>
      <c r="O642" s="54"/>
      <c r="P642" s="132" t="str">
        <f>IFERROR(VLOOKUP(C642,TD!$B$32:$F$36,2,0)," ")</f>
        <v xml:space="preserve"> </v>
      </c>
      <c r="Q642" s="132" t="str">
        <f>IFERROR(VLOOKUP(C642,TD!$B$32:$F$36,3,0)," ")</f>
        <v xml:space="preserve"> </v>
      </c>
      <c r="R642" s="132" t="str">
        <f>IFERROR(VLOOKUP(C642,TD!$B$32:$F$36,4,0)," ")</f>
        <v xml:space="preserve"> </v>
      </c>
      <c r="S642" s="54"/>
      <c r="T642" s="132" t="str">
        <f>IFERROR(VLOOKUP(S642,TD!$J$33:$K$43,2,0)," ")</f>
        <v xml:space="preserve"> </v>
      </c>
      <c r="U642" s="54" t="str">
        <f t="shared" si="36"/>
        <v xml:space="preserve">- </v>
      </c>
      <c r="V642" s="54"/>
      <c r="W642" s="132" t="str">
        <f>IFERROR(VLOOKUP(V642,TD!$N$33:$O$45,2,0)," ")</f>
        <v xml:space="preserve"> </v>
      </c>
      <c r="X642" s="54" t="str">
        <f t="shared" si="37"/>
        <v xml:space="preserve">_ </v>
      </c>
      <c r="Y642" s="54" t="str">
        <f t="shared" si="38"/>
        <v xml:space="preserve">-  _ </v>
      </c>
      <c r="Z642" s="132" t="str">
        <f t="shared" si="39"/>
        <v xml:space="preserve">   </v>
      </c>
      <c r="AA642" s="132" t="str">
        <f>IFERROR(VLOOKUP(Y642,TD!$K$46:$L$64,2,0)," ")</f>
        <v xml:space="preserve"> </v>
      </c>
      <c r="AB642" s="57"/>
      <c r="AC642" s="133"/>
    </row>
    <row r="643" spans="2:29" s="28" customFormat="1">
      <c r="B643" s="85"/>
      <c r="C643" s="53"/>
      <c r="D643" s="130"/>
      <c r="E643" s="54"/>
      <c r="F643" s="130"/>
      <c r="G643" s="130"/>
      <c r="H643" s="55"/>
      <c r="I643" s="135"/>
      <c r="J643" s="131"/>
      <c r="K643" s="56"/>
      <c r="L643" s="57"/>
      <c r="M643" s="130"/>
      <c r="N643" s="57"/>
      <c r="O643" s="54"/>
      <c r="P643" s="132" t="str">
        <f>IFERROR(VLOOKUP(C643,TD!$B$32:$F$36,2,0)," ")</f>
        <v xml:space="preserve"> </v>
      </c>
      <c r="Q643" s="132" t="str">
        <f>IFERROR(VLOOKUP(C643,TD!$B$32:$F$36,3,0)," ")</f>
        <v xml:space="preserve"> </v>
      </c>
      <c r="R643" s="132" t="str">
        <f>IFERROR(VLOOKUP(C643,TD!$B$32:$F$36,4,0)," ")</f>
        <v xml:space="preserve"> </v>
      </c>
      <c r="S643" s="54"/>
      <c r="T643" s="132" t="str">
        <f>IFERROR(VLOOKUP(S643,TD!$J$33:$K$43,2,0)," ")</f>
        <v xml:space="preserve"> </v>
      </c>
      <c r="U643" s="54" t="str">
        <f t="shared" si="36"/>
        <v xml:space="preserve">- </v>
      </c>
      <c r="V643" s="54"/>
      <c r="W643" s="132" t="str">
        <f>IFERROR(VLOOKUP(V643,TD!$N$33:$O$45,2,0)," ")</f>
        <v xml:space="preserve"> </v>
      </c>
      <c r="X643" s="54" t="str">
        <f t="shared" si="37"/>
        <v xml:space="preserve">_ </v>
      </c>
      <c r="Y643" s="54" t="str">
        <f t="shared" si="38"/>
        <v xml:space="preserve">-  _ </v>
      </c>
      <c r="Z643" s="132" t="str">
        <f t="shared" si="39"/>
        <v xml:space="preserve">   </v>
      </c>
      <c r="AA643" s="132" t="str">
        <f>IFERROR(VLOOKUP(Y643,TD!$K$46:$L$64,2,0)," ")</f>
        <v xml:space="preserve"> </v>
      </c>
      <c r="AB643" s="57"/>
      <c r="AC643" s="133"/>
    </row>
    <row r="644" spans="2:29" s="28" customFormat="1">
      <c r="B644" s="85"/>
      <c r="C644" s="53"/>
      <c r="D644" s="130"/>
      <c r="E644" s="54"/>
      <c r="F644" s="130"/>
      <c r="G644" s="130"/>
      <c r="H644" s="55"/>
      <c r="I644" s="135"/>
      <c r="J644" s="131"/>
      <c r="K644" s="56"/>
      <c r="L644" s="57"/>
      <c r="M644" s="130"/>
      <c r="N644" s="57"/>
      <c r="O644" s="54"/>
      <c r="P644" s="132" t="str">
        <f>IFERROR(VLOOKUP(C644,TD!$B$32:$F$36,2,0)," ")</f>
        <v xml:space="preserve"> </v>
      </c>
      <c r="Q644" s="132" t="str">
        <f>IFERROR(VLOOKUP(C644,TD!$B$32:$F$36,3,0)," ")</f>
        <v xml:space="preserve"> </v>
      </c>
      <c r="R644" s="132" t="str">
        <f>IFERROR(VLOOKUP(C644,TD!$B$32:$F$36,4,0)," ")</f>
        <v xml:space="preserve"> </v>
      </c>
      <c r="S644" s="54"/>
      <c r="T644" s="132" t="str">
        <f>IFERROR(VLOOKUP(S644,TD!$J$33:$K$43,2,0)," ")</f>
        <v xml:space="preserve"> </v>
      </c>
      <c r="U644" s="54" t="str">
        <f t="shared" si="36"/>
        <v xml:space="preserve">- </v>
      </c>
      <c r="V644" s="54"/>
      <c r="W644" s="132" t="str">
        <f>IFERROR(VLOOKUP(V644,TD!$N$33:$O$45,2,0)," ")</f>
        <v xml:space="preserve"> </v>
      </c>
      <c r="X644" s="54" t="str">
        <f t="shared" si="37"/>
        <v xml:space="preserve">_ </v>
      </c>
      <c r="Y644" s="54" t="str">
        <f t="shared" si="38"/>
        <v xml:space="preserve">-  _ </v>
      </c>
      <c r="Z644" s="132" t="str">
        <f t="shared" si="39"/>
        <v xml:space="preserve">   </v>
      </c>
      <c r="AA644" s="132" t="str">
        <f>IFERROR(VLOOKUP(Y644,TD!$K$46:$L$64,2,0)," ")</f>
        <v xml:space="preserve"> </v>
      </c>
      <c r="AB644" s="57"/>
      <c r="AC644" s="133"/>
    </row>
    <row r="645" spans="2:29" s="28" customFormat="1">
      <c r="B645" s="85"/>
      <c r="C645" s="53"/>
      <c r="D645" s="130"/>
      <c r="E645" s="54"/>
      <c r="F645" s="130"/>
      <c r="G645" s="130"/>
      <c r="H645" s="55"/>
      <c r="I645" s="135"/>
      <c r="J645" s="131"/>
      <c r="K645" s="56"/>
      <c r="L645" s="57"/>
      <c r="M645" s="130"/>
      <c r="N645" s="57"/>
      <c r="O645" s="54"/>
      <c r="P645" s="132" t="str">
        <f>IFERROR(VLOOKUP(C645,TD!$B$32:$F$36,2,0)," ")</f>
        <v xml:space="preserve"> </v>
      </c>
      <c r="Q645" s="132" t="str">
        <f>IFERROR(VLOOKUP(C645,TD!$B$32:$F$36,3,0)," ")</f>
        <v xml:space="preserve"> </v>
      </c>
      <c r="R645" s="132" t="str">
        <f>IFERROR(VLOOKUP(C645,TD!$B$32:$F$36,4,0)," ")</f>
        <v xml:space="preserve"> </v>
      </c>
      <c r="S645" s="54"/>
      <c r="T645" s="132" t="str">
        <f>IFERROR(VLOOKUP(S645,TD!$J$33:$K$43,2,0)," ")</f>
        <v xml:space="preserve"> </v>
      </c>
      <c r="U645" s="54" t="str">
        <f t="shared" si="36"/>
        <v xml:space="preserve">- </v>
      </c>
      <c r="V645" s="54"/>
      <c r="W645" s="132" t="str">
        <f>IFERROR(VLOOKUP(V645,TD!$N$33:$O$45,2,0)," ")</f>
        <v xml:space="preserve"> </v>
      </c>
      <c r="X645" s="54" t="str">
        <f t="shared" si="37"/>
        <v xml:space="preserve">_ </v>
      </c>
      <c r="Y645" s="54" t="str">
        <f t="shared" si="38"/>
        <v xml:space="preserve">-  _ </v>
      </c>
      <c r="Z645" s="132" t="str">
        <f t="shared" si="39"/>
        <v xml:space="preserve">   </v>
      </c>
      <c r="AA645" s="132" t="str">
        <f>IFERROR(VLOOKUP(Y645,TD!$K$46:$L$64,2,0)," ")</f>
        <v xml:space="preserve"> </v>
      </c>
      <c r="AB645" s="57"/>
      <c r="AC645" s="133"/>
    </row>
    <row r="646" spans="2:29" s="28" customFormat="1">
      <c r="B646" s="85"/>
      <c r="C646" s="53"/>
      <c r="D646" s="130"/>
      <c r="E646" s="54"/>
      <c r="F646" s="130"/>
      <c r="G646" s="130"/>
      <c r="H646" s="55"/>
      <c r="I646" s="135"/>
      <c r="J646" s="131"/>
      <c r="K646" s="56"/>
      <c r="L646" s="57"/>
      <c r="M646" s="130"/>
      <c r="N646" s="57"/>
      <c r="O646" s="54"/>
      <c r="P646" s="132" t="str">
        <f>IFERROR(VLOOKUP(C646,TD!$B$32:$F$36,2,0)," ")</f>
        <v xml:space="preserve"> </v>
      </c>
      <c r="Q646" s="132" t="str">
        <f>IFERROR(VLOOKUP(C646,TD!$B$32:$F$36,3,0)," ")</f>
        <v xml:space="preserve"> </v>
      </c>
      <c r="R646" s="132" t="str">
        <f>IFERROR(VLOOKUP(C646,TD!$B$32:$F$36,4,0)," ")</f>
        <v xml:space="preserve"> </v>
      </c>
      <c r="S646" s="54"/>
      <c r="T646" s="132" t="str">
        <f>IFERROR(VLOOKUP(S646,TD!$J$33:$K$43,2,0)," ")</f>
        <v xml:space="preserve"> </v>
      </c>
      <c r="U646" s="54" t="str">
        <f t="shared" si="36"/>
        <v xml:space="preserve">- </v>
      </c>
      <c r="V646" s="54"/>
      <c r="W646" s="132" t="str">
        <f>IFERROR(VLOOKUP(V646,TD!$N$33:$O$45,2,0)," ")</f>
        <v xml:space="preserve"> </v>
      </c>
      <c r="X646" s="54" t="str">
        <f t="shared" si="37"/>
        <v xml:space="preserve">_ </v>
      </c>
      <c r="Y646" s="54" t="str">
        <f t="shared" si="38"/>
        <v xml:space="preserve">-  _ </v>
      </c>
      <c r="Z646" s="132" t="str">
        <f t="shared" si="39"/>
        <v xml:space="preserve">   </v>
      </c>
      <c r="AA646" s="132" t="str">
        <f>IFERROR(VLOOKUP(Y646,TD!$K$46:$L$64,2,0)," ")</f>
        <v xml:space="preserve"> </v>
      </c>
      <c r="AB646" s="57"/>
      <c r="AC646" s="133"/>
    </row>
    <row r="647" spans="2:29" s="28" customFormat="1">
      <c r="B647" s="85"/>
      <c r="C647" s="53"/>
      <c r="D647" s="130"/>
      <c r="E647" s="54"/>
      <c r="F647" s="130"/>
      <c r="G647" s="130"/>
      <c r="H647" s="55"/>
      <c r="I647" s="135"/>
      <c r="J647" s="131"/>
      <c r="K647" s="56"/>
      <c r="L647" s="57"/>
      <c r="M647" s="130"/>
      <c r="N647" s="57"/>
      <c r="O647" s="54"/>
      <c r="P647" s="132" t="str">
        <f>IFERROR(VLOOKUP(C647,TD!$B$32:$F$36,2,0)," ")</f>
        <v xml:space="preserve"> </v>
      </c>
      <c r="Q647" s="132" t="str">
        <f>IFERROR(VLOOKUP(C647,TD!$B$32:$F$36,3,0)," ")</f>
        <v xml:space="preserve"> </v>
      </c>
      <c r="R647" s="132" t="str">
        <f>IFERROR(VLOOKUP(C647,TD!$B$32:$F$36,4,0)," ")</f>
        <v xml:space="preserve"> </v>
      </c>
      <c r="S647" s="54"/>
      <c r="T647" s="132" t="str">
        <f>IFERROR(VLOOKUP(S647,TD!$J$33:$K$43,2,0)," ")</f>
        <v xml:space="preserve"> </v>
      </c>
      <c r="U647" s="54" t="str">
        <f t="shared" si="36"/>
        <v xml:space="preserve">- </v>
      </c>
      <c r="V647" s="54"/>
      <c r="W647" s="132" t="str">
        <f>IFERROR(VLOOKUP(V647,TD!$N$33:$O$45,2,0)," ")</f>
        <v xml:space="preserve"> </v>
      </c>
      <c r="X647" s="54" t="str">
        <f t="shared" si="37"/>
        <v xml:space="preserve">_ </v>
      </c>
      <c r="Y647" s="54" t="str">
        <f t="shared" si="38"/>
        <v xml:space="preserve">-  _ </v>
      </c>
      <c r="Z647" s="132" t="str">
        <f t="shared" si="39"/>
        <v xml:space="preserve">   </v>
      </c>
      <c r="AA647" s="132" t="str">
        <f>IFERROR(VLOOKUP(Y647,TD!$K$46:$L$64,2,0)," ")</f>
        <v xml:space="preserve"> </v>
      </c>
      <c r="AB647" s="57"/>
      <c r="AC647" s="133"/>
    </row>
    <row r="648" spans="2:29" s="28" customFormat="1">
      <c r="B648" s="85"/>
      <c r="C648" s="53"/>
      <c r="D648" s="130"/>
      <c r="E648" s="54"/>
      <c r="F648" s="130"/>
      <c r="G648" s="130"/>
      <c r="H648" s="55"/>
      <c r="I648" s="135"/>
      <c r="J648" s="131"/>
      <c r="K648" s="56"/>
      <c r="L648" s="57"/>
      <c r="M648" s="130"/>
      <c r="N648" s="57"/>
      <c r="O648" s="54"/>
      <c r="P648" s="132" t="str">
        <f>IFERROR(VLOOKUP(C648,TD!$B$32:$F$36,2,0)," ")</f>
        <v xml:space="preserve"> </v>
      </c>
      <c r="Q648" s="132" t="str">
        <f>IFERROR(VLOOKUP(C648,TD!$B$32:$F$36,3,0)," ")</f>
        <v xml:space="preserve"> </v>
      </c>
      <c r="R648" s="132" t="str">
        <f>IFERROR(VLOOKUP(C648,TD!$B$32:$F$36,4,0)," ")</f>
        <v xml:space="preserve"> </v>
      </c>
      <c r="S648" s="54"/>
      <c r="T648" s="132" t="str">
        <f>IFERROR(VLOOKUP(S648,TD!$J$33:$K$43,2,0)," ")</f>
        <v xml:space="preserve"> </v>
      </c>
      <c r="U648" s="54" t="str">
        <f t="shared" si="36"/>
        <v xml:space="preserve">- </v>
      </c>
      <c r="V648" s="54"/>
      <c r="W648" s="132" t="str">
        <f>IFERROR(VLOOKUP(V648,TD!$N$33:$O$45,2,0)," ")</f>
        <v xml:space="preserve"> </v>
      </c>
      <c r="X648" s="54" t="str">
        <f t="shared" si="37"/>
        <v xml:space="preserve">_ </v>
      </c>
      <c r="Y648" s="54" t="str">
        <f t="shared" si="38"/>
        <v xml:space="preserve">-  _ </v>
      </c>
      <c r="Z648" s="132" t="str">
        <f t="shared" si="39"/>
        <v xml:space="preserve">   </v>
      </c>
      <c r="AA648" s="132" t="str">
        <f>IFERROR(VLOOKUP(Y648,TD!$K$46:$L$64,2,0)," ")</f>
        <v xml:space="preserve"> </v>
      </c>
      <c r="AB648" s="57"/>
      <c r="AC648" s="133"/>
    </row>
    <row r="649" spans="2:29" s="28" customFormat="1">
      <c r="B649" s="85"/>
      <c r="C649" s="53"/>
      <c r="D649" s="130"/>
      <c r="E649" s="54"/>
      <c r="F649" s="130"/>
      <c r="G649" s="130"/>
      <c r="H649" s="55"/>
      <c r="I649" s="135"/>
      <c r="J649" s="131"/>
      <c r="K649" s="56"/>
      <c r="L649" s="57"/>
      <c r="M649" s="130"/>
      <c r="N649" s="57"/>
      <c r="O649" s="54"/>
      <c r="P649" s="132" t="str">
        <f>IFERROR(VLOOKUP(C649,TD!$B$32:$F$36,2,0)," ")</f>
        <v xml:space="preserve"> </v>
      </c>
      <c r="Q649" s="132" t="str">
        <f>IFERROR(VLOOKUP(C649,TD!$B$32:$F$36,3,0)," ")</f>
        <v xml:space="preserve"> </v>
      </c>
      <c r="R649" s="132" t="str">
        <f>IFERROR(VLOOKUP(C649,TD!$B$32:$F$36,4,0)," ")</f>
        <v xml:space="preserve"> </v>
      </c>
      <c r="S649" s="54"/>
      <c r="T649" s="132" t="str">
        <f>IFERROR(VLOOKUP(S649,TD!$J$33:$K$43,2,0)," ")</f>
        <v xml:space="preserve"> </v>
      </c>
      <c r="U649" s="54" t="str">
        <f t="shared" si="36"/>
        <v xml:space="preserve">- </v>
      </c>
      <c r="V649" s="54"/>
      <c r="W649" s="132" t="str">
        <f>IFERROR(VLOOKUP(V649,TD!$N$33:$O$45,2,0)," ")</f>
        <v xml:space="preserve"> </v>
      </c>
      <c r="X649" s="54" t="str">
        <f t="shared" si="37"/>
        <v xml:space="preserve">_ </v>
      </c>
      <c r="Y649" s="54" t="str">
        <f t="shared" si="38"/>
        <v xml:space="preserve">-  _ </v>
      </c>
      <c r="Z649" s="132" t="str">
        <f t="shared" si="39"/>
        <v xml:space="preserve">   </v>
      </c>
      <c r="AA649" s="132" t="str">
        <f>IFERROR(VLOOKUP(Y649,TD!$K$46:$L$64,2,0)," ")</f>
        <v xml:space="preserve"> </v>
      </c>
      <c r="AB649" s="57"/>
      <c r="AC649" s="133"/>
    </row>
    <row r="650" spans="2:29" s="28" customFormat="1">
      <c r="B650" s="85"/>
      <c r="C650" s="53"/>
      <c r="D650" s="130"/>
      <c r="E650" s="54"/>
      <c r="F650" s="130"/>
      <c r="G650" s="130"/>
      <c r="H650" s="55"/>
      <c r="I650" s="135"/>
      <c r="J650" s="131"/>
      <c r="K650" s="56"/>
      <c r="L650" s="57"/>
      <c r="M650" s="130"/>
      <c r="N650" s="57"/>
      <c r="O650" s="54"/>
      <c r="P650" s="132" t="str">
        <f>IFERROR(VLOOKUP(C650,TD!$B$32:$F$36,2,0)," ")</f>
        <v xml:space="preserve"> </v>
      </c>
      <c r="Q650" s="132" t="str">
        <f>IFERROR(VLOOKUP(C650,TD!$B$32:$F$36,3,0)," ")</f>
        <v xml:space="preserve"> </v>
      </c>
      <c r="R650" s="132" t="str">
        <f>IFERROR(VLOOKUP(C650,TD!$B$32:$F$36,4,0)," ")</f>
        <v xml:space="preserve"> </v>
      </c>
      <c r="S650" s="54"/>
      <c r="T650" s="132" t="str">
        <f>IFERROR(VLOOKUP(S650,TD!$J$33:$K$43,2,0)," ")</f>
        <v xml:space="preserve"> </v>
      </c>
      <c r="U650" s="54" t="str">
        <f t="shared" si="36"/>
        <v xml:space="preserve">- </v>
      </c>
      <c r="V650" s="54"/>
      <c r="W650" s="132" t="str">
        <f>IFERROR(VLOOKUP(V650,TD!$N$33:$O$45,2,0)," ")</f>
        <v xml:space="preserve"> </v>
      </c>
      <c r="X650" s="54" t="str">
        <f t="shared" si="37"/>
        <v xml:space="preserve">_ </v>
      </c>
      <c r="Y650" s="54" t="str">
        <f t="shared" si="38"/>
        <v xml:space="preserve">-  _ </v>
      </c>
      <c r="Z650" s="132" t="str">
        <f t="shared" si="39"/>
        <v xml:space="preserve">   </v>
      </c>
      <c r="AA650" s="132" t="str">
        <f>IFERROR(VLOOKUP(Y650,TD!$K$46:$L$64,2,0)," ")</f>
        <v xml:space="preserve"> </v>
      </c>
      <c r="AB650" s="57"/>
      <c r="AC650" s="133"/>
    </row>
    <row r="651" spans="2:29" s="28" customFormat="1">
      <c r="B651" s="85"/>
      <c r="C651" s="53"/>
      <c r="D651" s="130"/>
      <c r="E651" s="54"/>
      <c r="F651" s="130"/>
      <c r="G651" s="130"/>
      <c r="H651" s="55"/>
      <c r="I651" s="135"/>
      <c r="J651" s="131"/>
      <c r="K651" s="56"/>
      <c r="L651" s="57"/>
      <c r="M651" s="130"/>
      <c r="N651" s="57"/>
      <c r="O651" s="54"/>
      <c r="P651" s="132" t="str">
        <f>IFERROR(VLOOKUP(C651,TD!$B$32:$F$36,2,0)," ")</f>
        <v xml:space="preserve"> </v>
      </c>
      <c r="Q651" s="132" t="str">
        <f>IFERROR(VLOOKUP(C651,TD!$B$32:$F$36,3,0)," ")</f>
        <v xml:space="preserve"> </v>
      </c>
      <c r="R651" s="132" t="str">
        <f>IFERROR(VLOOKUP(C651,TD!$B$32:$F$36,4,0)," ")</f>
        <v xml:space="preserve"> </v>
      </c>
      <c r="S651" s="54"/>
      <c r="T651" s="132" t="str">
        <f>IFERROR(VLOOKUP(S651,TD!$J$33:$K$43,2,0)," ")</f>
        <v xml:space="preserve"> </v>
      </c>
      <c r="U651" s="54" t="str">
        <f t="shared" ref="U651:U714" si="40">CONCATENATE(S651,"-",T651)</f>
        <v xml:space="preserve">- </v>
      </c>
      <c r="V651" s="54"/>
      <c r="W651" s="132" t="str">
        <f>IFERROR(VLOOKUP(V651,TD!$N$33:$O$45,2,0)," ")</f>
        <v xml:space="preserve"> </v>
      </c>
      <c r="X651" s="54" t="str">
        <f t="shared" ref="X651:X714" si="41">CONCATENATE(V651,"_",W651)</f>
        <v xml:space="preserve">_ </v>
      </c>
      <c r="Y651" s="54" t="str">
        <f t="shared" ref="Y651:Y714" si="42">CONCATENATE(U651," ",X651)</f>
        <v xml:space="preserve">-  _ </v>
      </c>
      <c r="Z651" s="132" t="str">
        <f t="shared" ref="Z651:Z714" si="43">CONCATENATE(P651,Q651,R651,S651,V651)</f>
        <v xml:space="preserve">   </v>
      </c>
      <c r="AA651" s="132" t="str">
        <f>IFERROR(VLOOKUP(Y651,TD!$K$46:$L$64,2,0)," ")</f>
        <v xml:space="preserve"> </v>
      </c>
      <c r="AB651" s="57"/>
      <c r="AC651" s="133"/>
    </row>
    <row r="652" spans="2:29" s="28" customFormat="1">
      <c r="B652" s="85"/>
      <c r="C652" s="53"/>
      <c r="D652" s="130"/>
      <c r="E652" s="54"/>
      <c r="F652" s="130"/>
      <c r="G652" s="130"/>
      <c r="H652" s="55"/>
      <c r="I652" s="135"/>
      <c r="J652" s="131"/>
      <c r="K652" s="56"/>
      <c r="L652" s="57"/>
      <c r="M652" s="130"/>
      <c r="N652" s="57"/>
      <c r="O652" s="54"/>
      <c r="P652" s="132" t="str">
        <f>IFERROR(VLOOKUP(C652,TD!$B$32:$F$36,2,0)," ")</f>
        <v xml:space="preserve"> </v>
      </c>
      <c r="Q652" s="132" t="str">
        <f>IFERROR(VLOOKUP(C652,TD!$B$32:$F$36,3,0)," ")</f>
        <v xml:space="preserve"> </v>
      </c>
      <c r="R652" s="132" t="str">
        <f>IFERROR(VLOOKUP(C652,TD!$B$32:$F$36,4,0)," ")</f>
        <v xml:space="preserve"> </v>
      </c>
      <c r="S652" s="54"/>
      <c r="T652" s="132" t="str">
        <f>IFERROR(VLOOKUP(S652,TD!$J$33:$K$43,2,0)," ")</f>
        <v xml:space="preserve"> </v>
      </c>
      <c r="U652" s="54" t="str">
        <f t="shared" si="40"/>
        <v xml:space="preserve">- </v>
      </c>
      <c r="V652" s="54"/>
      <c r="W652" s="132" t="str">
        <f>IFERROR(VLOOKUP(V652,TD!$N$33:$O$45,2,0)," ")</f>
        <v xml:space="preserve"> </v>
      </c>
      <c r="X652" s="54" t="str">
        <f t="shared" si="41"/>
        <v xml:space="preserve">_ </v>
      </c>
      <c r="Y652" s="54" t="str">
        <f t="shared" si="42"/>
        <v xml:space="preserve">-  _ </v>
      </c>
      <c r="Z652" s="132" t="str">
        <f t="shared" si="43"/>
        <v xml:space="preserve">   </v>
      </c>
      <c r="AA652" s="132" t="str">
        <f>IFERROR(VLOOKUP(Y652,TD!$K$46:$L$64,2,0)," ")</f>
        <v xml:space="preserve"> </v>
      </c>
      <c r="AB652" s="57"/>
      <c r="AC652" s="133"/>
    </row>
    <row r="653" spans="2:29" s="28" customFormat="1">
      <c r="B653" s="85"/>
      <c r="C653" s="53"/>
      <c r="D653" s="130"/>
      <c r="E653" s="54"/>
      <c r="F653" s="130"/>
      <c r="G653" s="130"/>
      <c r="H653" s="55"/>
      <c r="I653" s="135"/>
      <c r="J653" s="131"/>
      <c r="K653" s="56"/>
      <c r="L653" s="57"/>
      <c r="M653" s="130"/>
      <c r="N653" s="57"/>
      <c r="O653" s="54"/>
      <c r="P653" s="132" t="str">
        <f>IFERROR(VLOOKUP(C653,TD!$B$32:$F$36,2,0)," ")</f>
        <v xml:space="preserve"> </v>
      </c>
      <c r="Q653" s="132" t="str">
        <f>IFERROR(VLOOKUP(C653,TD!$B$32:$F$36,3,0)," ")</f>
        <v xml:space="preserve"> </v>
      </c>
      <c r="R653" s="132" t="str">
        <f>IFERROR(VLOOKUP(C653,TD!$B$32:$F$36,4,0)," ")</f>
        <v xml:space="preserve"> </v>
      </c>
      <c r="S653" s="54"/>
      <c r="T653" s="132" t="str">
        <f>IFERROR(VLOOKUP(S653,TD!$J$33:$K$43,2,0)," ")</f>
        <v xml:space="preserve"> </v>
      </c>
      <c r="U653" s="54" t="str">
        <f t="shared" si="40"/>
        <v xml:space="preserve">- </v>
      </c>
      <c r="V653" s="54"/>
      <c r="W653" s="132" t="str">
        <f>IFERROR(VLOOKUP(V653,TD!$N$33:$O$45,2,0)," ")</f>
        <v xml:space="preserve"> </v>
      </c>
      <c r="X653" s="54" t="str">
        <f t="shared" si="41"/>
        <v xml:space="preserve">_ </v>
      </c>
      <c r="Y653" s="54" t="str">
        <f t="shared" si="42"/>
        <v xml:space="preserve">-  _ </v>
      </c>
      <c r="Z653" s="132" t="str">
        <f t="shared" si="43"/>
        <v xml:space="preserve">   </v>
      </c>
      <c r="AA653" s="132" t="str">
        <f>IFERROR(VLOOKUP(Y653,TD!$K$46:$L$64,2,0)," ")</f>
        <v xml:space="preserve"> </v>
      </c>
      <c r="AB653" s="57"/>
      <c r="AC653" s="133"/>
    </row>
    <row r="654" spans="2:29" s="28" customFormat="1">
      <c r="B654" s="85"/>
      <c r="C654" s="53"/>
      <c r="D654" s="130"/>
      <c r="E654" s="54"/>
      <c r="F654" s="130"/>
      <c r="G654" s="130"/>
      <c r="H654" s="55"/>
      <c r="I654" s="135"/>
      <c r="J654" s="131"/>
      <c r="K654" s="56"/>
      <c r="L654" s="57"/>
      <c r="M654" s="130"/>
      <c r="N654" s="57"/>
      <c r="O654" s="54"/>
      <c r="P654" s="132" t="str">
        <f>IFERROR(VLOOKUP(C654,TD!$B$32:$F$36,2,0)," ")</f>
        <v xml:space="preserve"> </v>
      </c>
      <c r="Q654" s="132" t="str">
        <f>IFERROR(VLOOKUP(C654,TD!$B$32:$F$36,3,0)," ")</f>
        <v xml:space="preserve"> </v>
      </c>
      <c r="R654" s="132" t="str">
        <f>IFERROR(VLOOKUP(C654,TD!$B$32:$F$36,4,0)," ")</f>
        <v xml:space="preserve"> </v>
      </c>
      <c r="S654" s="54"/>
      <c r="T654" s="132" t="str">
        <f>IFERROR(VLOOKUP(S654,TD!$J$33:$K$43,2,0)," ")</f>
        <v xml:space="preserve"> </v>
      </c>
      <c r="U654" s="54" t="str">
        <f t="shared" si="40"/>
        <v xml:space="preserve">- </v>
      </c>
      <c r="V654" s="54"/>
      <c r="W654" s="132" t="str">
        <f>IFERROR(VLOOKUP(V654,TD!$N$33:$O$45,2,0)," ")</f>
        <v xml:space="preserve"> </v>
      </c>
      <c r="X654" s="54" t="str">
        <f t="shared" si="41"/>
        <v xml:space="preserve">_ </v>
      </c>
      <c r="Y654" s="54" t="str">
        <f t="shared" si="42"/>
        <v xml:space="preserve">-  _ </v>
      </c>
      <c r="Z654" s="132" t="str">
        <f t="shared" si="43"/>
        <v xml:space="preserve">   </v>
      </c>
      <c r="AA654" s="132" t="str">
        <f>IFERROR(VLOOKUP(Y654,TD!$K$46:$L$64,2,0)," ")</f>
        <v xml:space="preserve"> </v>
      </c>
      <c r="AB654" s="57"/>
      <c r="AC654" s="133"/>
    </row>
    <row r="655" spans="2:29" s="28" customFormat="1">
      <c r="B655" s="85"/>
      <c r="C655" s="53"/>
      <c r="D655" s="130"/>
      <c r="E655" s="54"/>
      <c r="F655" s="130"/>
      <c r="G655" s="130"/>
      <c r="H655" s="55"/>
      <c r="I655" s="135"/>
      <c r="J655" s="131"/>
      <c r="K655" s="56"/>
      <c r="L655" s="57"/>
      <c r="M655" s="130"/>
      <c r="N655" s="57"/>
      <c r="O655" s="54"/>
      <c r="P655" s="132" t="str">
        <f>IFERROR(VLOOKUP(C655,TD!$B$32:$F$36,2,0)," ")</f>
        <v xml:space="preserve"> </v>
      </c>
      <c r="Q655" s="132" t="str">
        <f>IFERROR(VLOOKUP(C655,TD!$B$32:$F$36,3,0)," ")</f>
        <v xml:space="preserve"> </v>
      </c>
      <c r="R655" s="132" t="str">
        <f>IFERROR(VLOOKUP(C655,TD!$B$32:$F$36,4,0)," ")</f>
        <v xml:space="preserve"> </v>
      </c>
      <c r="S655" s="54"/>
      <c r="T655" s="132" t="str">
        <f>IFERROR(VLOOKUP(S655,TD!$J$33:$K$43,2,0)," ")</f>
        <v xml:space="preserve"> </v>
      </c>
      <c r="U655" s="54" t="str">
        <f t="shared" si="40"/>
        <v xml:space="preserve">- </v>
      </c>
      <c r="V655" s="54"/>
      <c r="W655" s="132" t="str">
        <f>IFERROR(VLOOKUP(V655,TD!$N$33:$O$45,2,0)," ")</f>
        <v xml:space="preserve"> </v>
      </c>
      <c r="X655" s="54" t="str">
        <f t="shared" si="41"/>
        <v xml:space="preserve">_ </v>
      </c>
      <c r="Y655" s="54" t="str">
        <f t="shared" si="42"/>
        <v xml:space="preserve">-  _ </v>
      </c>
      <c r="Z655" s="132" t="str">
        <f t="shared" si="43"/>
        <v xml:space="preserve">   </v>
      </c>
      <c r="AA655" s="132" t="str">
        <f>IFERROR(VLOOKUP(Y655,TD!$K$46:$L$64,2,0)," ")</f>
        <v xml:space="preserve"> </v>
      </c>
      <c r="AB655" s="57"/>
      <c r="AC655" s="133"/>
    </row>
    <row r="656" spans="2:29" s="28" customFormat="1">
      <c r="B656" s="85"/>
      <c r="C656" s="53"/>
      <c r="D656" s="130"/>
      <c r="E656" s="54"/>
      <c r="F656" s="130"/>
      <c r="G656" s="130"/>
      <c r="H656" s="55"/>
      <c r="I656" s="135"/>
      <c r="J656" s="131"/>
      <c r="K656" s="56"/>
      <c r="L656" s="57"/>
      <c r="M656" s="130"/>
      <c r="N656" s="57"/>
      <c r="O656" s="54"/>
      <c r="P656" s="132" t="str">
        <f>IFERROR(VLOOKUP(C656,TD!$B$32:$F$36,2,0)," ")</f>
        <v xml:space="preserve"> </v>
      </c>
      <c r="Q656" s="132" t="str">
        <f>IFERROR(VLOOKUP(C656,TD!$B$32:$F$36,3,0)," ")</f>
        <v xml:space="preserve"> </v>
      </c>
      <c r="R656" s="132" t="str">
        <f>IFERROR(VLOOKUP(C656,TD!$B$32:$F$36,4,0)," ")</f>
        <v xml:space="preserve"> </v>
      </c>
      <c r="S656" s="54"/>
      <c r="T656" s="132" t="str">
        <f>IFERROR(VLOOKUP(S656,TD!$J$33:$K$43,2,0)," ")</f>
        <v xml:space="preserve"> </v>
      </c>
      <c r="U656" s="54" t="str">
        <f t="shared" si="40"/>
        <v xml:space="preserve">- </v>
      </c>
      <c r="V656" s="54"/>
      <c r="W656" s="132" t="str">
        <f>IFERROR(VLOOKUP(V656,TD!$N$33:$O$45,2,0)," ")</f>
        <v xml:space="preserve"> </v>
      </c>
      <c r="X656" s="54" t="str">
        <f t="shared" si="41"/>
        <v xml:space="preserve">_ </v>
      </c>
      <c r="Y656" s="54" t="str">
        <f t="shared" si="42"/>
        <v xml:space="preserve">-  _ </v>
      </c>
      <c r="Z656" s="132" t="str">
        <f t="shared" si="43"/>
        <v xml:space="preserve">   </v>
      </c>
      <c r="AA656" s="132" t="str">
        <f>IFERROR(VLOOKUP(Y656,TD!$K$46:$L$64,2,0)," ")</f>
        <v xml:space="preserve"> </v>
      </c>
      <c r="AB656" s="57"/>
      <c r="AC656" s="133"/>
    </row>
    <row r="657" spans="2:29" s="28" customFormat="1">
      <c r="B657" s="85"/>
      <c r="C657" s="53"/>
      <c r="D657" s="130"/>
      <c r="E657" s="54"/>
      <c r="F657" s="130"/>
      <c r="G657" s="130"/>
      <c r="H657" s="55"/>
      <c r="I657" s="135"/>
      <c r="J657" s="131"/>
      <c r="K657" s="56"/>
      <c r="L657" s="57"/>
      <c r="M657" s="130"/>
      <c r="N657" s="57"/>
      <c r="O657" s="54"/>
      <c r="P657" s="132" t="str">
        <f>IFERROR(VLOOKUP(C657,TD!$B$32:$F$36,2,0)," ")</f>
        <v xml:space="preserve"> </v>
      </c>
      <c r="Q657" s="132" t="str">
        <f>IFERROR(VLOOKUP(C657,TD!$B$32:$F$36,3,0)," ")</f>
        <v xml:space="preserve"> </v>
      </c>
      <c r="R657" s="132" t="str">
        <f>IFERROR(VLOOKUP(C657,TD!$B$32:$F$36,4,0)," ")</f>
        <v xml:space="preserve"> </v>
      </c>
      <c r="S657" s="54"/>
      <c r="T657" s="132" t="str">
        <f>IFERROR(VLOOKUP(S657,TD!$J$33:$K$43,2,0)," ")</f>
        <v xml:space="preserve"> </v>
      </c>
      <c r="U657" s="54" t="str">
        <f t="shared" si="40"/>
        <v xml:space="preserve">- </v>
      </c>
      <c r="V657" s="54"/>
      <c r="W657" s="132" t="str">
        <f>IFERROR(VLOOKUP(V657,TD!$N$33:$O$45,2,0)," ")</f>
        <v xml:space="preserve"> </v>
      </c>
      <c r="X657" s="54" t="str">
        <f t="shared" si="41"/>
        <v xml:space="preserve">_ </v>
      </c>
      <c r="Y657" s="54" t="str">
        <f t="shared" si="42"/>
        <v xml:space="preserve">-  _ </v>
      </c>
      <c r="Z657" s="132" t="str">
        <f t="shared" si="43"/>
        <v xml:space="preserve">   </v>
      </c>
      <c r="AA657" s="132" t="str">
        <f>IFERROR(VLOOKUP(Y657,TD!$K$46:$L$64,2,0)," ")</f>
        <v xml:space="preserve"> </v>
      </c>
      <c r="AB657" s="57"/>
      <c r="AC657" s="133"/>
    </row>
    <row r="658" spans="2:29" s="28" customFormat="1">
      <c r="B658" s="85"/>
      <c r="C658" s="53"/>
      <c r="D658" s="130"/>
      <c r="E658" s="54"/>
      <c r="F658" s="130"/>
      <c r="G658" s="130"/>
      <c r="H658" s="55"/>
      <c r="I658" s="135"/>
      <c r="J658" s="131"/>
      <c r="K658" s="56"/>
      <c r="L658" s="57"/>
      <c r="M658" s="130"/>
      <c r="N658" s="57"/>
      <c r="O658" s="54"/>
      <c r="P658" s="132" t="str">
        <f>IFERROR(VLOOKUP(C658,TD!$B$32:$F$36,2,0)," ")</f>
        <v xml:space="preserve"> </v>
      </c>
      <c r="Q658" s="132" t="str">
        <f>IFERROR(VLOOKUP(C658,TD!$B$32:$F$36,3,0)," ")</f>
        <v xml:space="preserve"> </v>
      </c>
      <c r="R658" s="132" t="str">
        <f>IFERROR(VLOOKUP(C658,TD!$B$32:$F$36,4,0)," ")</f>
        <v xml:space="preserve"> </v>
      </c>
      <c r="S658" s="54"/>
      <c r="T658" s="132" t="str">
        <f>IFERROR(VLOOKUP(S658,TD!$J$33:$K$43,2,0)," ")</f>
        <v xml:space="preserve"> </v>
      </c>
      <c r="U658" s="54" t="str">
        <f t="shared" si="40"/>
        <v xml:space="preserve">- </v>
      </c>
      <c r="V658" s="54"/>
      <c r="W658" s="132" t="str">
        <f>IFERROR(VLOOKUP(V658,TD!$N$33:$O$45,2,0)," ")</f>
        <v xml:space="preserve"> </v>
      </c>
      <c r="X658" s="54" t="str">
        <f t="shared" si="41"/>
        <v xml:space="preserve">_ </v>
      </c>
      <c r="Y658" s="54" t="str">
        <f t="shared" si="42"/>
        <v xml:space="preserve">-  _ </v>
      </c>
      <c r="Z658" s="132" t="str">
        <f t="shared" si="43"/>
        <v xml:space="preserve">   </v>
      </c>
      <c r="AA658" s="132" t="str">
        <f>IFERROR(VLOOKUP(Y658,TD!$K$46:$L$64,2,0)," ")</f>
        <v xml:space="preserve"> </v>
      </c>
      <c r="AB658" s="57"/>
      <c r="AC658" s="133"/>
    </row>
    <row r="659" spans="2:29" s="28" customFormat="1">
      <c r="B659" s="85"/>
      <c r="C659" s="53"/>
      <c r="D659" s="130"/>
      <c r="E659" s="54"/>
      <c r="F659" s="130"/>
      <c r="G659" s="130"/>
      <c r="H659" s="55"/>
      <c r="I659" s="135"/>
      <c r="J659" s="131"/>
      <c r="K659" s="56"/>
      <c r="L659" s="57"/>
      <c r="M659" s="130"/>
      <c r="N659" s="57"/>
      <c r="O659" s="54"/>
      <c r="P659" s="132" t="str">
        <f>IFERROR(VLOOKUP(C659,TD!$B$32:$F$36,2,0)," ")</f>
        <v xml:space="preserve"> </v>
      </c>
      <c r="Q659" s="132" t="str">
        <f>IFERROR(VLOOKUP(C659,TD!$B$32:$F$36,3,0)," ")</f>
        <v xml:space="preserve"> </v>
      </c>
      <c r="R659" s="132" t="str">
        <f>IFERROR(VLOOKUP(C659,TD!$B$32:$F$36,4,0)," ")</f>
        <v xml:space="preserve"> </v>
      </c>
      <c r="S659" s="54"/>
      <c r="T659" s="132" t="str">
        <f>IFERROR(VLOOKUP(S659,TD!$J$33:$K$43,2,0)," ")</f>
        <v xml:space="preserve"> </v>
      </c>
      <c r="U659" s="54" t="str">
        <f t="shared" si="40"/>
        <v xml:space="preserve">- </v>
      </c>
      <c r="V659" s="54"/>
      <c r="W659" s="132" t="str">
        <f>IFERROR(VLOOKUP(V659,TD!$N$33:$O$45,2,0)," ")</f>
        <v xml:space="preserve"> </v>
      </c>
      <c r="X659" s="54" t="str">
        <f t="shared" si="41"/>
        <v xml:space="preserve">_ </v>
      </c>
      <c r="Y659" s="54" t="str">
        <f t="shared" si="42"/>
        <v xml:space="preserve">-  _ </v>
      </c>
      <c r="Z659" s="132" t="str">
        <f t="shared" si="43"/>
        <v xml:space="preserve">   </v>
      </c>
      <c r="AA659" s="132" t="str">
        <f>IFERROR(VLOOKUP(Y659,TD!$K$46:$L$64,2,0)," ")</f>
        <v xml:space="preserve"> </v>
      </c>
      <c r="AB659" s="57"/>
      <c r="AC659" s="133"/>
    </row>
    <row r="660" spans="2:29" s="28" customFormat="1">
      <c r="B660" s="85"/>
      <c r="C660" s="53"/>
      <c r="D660" s="130"/>
      <c r="E660" s="54"/>
      <c r="F660" s="130"/>
      <c r="G660" s="130"/>
      <c r="H660" s="55"/>
      <c r="I660" s="135"/>
      <c r="J660" s="131"/>
      <c r="K660" s="56"/>
      <c r="L660" s="57"/>
      <c r="M660" s="130"/>
      <c r="N660" s="57"/>
      <c r="O660" s="54"/>
      <c r="P660" s="132" t="str">
        <f>IFERROR(VLOOKUP(C660,TD!$B$32:$F$36,2,0)," ")</f>
        <v xml:space="preserve"> </v>
      </c>
      <c r="Q660" s="132" t="str">
        <f>IFERROR(VLOOKUP(C660,TD!$B$32:$F$36,3,0)," ")</f>
        <v xml:space="preserve"> </v>
      </c>
      <c r="R660" s="132" t="str">
        <f>IFERROR(VLOOKUP(C660,TD!$B$32:$F$36,4,0)," ")</f>
        <v xml:space="preserve"> </v>
      </c>
      <c r="S660" s="54"/>
      <c r="T660" s="132" t="str">
        <f>IFERROR(VLOOKUP(S660,TD!$J$33:$K$43,2,0)," ")</f>
        <v xml:space="preserve"> </v>
      </c>
      <c r="U660" s="54" t="str">
        <f t="shared" si="40"/>
        <v xml:space="preserve">- </v>
      </c>
      <c r="V660" s="54"/>
      <c r="W660" s="132" t="str">
        <f>IFERROR(VLOOKUP(V660,TD!$N$33:$O$45,2,0)," ")</f>
        <v xml:space="preserve"> </v>
      </c>
      <c r="X660" s="54" t="str">
        <f t="shared" si="41"/>
        <v xml:space="preserve">_ </v>
      </c>
      <c r="Y660" s="54" t="str">
        <f t="shared" si="42"/>
        <v xml:space="preserve">-  _ </v>
      </c>
      <c r="Z660" s="132" t="str">
        <f t="shared" si="43"/>
        <v xml:space="preserve">   </v>
      </c>
      <c r="AA660" s="132" t="str">
        <f>IFERROR(VLOOKUP(Y660,TD!$K$46:$L$64,2,0)," ")</f>
        <v xml:space="preserve"> </v>
      </c>
      <c r="AB660" s="57"/>
      <c r="AC660" s="133"/>
    </row>
    <row r="661" spans="2:29" s="28" customFormat="1">
      <c r="B661" s="85"/>
      <c r="C661" s="53"/>
      <c r="D661" s="130"/>
      <c r="E661" s="54"/>
      <c r="F661" s="130"/>
      <c r="G661" s="130"/>
      <c r="H661" s="55"/>
      <c r="I661" s="135"/>
      <c r="J661" s="131"/>
      <c r="K661" s="56"/>
      <c r="L661" s="57"/>
      <c r="M661" s="130"/>
      <c r="N661" s="57"/>
      <c r="O661" s="54"/>
      <c r="P661" s="132" t="str">
        <f>IFERROR(VLOOKUP(C661,TD!$B$32:$F$36,2,0)," ")</f>
        <v xml:space="preserve"> </v>
      </c>
      <c r="Q661" s="132" t="str">
        <f>IFERROR(VLOOKUP(C661,TD!$B$32:$F$36,3,0)," ")</f>
        <v xml:space="preserve"> </v>
      </c>
      <c r="R661" s="132" t="str">
        <f>IFERROR(VLOOKUP(C661,TD!$B$32:$F$36,4,0)," ")</f>
        <v xml:space="preserve"> </v>
      </c>
      <c r="S661" s="54"/>
      <c r="T661" s="132" t="str">
        <f>IFERROR(VLOOKUP(S661,TD!$J$33:$K$43,2,0)," ")</f>
        <v xml:space="preserve"> </v>
      </c>
      <c r="U661" s="54" t="str">
        <f t="shared" si="40"/>
        <v xml:space="preserve">- </v>
      </c>
      <c r="V661" s="54"/>
      <c r="W661" s="132" t="str">
        <f>IFERROR(VLOOKUP(V661,TD!$N$33:$O$45,2,0)," ")</f>
        <v xml:space="preserve"> </v>
      </c>
      <c r="X661" s="54" t="str">
        <f t="shared" si="41"/>
        <v xml:space="preserve">_ </v>
      </c>
      <c r="Y661" s="54" t="str">
        <f t="shared" si="42"/>
        <v xml:space="preserve">-  _ </v>
      </c>
      <c r="Z661" s="132" t="str">
        <f t="shared" si="43"/>
        <v xml:space="preserve">   </v>
      </c>
      <c r="AA661" s="132" t="str">
        <f>IFERROR(VLOOKUP(Y661,TD!$K$46:$L$64,2,0)," ")</f>
        <v xml:space="preserve"> </v>
      </c>
      <c r="AB661" s="57"/>
      <c r="AC661" s="133"/>
    </row>
    <row r="662" spans="2:29" s="28" customFormat="1">
      <c r="B662" s="85"/>
      <c r="C662" s="53"/>
      <c r="D662" s="130"/>
      <c r="E662" s="54"/>
      <c r="F662" s="130"/>
      <c r="G662" s="130"/>
      <c r="H662" s="55"/>
      <c r="I662" s="135"/>
      <c r="J662" s="131"/>
      <c r="K662" s="56"/>
      <c r="L662" s="57"/>
      <c r="M662" s="130"/>
      <c r="N662" s="57"/>
      <c r="O662" s="54"/>
      <c r="P662" s="132" t="str">
        <f>IFERROR(VLOOKUP(C662,TD!$B$32:$F$36,2,0)," ")</f>
        <v xml:space="preserve"> </v>
      </c>
      <c r="Q662" s="132" t="str">
        <f>IFERROR(VLOOKUP(C662,TD!$B$32:$F$36,3,0)," ")</f>
        <v xml:space="preserve"> </v>
      </c>
      <c r="R662" s="132" t="str">
        <f>IFERROR(VLOOKUP(C662,TD!$B$32:$F$36,4,0)," ")</f>
        <v xml:space="preserve"> </v>
      </c>
      <c r="S662" s="54"/>
      <c r="T662" s="132" t="str">
        <f>IFERROR(VLOOKUP(S662,TD!$J$33:$K$43,2,0)," ")</f>
        <v xml:space="preserve"> </v>
      </c>
      <c r="U662" s="54" t="str">
        <f t="shared" si="40"/>
        <v xml:space="preserve">- </v>
      </c>
      <c r="V662" s="54"/>
      <c r="W662" s="132" t="str">
        <f>IFERROR(VLOOKUP(V662,TD!$N$33:$O$45,2,0)," ")</f>
        <v xml:space="preserve"> </v>
      </c>
      <c r="X662" s="54" t="str">
        <f t="shared" si="41"/>
        <v xml:space="preserve">_ </v>
      </c>
      <c r="Y662" s="54" t="str">
        <f t="shared" si="42"/>
        <v xml:space="preserve">-  _ </v>
      </c>
      <c r="Z662" s="132" t="str">
        <f t="shared" si="43"/>
        <v xml:space="preserve">   </v>
      </c>
      <c r="AA662" s="132" t="str">
        <f>IFERROR(VLOOKUP(Y662,TD!$K$46:$L$64,2,0)," ")</f>
        <v xml:space="preserve"> </v>
      </c>
      <c r="AB662" s="57"/>
      <c r="AC662" s="133"/>
    </row>
    <row r="663" spans="2:29" s="28" customFormat="1">
      <c r="B663" s="85"/>
      <c r="C663" s="53"/>
      <c r="D663" s="130"/>
      <c r="E663" s="54"/>
      <c r="F663" s="130"/>
      <c r="G663" s="130"/>
      <c r="H663" s="55"/>
      <c r="I663" s="135"/>
      <c r="J663" s="131"/>
      <c r="K663" s="56"/>
      <c r="L663" s="57"/>
      <c r="M663" s="130"/>
      <c r="N663" s="57"/>
      <c r="O663" s="54"/>
      <c r="P663" s="132" t="str">
        <f>IFERROR(VLOOKUP(C663,TD!$B$32:$F$36,2,0)," ")</f>
        <v xml:space="preserve"> </v>
      </c>
      <c r="Q663" s="132" t="str">
        <f>IFERROR(VLOOKUP(C663,TD!$B$32:$F$36,3,0)," ")</f>
        <v xml:space="preserve"> </v>
      </c>
      <c r="R663" s="132" t="str">
        <f>IFERROR(VLOOKUP(C663,TD!$B$32:$F$36,4,0)," ")</f>
        <v xml:space="preserve"> </v>
      </c>
      <c r="S663" s="54"/>
      <c r="T663" s="132" t="str">
        <f>IFERROR(VLOOKUP(S663,TD!$J$33:$K$43,2,0)," ")</f>
        <v xml:space="preserve"> </v>
      </c>
      <c r="U663" s="54" t="str">
        <f t="shared" si="40"/>
        <v xml:space="preserve">- </v>
      </c>
      <c r="V663" s="54"/>
      <c r="W663" s="132" t="str">
        <f>IFERROR(VLOOKUP(V663,TD!$N$33:$O$45,2,0)," ")</f>
        <v xml:space="preserve"> </v>
      </c>
      <c r="X663" s="54" t="str">
        <f t="shared" si="41"/>
        <v xml:space="preserve">_ </v>
      </c>
      <c r="Y663" s="54" t="str">
        <f t="shared" si="42"/>
        <v xml:space="preserve">-  _ </v>
      </c>
      <c r="Z663" s="132" t="str">
        <f t="shared" si="43"/>
        <v xml:space="preserve">   </v>
      </c>
      <c r="AA663" s="132" t="str">
        <f>IFERROR(VLOOKUP(Y663,TD!$K$46:$L$64,2,0)," ")</f>
        <v xml:space="preserve"> </v>
      </c>
      <c r="AB663" s="57"/>
      <c r="AC663" s="133"/>
    </row>
    <row r="664" spans="2:29" s="28" customFormat="1">
      <c r="B664" s="85"/>
      <c r="C664" s="53"/>
      <c r="D664" s="130"/>
      <c r="E664" s="54"/>
      <c r="F664" s="130"/>
      <c r="G664" s="130"/>
      <c r="H664" s="55"/>
      <c r="I664" s="135"/>
      <c r="J664" s="131"/>
      <c r="K664" s="56"/>
      <c r="L664" s="57"/>
      <c r="M664" s="130"/>
      <c r="N664" s="57"/>
      <c r="O664" s="54"/>
      <c r="P664" s="132" t="str">
        <f>IFERROR(VLOOKUP(C664,TD!$B$32:$F$36,2,0)," ")</f>
        <v xml:space="preserve"> </v>
      </c>
      <c r="Q664" s="132" t="str">
        <f>IFERROR(VLOOKUP(C664,TD!$B$32:$F$36,3,0)," ")</f>
        <v xml:space="preserve"> </v>
      </c>
      <c r="R664" s="132" t="str">
        <f>IFERROR(VLOOKUP(C664,TD!$B$32:$F$36,4,0)," ")</f>
        <v xml:space="preserve"> </v>
      </c>
      <c r="S664" s="54"/>
      <c r="T664" s="132" t="str">
        <f>IFERROR(VLOOKUP(S664,TD!$J$33:$K$43,2,0)," ")</f>
        <v xml:space="preserve"> </v>
      </c>
      <c r="U664" s="54" t="str">
        <f t="shared" si="40"/>
        <v xml:space="preserve">- </v>
      </c>
      <c r="V664" s="54"/>
      <c r="W664" s="132" t="str">
        <f>IFERROR(VLOOKUP(V664,TD!$N$33:$O$45,2,0)," ")</f>
        <v xml:space="preserve"> </v>
      </c>
      <c r="X664" s="54" t="str">
        <f t="shared" si="41"/>
        <v xml:space="preserve">_ </v>
      </c>
      <c r="Y664" s="54" t="str">
        <f t="shared" si="42"/>
        <v xml:space="preserve">-  _ </v>
      </c>
      <c r="Z664" s="132" t="str">
        <f t="shared" si="43"/>
        <v xml:space="preserve">   </v>
      </c>
      <c r="AA664" s="132" t="str">
        <f>IFERROR(VLOOKUP(Y664,TD!$K$46:$L$64,2,0)," ")</f>
        <v xml:space="preserve"> </v>
      </c>
      <c r="AB664" s="57"/>
      <c r="AC664" s="133"/>
    </row>
    <row r="665" spans="2:29" s="28" customFormat="1">
      <c r="B665" s="85"/>
      <c r="C665" s="53"/>
      <c r="D665" s="130"/>
      <c r="E665" s="54"/>
      <c r="F665" s="130"/>
      <c r="G665" s="130"/>
      <c r="H665" s="55"/>
      <c r="I665" s="135"/>
      <c r="J665" s="131"/>
      <c r="K665" s="56"/>
      <c r="L665" s="57"/>
      <c r="M665" s="130"/>
      <c r="N665" s="57"/>
      <c r="O665" s="54"/>
      <c r="P665" s="132" t="str">
        <f>IFERROR(VLOOKUP(C665,TD!$B$32:$F$36,2,0)," ")</f>
        <v xml:space="preserve"> </v>
      </c>
      <c r="Q665" s="132" t="str">
        <f>IFERROR(VLOOKUP(C665,TD!$B$32:$F$36,3,0)," ")</f>
        <v xml:space="preserve"> </v>
      </c>
      <c r="R665" s="132" t="str">
        <f>IFERROR(VLOOKUP(C665,TD!$B$32:$F$36,4,0)," ")</f>
        <v xml:space="preserve"> </v>
      </c>
      <c r="S665" s="54"/>
      <c r="T665" s="132" t="str">
        <f>IFERROR(VLOOKUP(S665,TD!$J$33:$K$43,2,0)," ")</f>
        <v xml:space="preserve"> </v>
      </c>
      <c r="U665" s="54" t="str">
        <f t="shared" si="40"/>
        <v xml:space="preserve">- </v>
      </c>
      <c r="V665" s="54"/>
      <c r="W665" s="132" t="str">
        <f>IFERROR(VLOOKUP(V665,TD!$N$33:$O$45,2,0)," ")</f>
        <v xml:space="preserve"> </v>
      </c>
      <c r="X665" s="54" t="str">
        <f t="shared" si="41"/>
        <v xml:space="preserve">_ </v>
      </c>
      <c r="Y665" s="54" t="str">
        <f t="shared" si="42"/>
        <v xml:space="preserve">-  _ </v>
      </c>
      <c r="Z665" s="132" t="str">
        <f t="shared" si="43"/>
        <v xml:space="preserve">   </v>
      </c>
      <c r="AA665" s="132" t="str">
        <f>IFERROR(VLOOKUP(Y665,TD!$K$46:$L$64,2,0)," ")</f>
        <v xml:space="preserve"> </v>
      </c>
      <c r="AB665" s="57"/>
      <c r="AC665" s="133"/>
    </row>
    <row r="666" spans="2:29" s="28" customFormat="1">
      <c r="B666" s="85"/>
      <c r="C666" s="53"/>
      <c r="D666" s="130"/>
      <c r="E666" s="54"/>
      <c r="F666" s="130"/>
      <c r="G666" s="130"/>
      <c r="H666" s="55"/>
      <c r="I666" s="135"/>
      <c r="J666" s="131"/>
      <c r="K666" s="56"/>
      <c r="L666" s="57"/>
      <c r="M666" s="130"/>
      <c r="N666" s="57"/>
      <c r="O666" s="54"/>
      <c r="P666" s="132" t="str">
        <f>IFERROR(VLOOKUP(C666,TD!$B$32:$F$36,2,0)," ")</f>
        <v xml:space="preserve"> </v>
      </c>
      <c r="Q666" s="132" t="str">
        <f>IFERROR(VLOOKUP(C666,TD!$B$32:$F$36,3,0)," ")</f>
        <v xml:space="preserve"> </v>
      </c>
      <c r="R666" s="132" t="str">
        <f>IFERROR(VLOOKUP(C666,TD!$B$32:$F$36,4,0)," ")</f>
        <v xml:space="preserve"> </v>
      </c>
      <c r="S666" s="54"/>
      <c r="T666" s="132" t="str">
        <f>IFERROR(VLOOKUP(S666,TD!$J$33:$K$43,2,0)," ")</f>
        <v xml:space="preserve"> </v>
      </c>
      <c r="U666" s="54" t="str">
        <f t="shared" si="40"/>
        <v xml:space="preserve">- </v>
      </c>
      <c r="V666" s="54"/>
      <c r="W666" s="132" t="str">
        <f>IFERROR(VLOOKUP(V666,TD!$N$33:$O$45,2,0)," ")</f>
        <v xml:space="preserve"> </v>
      </c>
      <c r="X666" s="54" t="str">
        <f t="shared" si="41"/>
        <v xml:space="preserve">_ </v>
      </c>
      <c r="Y666" s="54" t="str">
        <f t="shared" si="42"/>
        <v xml:space="preserve">-  _ </v>
      </c>
      <c r="Z666" s="132" t="str">
        <f t="shared" si="43"/>
        <v xml:space="preserve">   </v>
      </c>
      <c r="AA666" s="132" t="str">
        <f>IFERROR(VLOOKUP(Y666,TD!$K$46:$L$64,2,0)," ")</f>
        <v xml:space="preserve"> </v>
      </c>
      <c r="AB666" s="57"/>
      <c r="AC666" s="133"/>
    </row>
    <row r="667" spans="2:29" s="28" customFormat="1">
      <c r="B667" s="85"/>
      <c r="C667" s="53"/>
      <c r="D667" s="130"/>
      <c r="E667" s="54"/>
      <c r="F667" s="130"/>
      <c r="G667" s="130"/>
      <c r="H667" s="55"/>
      <c r="I667" s="135"/>
      <c r="J667" s="131"/>
      <c r="K667" s="56"/>
      <c r="L667" s="57"/>
      <c r="M667" s="130"/>
      <c r="N667" s="57"/>
      <c r="O667" s="54"/>
      <c r="P667" s="132" t="str">
        <f>IFERROR(VLOOKUP(C667,TD!$B$32:$F$36,2,0)," ")</f>
        <v xml:space="preserve"> </v>
      </c>
      <c r="Q667" s="132" t="str">
        <f>IFERROR(VLOOKUP(C667,TD!$B$32:$F$36,3,0)," ")</f>
        <v xml:space="preserve"> </v>
      </c>
      <c r="R667" s="132" t="str">
        <f>IFERROR(VLOOKUP(C667,TD!$B$32:$F$36,4,0)," ")</f>
        <v xml:space="preserve"> </v>
      </c>
      <c r="S667" s="54"/>
      <c r="T667" s="132" t="str">
        <f>IFERROR(VLOOKUP(S667,TD!$J$33:$K$43,2,0)," ")</f>
        <v xml:space="preserve"> </v>
      </c>
      <c r="U667" s="54" t="str">
        <f t="shared" si="40"/>
        <v xml:space="preserve">- </v>
      </c>
      <c r="V667" s="54"/>
      <c r="W667" s="132" t="str">
        <f>IFERROR(VLOOKUP(V667,TD!$N$33:$O$45,2,0)," ")</f>
        <v xml:space="preserve"> </v>
      </c>
      <c r="X667" s="54" t="str">
        <f t="shared" si="41"/>
        <v xml:space="preserve">_ </v>
      </c>
      <c r="Y667" s="54" t="str">
        <f t="shared" si="42"/>
        <v xml:space="preserve">-  _ </v>
      </c>
      <c r="Z667" s="132" t="str">
        <f t="shared" si="43"/>
        <v xml:space="preserve">   </v>
      </c>
      <c r="AA667" s="132" t="str">
        <f>IFERROR(VLOOKUP(Y667,TD!$K$46:$L$64,2,0)," ")</f>
        <v xml:space="preserve"> </v>
      </c>
      <c r="AB667" s="57"/>
      <c r="AC667" s="133"/>
    </row>
    <row r="668" spans="2:29" s="28" customFormat="1">
      <c r="B668" s="85"/>
      <c r="C668" s="53"/>
      <c r="D668" s="130"/>
      <c r="E668" s="54"/>
      <c r="F668" s="130"/>
      <c r="G668" s="130"/>
      <c r="H668" s="55"/>
      <c r="I668" s="135"/>
      <c r="J668" s="131"/>
      <c r="K668" s="56"/>
      <c r="L668" s="57"/>
      <c r="M668" s="130"/>
      <c r="N668" s="57"/>
      <c r="O668" s="54"/>
      <c r="P668" s="132" t="str">
        <f>IFERROR(VLOOKUP(C668,TD!$B$32:$F$36,2,0)," ")</f>
        <v xml:space="preserve"> </v>
      </c>
      <c r="Q668" s="132" t="str">
        <f>IFERROR(VLOOKUP(C668,TD!$B$32:$F$36,3,0)," ")</f>
        <v xml:space="preserve"> </v>
      </c>
      <c r="R668" s="132" t="str">
        <f>IFERROR(VLOOKUP(C668,TD!$B$32:$F$36,4,0)," ")</f>
        <v xml:space="preserve"> </v>
      </c>
      <c r="S668" s="54"/>
      <c r="T668" s="132" t="str">
        <f>IFERROR(VLOOKUP(S668,TD!$J$33:$K$43,2,0)," ")</f>
        <v xml:space="preserve"> </v>
      </c>
      <c r="U668" s="54" t="str">
        <f t="shared" si="40"/>
        <v xml:space="preserve">- </v>
      </c>
      <c r="V668" s="54"/>
      <c r="W668" s="132" t="str">
        <f>IFERROR(VLOOKUP(V668,TD!$N$33:$O$45,2,0)," ")</f>
        <v xml:space="preserve"> </v>
      </c>
      <c r="X668" s="54" t="str">
        <f t="shared" si="41"/>
        <v xml:space="preserve">_ </v>
      </c>
      <c r="Y668" s="54" t="str">
        <f t="shared" si="42"/>
        <v xml:space="preserve">-  _ </v>
      </c>
      <c r="Z668" s="132" t="str">
        <f t="shared" si="43"/>
        <v xml:space="preserve">   </v>
      </c>
      <c r="AA668" s="132" t="str">
        <f>IFERROR(VLOOKUP(Y668,TD!$K$46:$L$64,2,0)," ")</f>
        <v xml:space="preserve"> </v>
      </c>
      <c r="AB668" s="57"/>
      <c r="AC668" s="133"/>
    </row>
    <row r="669" spans="2:29" s="28" customFormat="1">
      <c r="B669" s="85"/>
      <c r="C669" s="53"/>
      <c r="D669" s="130"/>
      <c r="E669" s="54"/>
      <c r="F669" s="130"/>
      <c r="G669" s="130"/>
      <c r="H669" s="55"/>
      <c r="I669" s="135"/>
      <c r="J669" s="131"/>
      <c r="K669" s="56"/>
      <c r="L669" s="57"/>
      <c r="M669" s="130"/>
      <c r="N669" s="57"/>
      <c r="O669" s="54"/>
      <c r="P669" s="132" t="str">
        <f>IFERROR(VLOOKUP(C669,TD!$B$32:$F$36,2,0)," ")</f>
        <v xml:space="preserve"> </v>
      </c>
      <c r="Q669" s="132" t="str">
        <f>IFERROR(VLOOKUP(C669,TD!$B$32:$F$36,3,0)," ")</f>
        <v xml:space="preserve"> </v>
      </c>
      <c r="R669" s="132" t="str">
        <f>IFERROR(VLOOKUP(C669,TD!$B$32:$F$36,4,0)," ")</f>
        <v xml:space="preserve"> </v>
      </c>
      <c r="S669" s="54"/>
      <c r="T669" s="132" t="str">
        <f>IFERROR(VLOOKUP(S669,TD!$J$33:$K$43,2,0)," ")</f>
        <v xml:space="preserve"> </v>
      </c>
      <c r="U669" s="54" t="str">
        <f t="shared" si="40"/>
        <v xml:space="preserve">- </v>
      </c>
      <c r="V669" s="54"/>
      <c r="W669" s="132" t="str">
        <f>IFERROR(VLOOKUP(V669,TD!$N$33:$O$45,2,0)," ")</f>
        <v xml:space="preserve"> </v>
      </c>
      <c r="X669" s="54" t="str">
        <f t="shared" si="41"/>
        <v xml:space="preserve">_ </v>
      </c>
      <c r="Y669" s="54" t="str">
        <f t="shared" si="42"/>
        <v xml:space="preserve">-  _ </v>
      </c>
      <c r="Z669" s="132" t="str">
        <f t="shared" si="43"/>
        <v xml:space="preserve">   </v>
      </c>
      <c r="AA669" s="132" t="str">
        <f>IFERROR(VLOOKUP(Y669,TD!$K$46:$L$64,2,0)," ")</f>
        <v xml:space="preserve"> </v>
      </c>
      <c r="AB669" s="57"/>
      <c r="AC669" s="133"/>
    </row>
    <row r="670" spans="2:29" s="28" customFormat="1">
      <c r="B670" s="85"/>
      <c r="C670" s="53"/>
      <c r="D670" s="130"/>
      <c r="E670" s="54"/>
      <c r="F670" s="130"/>
      <c r="G670" s="130"/>
      <c r="H670" s="55"/>
      <c r="I670" s="135"/>
      <c r="J670" s="131"/>
      <c r="K670" s="56"/>
      <c r="L670" s="57"/>
      <c r="M670" s="130"/>
      <c r="N670" s="57"/>
      <c r="O670" s="54"/>
      <c r="P670" s="132" t="str">
        <f>IFERROR(VLOOKUP(C670,TD!$B$32:$F$36,2,0)," ")</f>
        <v xml:space="preserve"> </v>
      </c>
      <c r="Q670" s="132" t="str">
        <f>IFERROR(VLOOKUP(C670,TD!$B$32:$F$36,3,0)," ")</f>
        <v xml:space="preserve"> </v>
      </c>
      <c r="R670" s="132" t="str">
        <f>IFERROR(VLOOKUP(C670,TD!$B$32:$F$36,4,0)," ")</f>
        <v xml:space="preserve"> </v>
      </c>
      <c r="S670" s="54"/>
      <c r="T670" s="132" t="str">
        <f>IFERROR(VLOOKUP(S670,TD!$J$33:$K$43,2,0)," ")</f>
        <v xml:space="preserve"> </v>
      </c>
      <c r="U670" s="54" t="str">
        <f t="shared" si="40"/>
        <v xml:space="preserve">- </v>
      </c>
      <c r="V670" s="54"/>
      <c r="W670" s="132" t="str">
        <f>IFERROR(VLOOKUP(V670,TD!$N$33:$O$45,2,0)," ")</f>
        <v xml:space="preserve"> </v>
      </c>
      <c r="X670" s="54" t="str">
        <f t="shared" si="41"/>
        <v xml:space="preserve">_ </v>
      </c>
      <c r="Y670" s="54" t="str">
        <f t="shared" si="42"/>
        <v xml:space="preserve">-  _ </v>
      </c>
      <c r="Z670" s="132" t="str">
        <f t="shared" si="43"/>
        <v xml:space="preserve">   </v>
      </c>
      <c r="AA670" s="132" t="str">
        <f>IFERROR(VLOOKUP(Y670,TD!$K$46:$L$64,2,0)," ")</f>
        <v xml:space="preserve"> </v>
      </c>
      <c r="AB670" s="57"/>
      <c r="AC670" s="133"/>
    </row>
    <row r="671" spans="2:29" s="28" customFormat="1">
      <c r="B671" s="85"/>
      <c r="C671" s="53"/>
      <c r="D671" s="130"/>
      <c r="E671" s="54"/>
      <c r="F671" s="130"/>
      <c r="G671" s="130"/>
      <c r="H671" s="55"/>
      <c r="I671" s="135"/>
      <c r="J671" s="131"/>
      <c r="K671" s="56"/>
      <c r="L671" s="57"/>
      <c r="M671" s="130"/>
      <c r="N671" s="57"/>
      <c r="O671" s="54"/>
      <c r="P671" s="132" t="str">
        <f>IFERROR(VLOOKUP(C671,TD!$B$32:$F$36,2,0)," ")</f>
        <v xml:space="preserve"> </v>
      </c>
      <c r="Q671" s="132" t="str">
        <f>IFERROR(VLOOKUP(C671,TD!$B$32:$F$36,3,0)," ")</f>
        <v xml:space="preserve"> </v>
      </c>
      <c r="R671" s="132" t="str">
        <f>IFERROR(VLOOKUP(C671,TD!$B$32:$F$36,4,0)," ")</f>
        <v xml:space="preserve"> </v>
      </c>
      <c r="S671" s="54"/>
      <c r="T671" s="132" t="str">
        <f>IFERROR(VLOOKUP(S671,TD!$J$33:$K$43,2,0)," ")</f>
        <v xml:space="preserve"> </v>
      </c>
      <c r="U671" s="54" t="str">
        <f t="shared" si="40"/>
        <v xml:space="preserve">- </v>
      </c>
      <c r="V671" s="54"/>
      <c r="W671" s="132" t="str">
        <f>IFERROR(VLOOKUP(V671,TD!$N$33:$O$45,2,0)," ")</f>
        <v xml:space="preserve"> </v>
      </c>
      <c r="X671" s="54" t="str">
        <f t="shared" si="41"/>
        <v xml:space="preserve">_ </v>
      </c>
      <c r="Y671" s="54" t="str">
        <f t="shared" si="42"/>
        <v xml:space="preserve">-  _ </v>
      </c>
      <c r="Z671" s="132" t="str">
        <f t="shared" si="43"/>
        <v xml:space="preserve">   </v>
      </c>
      <c r="AA671" s="132" t="str">
        <f>IFERROR(VLOOKUP(Y671,TD!$K$46:$L$64,2,0)," ")</f>
        <v xml:space="preserve"> </v>
      </c>
      <c r="AB671" s="57"/>
      <c r="AC671" s="133"/>
    </row>
    <row r="672" spans="2:29" s="28" customFormat="1">
      <c r="B672" s="85"/>
      <c r="C672" s="53"/>
      <c r="D672" s="130"/>
      <c r="E672" s="54"/>
      <c r="F672" s="130"/>
      <c r="G672" s="130"/>
      <c r="H672" s="55"/>
      <c r="I672" s="135"/>
      <c r="J672" s="131"/>
      <c r="K672" s="56"/>
      <c r="L672" s="57"/>
      <c r="M672" s="130"/>
      <c r="N672" s="57"/>
      <c r="O672" s="54"/>
      <c r="P672" s="132" t="str">
        <f>IFERROR(VLOOKUP(C672,TD!$B$32:$F$36,2,0)," ")</f>
        <v xml:space="preserve"> </v>
      </c>
      <c r="Q672" s="132" t="str">
        <f>IFERROR(VLOOKUP(C672,TD!$B$32:$F$36,3,0)," ")</f>
        <v xml:space="preserve"> </v>
      </c>
      <c r="R672" s="132" t="str">
        <f>IFERROR(VLOOKUP(C672,TD!$B$32:$F$36,4,0)," ")</f>
        <v xml:space="preserve"> </v>
      </c>
      <c r="S672" s="54"/>
      <c r="T672" s="132" t="str">
        <f>IFERROR(VLOOKUP(S672,TD!$J$33:$K$43,2,0)," ")</f>
        <v xml:space="preserve"> </v>
      </c>
      <c r="U672" s="54" t="str">
        <f t="shared" si="40"/>
        <v xml:space="preserve">- </v>
      </c>
      <c r="V672" s="54"/>
      <c r="W672" s="132" t="str">
        <f>IFERROR(VLOOKUP(V672,TD!$N$33:$O$45,2,0)," ")</f>
        <v xml:space="preserve"> </v>
      </c>
      <c r="X672" s="54" t="str">
        <f t="shared" si="41"/>
        <v xml:space="preserve">_ </v>
      </c>
      <c r="Y672" s="54" t="str">
        <f t="shared" si="42"/>
        <v xml:space="preserve">-  _ </v>
      </c>
      <c r="Z672" s="132" t="str">
        <f t="shared" si="43"/>
        <v xml:space="preserve">   </v>
      </c>
      <c r="AA672" s="132" t="str">
        <f>IFERROR(VLOOKUP(Y672,TD!$K$46:$L$64,2,0)," ")</f>
        <v xml:space="preserve"> </v>
      </c>
      <c r="AB672" s="57"/>
      <c r="AC672" s="133"/>
    </row>
    <row r="673" spans="2:29" s="28" customFormat="1">
      <c r="B673" s="85"/>
      <c r="C673" s="53"/>
      <c r="D673" s="130"/>
      <c r="E673" s="54"/>
      <c r="F673" s="130"/>
      <c r="G673" s="130"/>
      <c r="H673" s="55"/>
      <c r="I673" s="135"/>
      <c r="J673" s="131"/>
      <c r="K673" s="56"/>
      <c r="L673" s="57"/>
      <c r="M673" s="130"/>
      <c r="N673" s="57"/>
      <c r="O673" s="54"/>
      <c r="P673" s="132" t="str">
        <f>IFERROR(VLOOKUP(C673,TD!$B$32:$F$36,2,0)," ")</f>
        <v xml:space="preserve"> </v>
      </c>
      <c r="Q673" s="132" t="str">
        <f>IFERROR(VLOOKUP(C673,TD!$B$32:$F$36,3,0)," ")</f>
        <v xml:space="preserve"> </v>
      </c>
      <c r="R673" s="132" t="str">
        <f>IFERROR(VLOOKUP(C673,TD!$B$32:$F$36,4,0)," ")</f>
        <v xml:space="preserve"> </v>
      </c>
      <c r="S673" s="54"/>
      <c r="T673" s="132" t="str">
        <f>IFERROR(VLOOKUP(S673,TD!$J$33:$K$43,2,0)," ")</f>
        <v xml:space="preserve"> </v>
      </c>
      <c r="U673" s="54" t="str">
        <f t="shared" si="40"/>
        <v xml:space="preserve">- </v>
      </c>
      <c r="V673" s="54"/>
      <c r="W673" s="132" t="str">
        <f>IFERROR(VLOOKUP(V673,TD!$N$33:$O$45,2,0)," ")</f>
        <v xml:space="preserve"> </v>
      </c>
      <c r="X673" s="54" t="str">
        <f t="shared" si="41"/>
        <v xml:space="preserve">_ </v>
      </c>
      <c r="Y673" s="54" t="str">
        <f t="shared" si="42"/>
        <v xml:space="preserve">-  _ </v>
      </c>
      <c r="Z673" s="132" t="str">
        <f t="shared" si="43"/>
        <v xml:space="preserve">   </v>
      </c>
      <c r="AA673" s="132" t="str">
        <f>IFERROR(VLOOKUP(Y673,TD!$K$46:$L$64,2,0)," ")</f>
        <v xml:space="preserve"> </v>
      </c>
      <c r="AB673" s="57"/>
      <c r="AC673" s="133"/>
    </row>
    <row r="674" spans="2:29" s="28" customFormat="1">
      <c r="B674" s="85"/>
      <c r="C674" s="53"/>
      <c r="D674" s="130"/>
      <c r="E674" s="54"/>
      <c r="F674" s="130"/>
      <c r="G674" s="130"/>
      <c r="H674" s="55"/>
      <c r="I674" s="135"/>
      <c r="J674" s="131"/>
      <c r="K674" s="56"/>
      <c r="L674" s="57"/>
      <c r="M674" s="130"/>
      <c r="N674" s="57"/>
      <c r="O674" s="54"/>
      <c r="P674" s="132" t="str">
        <f>IFERROR(VLOOKUP(C674,TD!$B$32:$F$36,2,0)," ")</f>
        <v xml:space="preserve"> </v>
      </c>
      <c r="Q674" s="132" t="str">
        <f>IFERROR(VLOOKUP(C674,TD!$B$32:$F$36,3,0)," ")</f>
        <v xml:space="preserve"> </v>
      </c>
      <c r="R674" s="132" t="str">
        <f>IFERROR(VLOOKUP(C674,TD!$B$32:$F$36,4,0)," ")</f>
        <v xml:space="preserve"> </v>
      </c>
      <c r="S674" s="54"/>
      <c r="T674" s="132" t="str">
        <f>IFERROR(VLOOKUP(S674,TD!$J$33:$K$43,2,0)," ")</f>
        <v xml:space="preserve"> </v>
      </c>
      <c r="U674" s="54" t="str">
        <f t="shared" si="40"/>
        <v xml:space="preserve">- </v>
      </c>
      <c r="V674" s="54"/>
      <c r="W674" s="132" t="str">
        <f>IFERROR(VLOOKUP(V674,TD!$N$33:$O$45,2,0)," ")</f>
        <v xml:space="preserve"> </v>
      </c>
      <c r="X674" s="54" t="str">
        <f t="shared" si="41"/>
        <v xml:space="preserve">_ </v>
      </c>
      <c r="Y674" s="54" t="str">
        <f t="shared" si="42"/>
        <v xml:space="preserve">-  _ </v>
      </c>
      <c r="Z674" s="132" t="str">
        <f t="shared" si="43"/>
        <v xml:space="preserve">   </v>
      </c>
      <c r="AA674" s="132" t="str">
        <f>IFERROR(VLOOKUP(Y674,TD!$K$46:$L$64,2,0)," ")</f>
        <v xml:space="preserve"> </v>
      </c>
      <c r="AB674" s="57"/>
      <c r="AC674" s="133"/>
    </row>
    <row r="675" spans="2:29" s="28" customFormat="1">
      <c r="B675" s="85"/>
      <c r="C675" s="53"/>
      <c r="D675" s="130"/>
      <c r="E675" s="54"/>
      <c r="F675" s="130"/>
      <c r="G675" s="130"/>
      <c r="H675" s="55"/>
      <c r="I675" s="135"/>
      <c r="J675" s="131"/>
      <c r="K675" s="56"/>
      <c r="L675" s="57"/>
      <c r="M675" s="130"/>
      <c r="N675" s="57"/>
      <c r="O675" s="54"/>
      <c r="P675" s="132" t="str">
        <f>IFERROR(VLOOKUP(C675,TD!$B$32:$F$36,2,0)," ")</f>
        <v xml:space="preserve"> </v>
      </c>
      <c r="Q675" s="132" t="str">
        <f>IFERROR(VLOOKUP(C675,TD!$B$32:$F$36,3,0)," ")</f>
        <v xml:space="preserve"> </v>
      </c>
      <c r="R675" s="132" t="str">
        <f>IFERROR(VLOOKUP(C675,TD!$B$32:$F$36,4,0)," ")</f>
        <v xml:space="preserve"> </v>
      </c>
      <c r="S675" s="54"/>
      <c r="T675" s="132" t="str">
        <f>IFERROR(VLOOKUP(S675,TD!$J$33:$K$43,2,0)," ")</f>
        <v xml:space="preserve"> </v>
      </c>
      <c r="U675" s="54" t="str">
        <f t="shared" si="40"/>
        <v xml:space="preserve">- </v>
      </c>
      <c r="V675" s="54"/>
      <c r="W675" s="132" t="str">
        <f>IFERROR(VLOOKUP(V675,TD!$N$33:$O$45,2,0)," ")</f>
        <v xml:space="preserve"> </v>
      </c>
      <c r="X675" s="54" t="str">
        <f t="shared" si="41"/>
        <v xml:space="preserve">_ </v>
      </c>
      <c r="Y675" s="54" t="str">
        <f t="shared" si="42"/>
        <v xml:space="preserve">-  _ </v>
      </c>
      <c r="Z675" s="132" t="str">
        <f t="shared" si="43"/>
        <v xml:space="preserve">   </v>
      </c>
      <c r="AA675" s="132" t="str">
        <f>IFERROR(VLOOKUP(Y675,TD!$K$46:$L$64,2,0)," ")</f>
        <v xml:space="preserve"> </v>
      </c>
      <c r="AB675" s="57"/>
      <c r="AC675" s="133"/>
    </row>
    <row r="676" spans="2:29" s="28" customFormat="1">
      <c r="B676" s="85"/>
      <c r="C676" s="53"/>
      <c r="D676" s="130"/>
      <c r="E676" s="54"/>
      <c r="F676" s="130"/>
      <c r="G676" s="130"/>
      <c r="H676" s="55"/>
      <c r="I676" s="135"/>
      <c r="J676" s="131"/>
      <c r="K676" s="56"/>
      <c r="L676" s="57"/>
      <c r="M676" s="130"/>
      <c r="N676" s="57"/>
      <c r="O676" s="54"/>
      <c r="P676" s="132" t="str">
        <f>IFERROR(VLOOKUP(C676,TD!$B$32:$F$36,2,0)," ")</f>
        <v xml:space="preserve"> </v>
      </c>
      <c r="Q676" s="132" t="str">
        <f>IFERROR(VLOOKUP(C676,TD!$B$32:$F$36,3,0)," ")</f>
        <v xml:space="preserve"> </v>
      </c>
      <c r="R676" s="132" t="str">
        <f>IFERROR(VLOOKUP(C676,TD!$B$32:$F$36,4,0)," ")</f>
        <v xml:space="preserve"> </v>
      </c>
      <c r="S676" s="54"/>
      <c r="T676" s="132" t="str">
        <f>IFERROR(VLOOKUP(S676,TD!$J$33:$K$43,2,0)," ")</f>
        <v xml:space="preserve"> </v>
      </c>
      <c r="U676" s="54" t="str">
        <f t="shared" si="40"/>
        <v xml:space="preserve">- </v>
      </c>
      <c r="V676" s="54"/>
      <c r="W676" s="132" t="str">
        <f>IFERROR(VLOOKUP(V676,TD!$N$33:$O$45,2,0)," ")</f>
        <v xml:space="preserve"> </v>
      </c>
      <c r="X676" s="54" t="str">
        <f t="shared" si="41"/>
        <v xml:space="preserve">_ </v>
      </c>
      <c r="Y676" s="54" t="str">
        <f t="shared" si="42"/>
        <v xml:space="preserve">-  _ </v>
      </c>
      <c r="Z676" s="132" t="str">
        <f t="shared" si="43"/>
        <v xml:space="preserve">   </v>
      </c>
      <c r="AA676" s="132" t="str">
        <f>IFERROR(VLOOKUP(Y676,TD!$K$46:$L$64,2,0)," ")</f>
        <v xml:space="preserve"> </v>
      </c>
      <c r="AB676" s="57"/>
      <c r="AC676" s="133"/>
    </row>
    <row r="677" spans="2:29" s="28" customFormat="1">
      <c r="B677" s="85"/>
      <c r="C677" s="53"/>
      <c r="D677" s="130"/>
      <c r="E677" s="54"/>
      <c r="F677" s="130"/>
      <c r="G677" s="130"/>
      <c r="H677" s="55"/>
      <c r="I677" s="135"/>
      <c r="J677" s="131"/>
      <c r="K677" s="56"/>
      <c r="L677" s="57"/>
      <c r="M677" s="130"/>
      <c r="N677" s="57"/>
      <c r="O677" s="54"/>
      <c r="P677" s="132" t="str">
        <f>IFERROR(VLOOKUP(C677,TD!$B$32:$F$36,2,0)," ")</f>
        <v xml:space="preserve"> </v>
      </c>
      <c r="Q677" s="132" t="str">
        <f>IFERROR(VLOOKUP(C677,TD!$B$32:$F$36,3,0)," ")</f>
        <v xml:space="preserve"> </v>
      </c>
      <c r="R677" s="132" t="str">
        <f>IFERROR(VLOOKUP(C677,TD!$B$32:$F$36,4,0)," ")</f>
        <v xml:space="preserve"> </v>
      </c>
      <c r="S677" s="54"/>
      <c r="T677" s="132" t="str">
        <f>IFERROR(VLOOKUP(S677,TD!$J$33:$K$43,2,0)," ")</f>
        <v xml:space="preserve"> </v>
      </c>
      <c r="U677" s="54" t="str">
        <f t="shared" si="40"/>
        <v xml:space="preserve">- </v>
      </c>
      <c r="V677" s="54"/>
      <c r="W677" s="132" t="str">
        <f>IFERROR(VLOOKUP(V677,TD!$N$33:$O$45,2,0)," ")</f>
        <v xml:space="preserve"> </v>
      </c>
      <c r="X677" s="54" t="str">
        <f t="shared" si="41"/>
        <v xml:space="preserve">_ </v>
      </c>
      <c r="Y677" s="54" t="str">
        <f t="shared" si="42"/>
        <v xml:space="preserve">-  _ </v>
      </c>
      <c r="Z677" s="132" t="str">
        <f t="shared" si="43"/>
        <v xml:space="preserve">   </v>
      </c>
      <c r="AA677" s="132" t="str">
        <f>IFERROR(VLOOKUP(Y677,TD!$K$46:$L$64,2,0)," ")</f>
        <v xml:space="preserve"> </v>
      </c>
      <c r="AB677" s="57"/>
      <c r="AC677" s="133"/>
    </row>
    <row r="678" spans="2:29" s="28" customFormat="1">
      <c r="B678" s="85"/>
      <c r="C678" s="53"/>
      <c r="D678" s="130"/>
      <c r="E678" s="54"/>
      <c r="F678" s="130"/>
      <c r="G678" s="130"/>
      <c r="H678" s="55"/>
      <c r="I678" s="135"/>
      <c r="J678" s="131"/>
      <c r="K678" s="56"/>
      <c r="L678" s="57"/>
      <c r="M678" s="130"/>
      <c r="N678" s="57"/>
      <c r="O678" s="54"/>
      <c r="P678" s="132" t="str">
        <f>IFERROR(VLOOKUP(C678,TD!$B$32:$F$36,2,0)," ")</f>
        <v xml:space="preserve"> </v>
      </c>
      <c r="Q678" s="132" t="str">
        <f>IFERROR(VLOOKUP(C678,TD!$B$32:$F$36,3,0)," ")</f>
        <v xml:space="preserve"> </v>
      </c>
      <c r="R678" s="132" t="str">
        <f>IFERROR(VLOOKUP(C678,TD!$B$32:$F$36,4,0)," ")</f>
        <v xml:space="preserve"> </v>
      </c>
      <c r="S678" s="54"/>
      <c r="T678" s="132" t="str">
        <f>IFERROR(VLOOKUP(S678,TD!$J$33:$K$43,2,0)," ")</f>
        <v xml:space="preserve"> </v>
      </c>
      <c r="U678" s="54" t="str">
        <f t="shared" si="40"/>
        <v xml:space="preserve">- </v>
      </c>
      <c r="V678" s="54"/>
      <c r="W678" s="132" t="str">
        <f>IFERROR(VLOOKUP(V678,TD!$N$33:$O$45,2,0)," ")</f>
        <v xml:space="preserve"> </v>
      </c>
      <c r="X678" s="54" t="str">
        <f t="shared" si="41"/>
        <v xml:space="preserve">_ </v>
      </c>
      <c r="Y678" s="54" t="str">
        <f t="shared" si="42"/>
        <v xml:space="preserve">-  _ </v>
      </c>
      <c r="Z678" s="132" t="str">
        <f t="shared" si="43"/>
        <v xml:space="preserve">   </v>
      </c>
      <c r="AA678" s="132" t="str">
        <f>IFERROR(VLOOKUP(Y678,TD!$K$46:$L$64,2,0)," ")</f>
        <v xml:space="preserve"> </v>
      </c>
      <c r="AB678" s="57"/>
      <c r="AC678" s="133"/>
    </row>
    <row r="679" spans="2:29" s="28" customFormat="1">
      <c r="B679" s="85"/>
      <c r="C679" s="53"/>
      <c r="D679" s="130"/>
      <c r="E679" s="54"/>
      <c r="F679" s="130"/>
      <c r="G679" s="130"/>
      <c r="H679" s="55"/>
      <c r="I679" s="135"/>
      <c r="J679" s="131"/>
      <c r="K679" s="56"/>
      <c r="L679" s="57"/>
      <c r="M679" s="130"/>
      <c r="N679" s="57"/>
      <c r="O679" s="54"/>
      <c r="P679" s="132" t="str">
        <f>IFERROR(VLOOKUP(C679,TD!$B$32:$F$36,2,0)," ")</f>
        <v xml:space="preserve"> </v>
      </c>
      <c r="Q679" s="132" t="str">
        <f>IFERROR(VLOOKUP(C679,TD!$B$32:$F$36,3,0)," ")</f>
        <v xml:space="preserve"> </v>
      </c>
      <c r="R679" s="132" t="str">
        <f>IFERROR(VLOOKUP(C679,TD!$B$32:$F$36,4,0)," ")</f>
        <v xml:space="preserve"> </v>
      </c>
      <c r="S679" s="54"/>
      <c r="T679" s="132" t="str">
        <f>IFERROR(VLOOKUP(S679,TD!$J$33:$K$43,2,0)," ")</f>
        <v xml:space="preserve"> </v>
      </c>
      <c r="U679" s="54" t="str">
        <f t="shared" si="40"/>
        <v xml:space="preserve">- </v>
      </c>
      <c r="V679" s="54"/>
      <c r="W679" s="132" t="str">
        <f>IFERROR(VLOOKUP(V679,TD!$N$33:$O$45,2,0)," ")</f>
        <v xml:space="preserve"> </v>
      </c>
      <c r="X679" s="54" t="str">
        <f t="shared" si="41"/>
        <v xml:space="preserve">_ </v>
      </c>
      <c r="Y679" s="54" t="str">
        <f t="shared" si="42"/>
        <v xml:space="preserve">-  _ </v>
      </c>
      <c r="Z679" s="132" t="str">
        <f t="shared" si="43"/>
        <v xml:space="preserve">   </v>
      </c>
      <c r="AA679" s="132" t="str">
        <f>IFERROR(VLOOKUP(Y679,TD!$K$46:$L$64,2,0)," ")</f>
        <v xml:space="preserve"> </v>
      </c>
      <c r="AB679" s="57"/>
      <c r="AC679" s="133"/>
    </row>
    <row r="680" spans="2:29" s="28" customFormat="1">
      <c r="B680" s="85"/>
      <c r="C680" s="53"/>
      <c r="D680" s="130"/>
      <c r="E680" s="54"/>
      <c r="F680" s="130"/>
      <c r="G680" s="130"/>
      <c r="H680" s="55"/>
      <c r="I680" s="135"/>
      <c r="J680" s="131"/>
      <c r="K680" s="56"/>
      <c r="L680" s="57"/>
      <c r="M680" s="130"/>
      <c r="N680" s="57"/>
      <c r="O680" s="54"/>
      <c r="P680" s="132" t="str">
        <f>IFERROR(VLOOKUP(C680,TD!$B$32:$F$36,2,0)," ")</f>
        <v xml:space="preserve"> </v>
      </c>
      <c r="Q680" s="132" t="str">
        <f>IFERROR(VLOOKUP(C680,TD!$B$32:$F$36,3,0)," ")</f>
        <v xml:space="preserve"> </v>
      </c>
      <c r="R680" s="132" t="str">
        <f>IFERROR(VLOOKUP(C680,TD!$B$32:$F$36,4,0)," ")</f>
        <v xml:space="preserve"> </v>
      </c>
      <c r="S680" s="54"/>
      <c r="T680" s="132" t="str">
        <f>IFERROR(VLOOKUP(S680,TD!$J$33:$K$43,2,0)," ")</f>
        <v xml:space="preserve"> </v>
      </c>
      <c r="U680" s="54" t="str">
        <f t="shared" si="40"/>
        <v xml:space="preserve">- </v>
      </c>
      <c r="V680" s="54"/>
      <c r="W680" s="132" t="str">
        <f>IFERROR(VLOOKUP(V680,TD!$N$33:$O$45,2,0)," ")</f>
        <v xml:space="preserve"> </v>
      </c>
      <c r="X680" s="54" t="str">
        <f t="shared" si="41"/>
        <v xml:space="preserve">_ </v>
      </c>
      <c r="Y680" s="54" t="str">
        <f t="shared" si="42"/>
        <v xml:space="preserve">-  _ </v>
      </c>
      <c r="Z680" s="132" t="str">
        <f t="shared" si="43"/>
        <v xml:space="preserve">   </v>
      </c>
      <c r="AA680" s="132" t="str">
        <f>IFERROR(VLOOKUP(Y680,TD!$K$46:$L$64,2,0)," ")</f>
        <v xml:space="preserve"> </v>
      </c>
      <c r="AB680" s="57"/>
      <c r="AC680" s="133"/>
    </row>
    <row r="681" spans="2:29" s="28" customFormat="1">
      <c r="B681" s="85"/>
      <c r="C681" s="53"/>
      <c r="D681" s="130"/>
      <c r="E681" s="54"/>
      <c r="F681" s="130"/>
      <c r="G681" s="130"/>
      <c r="H681" s="55"/>
      <c r="I681" s="135"/>
      <c r="J681" s="131"/>
      <c r="K681" s="56"/>
      <c r="L681" s="57"/>
      <c r="M681" s="130"/>
      <c r="N681" s="57"/>
      <c r="O681" s="54"/>
      <c r="P681" s="132" t="str">
        <f>IFERROR(VLOOKUP(C681,TD!$B$32:$F$36,2,0)," ")</f>
        <v xml:space="preserve"> </v>
      </c>
      <c r="Q681" s="132" t="str">
        <f>IFERROR(VLOOKUP(C681,TD!$B$32:$F$36,3,0)," ")</f>
        <v xml:space="preserve"> </v>
      </c>
      <c r="R681" s="132" t="str">
        <f>IFERROR(VLOOKUP(C681,TD!$B$32:$F$36,4,0)," ")</f>
        <v xml:space="preserve"> </v>
      </c>
      <c r="S681" s="54"/>
      <c r="T681" s="132" t="str">
        <f>IFERROR(VLOOKUP(S681,TD!$J$33:$K$43,2,0)," ")</f>
        <v xml:space="preserve"> </v>
      </c>
      <c r="U681" s="54" t="str">
        <f t="shared" si="40"/>
        <v xml:space="preserve">- </v>
      </c>
      <c r="V681" s="54"/>
      <c r="W681" s="132" t="str">
        <f>IFERROR(VLOOKUP(V681,TD!$N$33:$O$45,2,0)," ")</f>
        <v xml:space="preserve"> </v>
      </c>
      <c r="X681" s="54" t="str">
        <f t="shared" si="41"/>
        <v xml:space="preserve">_ </v>
      </c>
      <c r="Y681" s="54" t="str">
        <f t="shared" si="42"/>
        <v xml:space="preserve">-  _ </v>
      </c>
      <c r="Z681" s="132" t="str">
        <f t="shared" si="43"/>
        <v xml:space="preserve">   </v>
      </c>
      <c r="AA681" s="132" t="str">
        <f>IFERROR(VLOOKUP(Y681,TD!$K$46:$L$64,2,0)," ")</f>
        <v xml:space="preserve"> </v>
      </c>
      <c r="AB681" s="57"/>
      <c r="AC681" s="133"/>
    </row>
    <row r="682" spans="2:29" s="28" customFormat="1">
      <c r="B682" s="85"/>
      <c r="C682" s="53"/>
      <c r="D682" s="130"/>
      <c r="E682" s="54"/>
      <c r="F682" s="130"/>
      <c r="G682" s="130"/>
      <c r="H682" s="55"/>
      <c r="I682" s="135"/>
      <c r="J682" s="131"/>
      <c r="K682" s="56"/>
      <c r="L682" s="57"/>
      <c r="M682" s="130"/>
      <c r="N682" s="57"/>
      <c r="O682" s="54"/>
      <c r="P682" s="132" t="str">
        <f>IFERROR(VLOOKUP(C682,TD!$B$32:$F$36,2,0)," ")</f>
        <v xml:space="preserve"> </v>
      </c>
      <c r="Q682" s="132" t="str">
        <f>IFERROR(VLOOKUP(C682,TD!$B$32:$F$36,3,0)," ")</f>
        <v xml:space="preserve"> </v>
      </c>
      <c r="R682" s="132" t="str">
        <f>IFERROR(VLOOKUP(C682,TD!$B$32:$F$36,4,0)," ")</f>
        <v xml:space="preserve"> </v>
      </c>
      <c r="S682" s="54"/>
      <c r="T682" s="132" t="str">
        <f>IFERROR(VLOOKUP(S682,TD!$J$33:$K$43,2,0)," ")</f>
        <v xml:space="preserve"> </v>
      </c>
      <c r="U682" s="54" t="str">
        <f t="shared" si="40"/>
        <v xml:space="preserve">- </v>
      </c>
      <c r="V682" s="54"/>
      <c r="W682" s="132" t="str">
        <f>IFERROR(VLOOKUP(V682,TD!$N$33:$O$45,2,0)," ")</f>
        <v xml:space="preserve"> </v>
      </c>
      <c r="X682" s="54" t="str">
        <f t="shared" si="41"/>
        <v xml:space="preserve">_ </v>
      </c>
      <c r="Y682" s="54" t="str">
        <f t="shared" si="42"/>
        <v xml:space="preserve">-  _ </v>
      </c>
      <c r="Z682" s="132" t="str">
        <f t="shared" si="43"/>
        <v xml:space="preserve">   </v>
      </c>
      <c r="AA682" s="132" t="str">
        <f>IFERROR(VLOOKUP(Y682,TD!$K$46:$L$64,2,0)," ")</f>
        <v xml:space="preserve"> </v>
      </c>
      <c r="AB682" s="57"/>
      <c r="AC682" s="133"/>
    </row>
    <row r="683" spans="2:29" s="28" customFormat="1">
      <c r="B683" s="85"/>
      <c r="C683" s="53"/>
      <c r="D683" s="130"/>
      <c r="E683" s="54"/>
      <c r="F683" s="130"/>
      <c r="G683" s="130"/>
      <c r="H683" s="55"/>
      <c r="I683" s="135"/>
      <c r="J683" s="131"/>
      <c r="K683" s="56"/>
      <c r="L683" s="57"/>
      <c r="M683" s="130"/>
      <c r="N683" s="57"/>
      <c r="O683" s="54"/>
      <c r="P683" s="132" t="str">
        <f>IFERROR(VLOOKUP(C683,TD!$B$32:$F$36,2,0)," ")</f>
        <v xml:space="preserve"> </v>
      </c>
      <c r="Q683" s="132" t="str">
        <f>IFERROR(VLOOKUP(C683,TD!$B$32:$F$36,3,0)," ")</f>
        <v xml:space="preserve"> </v>
      </c>
      <c r="R683" s="132" t="str">
        <f>IFERROR(VLOOKUP(C683,TD!$B$32:$F$36,4,0)," ")</f>
        <v xml:space="preserve"> </v>
      </c>
      <c r="S683" s="54"/>
      <c r="T683" s="132" t="str">
        <f>IFERROR(VLOOKUP(S683,TD!$J$33:$K$43,2,0)," ")</f>
        <v xml:space="preserve"> </v>
      </c>
      <c r="U683" s="54" t="str">
        <f t="shared" si="40"/>
        <v xml:space="preserve">- </v>
      </c>
      <c r="V683" s="54"/>
      <c r="W683" s="132" t="str">
        <f>IFERROR(VLOOKUP(V683,TD!$N$33:$O$45,2,0)," ")</f>
        <v xml:space="preserve"> </v>
      </c>
      <c r="X683" s="54" t="str">
        <f t="shared" si="41"/>
        <v xml:space="preserve">_ </v>
      </c>
      <c r="Y683" s="54" t="str">
        <f t="shared" si="42"/>
        <v xml:space="preserve">-  _ </v>
      </c>
      <c r="Z683" s="132" t="str">
        <f t="shared" si="43"/>
        <v xml:space="preserve">   </v>
      </c>
      <c r="AA683" s="132" t="str">
        <f>IFERROR(VLOOKUP(Y683,TD!$K$46:$L$64,2,0)," ")</f>
        <v xml:space="preserve"> </v>
      </c>
      <c r="AB683" s="57"/>
      <c r="AC683" s="133"/>
    </row>
    <row r="684" spans="2:29" s="28" customFormat="1">
      <c r="B684" s="85"/>
      <c r="C684" s="53"/>
      <c r="D684" s="130"/>
      <c r="E684" s="54"/>
      <c r="F684" s="130"/>
      <c r="G684" s="130"/>
      <c r="H684" s="55"/>
      <c r="I684" s="135"/>
      <c r="J684" s="131"/>
      <c r="K684" s="56"/>
      <c r="L684" s="57"/>
      <c r="M684" s="130"/>
      <c r="N684" s="57"/>
      <c r="O684" s="54"/>
      <c r="P684" s="132" t="str">
        <f>IFERROR(VLOOKUP(C684,TD!$B$32:$F$36,2,0)," ")</f>
        <v xml:space="preserve"> </v>
      </c>
      <c r="Q684" s="132" t="str">
        <f>IFERROR(VLOOKUP(C684,TD!$B$32:$F$36,3,0)," ")</f>
        <v xml:space="preserve"> </v>
      </c>
      <c r="R684" s="132" t="str">
        <f>IFERROR(VLOOKUP(C684,TD!$B$32:$F$36,4,0)," ")</f>
        <v xml:space="preserve"> </v>
      </c>
      <c r="S684" s="54"/>
      <c r="T684" s="132" t="str">
        <f>IFERROR(VLOOKUP(S684,TD!$J$33:$K$43,2,0)," ")</f>
        <v xml:space="preserve"> </v>
      </c>
      <c r="U684" s="54" t="str">
        <f t="shared" si="40"/>
        <v xml:space="preserve">- </v>
      </c>
      <c r="V684" s="54"/>
      <c r="W684" s="132" t="str">
        <f>IFERROR(VLOOKUP(V684,TD!$N$33:$O$45,2,0)," ")</f>
        <v xml:space="preserve"> </v>
      </c>
      <c r="X684" s="54" t="str">
        <f t="shared" si="41"/>
        <v xml:space="preserve">_ </v>
      </c>
      <c r="Y684" s="54" t="str">
        <f t="shared" si="42"/>
        <v xml:space="preserve">-  _ </v>
      </c>
      <c r="Z684" s="132" t="str">
        <f t="shared" si="43"/>
        <v xml:space="preserve">   </v>
      </c>
      <c r="AA684" s="132" t="str">
        <f>IFERROR(VLOOKUP(Y684,TD!$K$46:$L$64,2,0)," ")</f>
        <v xml:space="preserve"> </v>
      </c>
      <c r="AB684" s="57"/>
      <c r="AC684" s="133"/>
    </row>
    <row r="685" spans="2:29" s="28" customFormat="1">
      <c r="B685" s="85"/>
      <c r="C685" s="53"/>
      <c r="D685" s="130"/>
      <c r="E685" s="54"/>
      <c r="F685" s="130"/>
      <c r="G685" s="130"/>
      <c r="H685" s="55"/>
      <c r="I685" s="135"/>
      <c r="J685" s="131"/>
      <c r="K685" s="56"/>
      <c r="L685" s="57"/>
      <c r="M685" s="130"/>
      <c r="N685" s="57"/>
      <c r="O685" s="54"/>
      <c r="P685" s="132" t="str">
        <f>IFERROR(VLOOKUP(C685,TD!$B$32:$F$36,2,0)," ")</f>
        <v xml:space="preserve"> </v>
      </c>
      <c r="Q685" s="132" t="str">
        <f>IFERROR(VLOOKUP(C685,TD!$B$32:$F$36,3,0)," ")</f>
        <v xml:space="preserve"> </v>
      </c>
      <c r="R685" s="132" t="str">
        <f>IFERROR(VLOOKUP(C685,TD!$B$32:$F$36,4,0)," ")</f>
        <v xml:space="preserve"> </v>
      </c>
      <c r="S685" s="54"/>
      <c r="T685" s="132" t="str">
        <f>IFERROR(VLOOKUP(S685,TD!$J$33:$K$43,2,0)," ")</f>
        <v xml:space="preserve"> </v>
      </c>
      <c r="U685" s="54" t="str">
        <f t="shared" si="40"/>
        <v xml:space="preserve">- </v>
      </c>
      <c r="V685" s="54"/>
      <c r="W685" s="132" t="str">
        <f>IFERROR(VLOOKUP(V685,TD!$N$33:$O$45,2,0)," ")</f>
        <v xml:space="preserve"> </v>
      </c>
      <c r="X685" s="54" t="str">
        <f t="shared" si="41"/>
        <v xml:space="preserve">_ </v>
      </c>
      <c r="Y685" s="54" t="str">
        <f t="shared" si="42"/>
        <v xml:space="preserve">-  _ </v>
      </c>
      <c r="Z685" s="132" t="str">
        <f t="shared" si="43"/>
        <v xml:space="preserve">   </v>
      </c>
      <c r="AA685" s="132" t="str">
        <f>IFERROR(VLOOKUP(Y685,TD!$K$46:$L$64,2,0)," ")</f>
        <v xml:space="preserve"> </v>
      </c>
      <c r="AB685" s="57"/>
      <c r="AC685" s="133"/>
    </row>
    <row r="686" spans="2:29" s="28" customFormat="1">
      <c r="B686" s="85"/>
      <c r="C686" s="53"/>
      <c r="D686" s="130"/>
      <c r="E686" s="54"/>
      <c r="F686" s="130"/>
      <c r="G686" s="130"/>
      <c r="H686" s="55"/>
      <c r="I686" s="135"/>
      <c r="J686" s="131"/>
      <c r="K686" s="56"/>
      <c r="L686" s="57"/>
      <c r="M686" s="130"/>
      <c r="N686" s="57"/>
      <c r="O686" s="54"/>
      <c r="P686" s="132" t="str">
        <f>IFERROR(VLOOKUP(C686,TD!$B$32:$F$36,2,0)," ")</f>
        <v xml:space="preserve"> </v>
      </c>
      <c r="Q686" s="132" t="str">
        <f>IFERROR(VLOOKUP(C686,TD!$B$32:$F$36,3,0)," ")</f>
        <v xml:space="preserve"> </v>
      </c>
      <c r="R686" s="132" t="str">
        <f>IFERROR(VLOOKUP(C686,TD!$B$32:$F$36,4,0)," ")</f>
        <v xml:space="preserve"> </v>
      </c>
      <c r="S686" s="54"/>
      <c r="T686" s="132" t="str">
        <f>IFERROR(VLOOKUP(S686,TD!$J$33:$K$43,2,0)," ")</f>
        <v xml:space="preserve"> </v>
      </c>
      <c r="U686" s="54" t="str">
        <f t="shared" si="40"/>
        <v xml:space="preserve">- </v>
      </c>
      <c r="V686" s="54"/>
      <c r="W686" s="132" t="str">
        <f>IFERROR(VLOOKUP(V686,TD!$N$33:$O$45,2,0)," ")</f>
        <v xml:space="preserve"> </v>
      </c>
      <c r="X686" s="54" t="str">
        <f t="shared" si="41"/>
        <v xml:space="preserve">_ </v>
      </c>
      <c r="Y686" s="54" t="str">
        <f t="shared" si="42"/>
        <v xml:space="preserve">-  _ </v>
      </c>
      <c r="Z686" s="132" t="str">
        <f t="shared" si="43"/>
        <v xml:space="preserve">   </v>
      </c>
      <c r="AA686" s="132" t="str">
        <f>IFERROR(VLOOKUP(Y686,TD!$K$46:$L$64,2,0)," ")</f>
        <v xml:space="preserve"> </v>
      </c>
      <c r="AB686" s="57"/>
      <c r="AC686" s="133"/>
    </row>
    <row r="687" spans="2:29" s="28" customFormat="1">
      <c r="B687" s="85"/>
      <c r="C687" s="53"/>
      <c r="D687" s="130"/>
      <c r="E687" s="54"/>
      <c r="F687" s="130"/>
      <c r="G687" s="130"/>
      <c r="H687" s="55"/>
      <c r="I687" s="135"/>
      <c r="J687" s="131"/>
      <c r="K687" s="56"/>
      <c r="L687" s="57"/>
      <c r="M687" s="130"/>
      <c r="N687" s="57"/>
      <c r="O687" s="54"/>
      <c r="P687" s="132" t="str">
        <f>IFERROR(VLOOKUP(C687,TD!$B$32:$F$36,2,0)," ")</f>
        <v xml:space="preserve"> </v>
      </c>
      <c r="Q687" s="132" t="str">
        <f>IFERROR(VLOOKUP(C687,TD!$B$32:$F$36,3,0)," ")</f>
        <v xml:space="preserve"> </v>
      </c>
      <c r="R687" s="132" t="str">
        <f>IFERROR(VLOOKUP(C687,TD!$B$32:$F$36,4,0)," ")</f>
        <v xml:space="preserve"> </v>
      </c>
      <c r="S687" s="54"/>
      <c r="T687" s="132" t="str">
        <f>IFERROR(VLOOKUP(S687,TD!$J$33:$K$43,2,0)," ")</f>
        <v xml:space="preserve"> </v>
      </c>
      <c r="U687" s="54" t="str">
        <f t="shared" si="40"/>
        <v xml:space="preserve">- </v>
      </c>
      <c r="V687" s="54"/>
      <c r="W687" s="132" t="str">
        <f>IFERROR(VLOOKUP(V687,TD!$N$33:$O$45,2,0)," ")</f>
        <v xml:space="preserve"> </v>
      </c>
      <c r="X687" s="54" t="str">
        <f t="shared" si="41"/>
        <v xml:space="preserve">_ </v>
      </c>
      <c r="Y687" s="54" t="str">
        <f t="shared" si="42"/>
        <v xml:space="preserve">-  _ </v>
      </c>
      <c r="Z687" s="132" t="str">
        <f t="shared" si="43"/>
        <v xml:space="preserve">   </v>
      </c>
      <c r="AA687" s="132" t="str">
        <f>IFERROR(VLOOKUP(Y687,TD!$K$46:$L$64,2,0)," ")</f>
        <v xml:space="preserve"> </v>
      </c>
      <c r="AB687" s="57"/>
      <c r="AC687" s="133"/>
    </row>
    <row r="688" spans="2:29" s="28" customFormat="1">
      <c r="B688" s="85"/>
      <c r="C688" s="53"/>
      <c r="D688" s="130"/>
      <c r="E688" s="54"/>
      <c r="F688" s="130"/>
      <c r="G688" s="130"/>
      <c r="H688" s="55"/>
      <c r="I688" s="135"/>
      <c r="J688" s="131"/>
      <c r="K688" s="56"/>
      <c r="L688" s="57"/>
      <c r="M688" s="130"/>
      <c r="N688" s="57"/>
      <c r="O688" s="54"/>
      <c r="P688" s="132" t="str">
        <f>IFERROR(VLOOKUP(C688,TD!$B$32:$F$36,2,0)," ")</f>
        <v xml:space="preserve"> </v>
      </c>
      <c r="Q688" s="132" t="str">
        <f>IFERROR(VLOOKUP(C688,TD!$B$32:$F$36,3,0)," ")</f>
        <v xml:space="preserve"> </v>
      </c>
      <c r="R688" s="132" t="str">
        <f>IFERROR(VLOOKUP(C688,TD!$B$32:$F$36,4,0)," ")</f>
        <v xml:space="preserve"> </v>
      </c>
      <c r="S688" s="54"/>
      <c r="T688" s="132" t="str">
        <f>IFERROR(VLOOKUP(S688,TD!$J$33:$K$43,2,0)," ")</f>
        <v xml:space="preserve"> </v>
      </c>
      <c r="U688" s="54" t="str">
        <f t="shared" si="40"/>
        <v xml:space="preserve">- </v>
      </c>
      <c r="V688" s="54"/>
      <c r="W688" s="132" t="str">
        <f>IFERROR(VLOOKUP(V688,TD!$N$33:$O$45,2,0)," ")</f>
        <v xml:space="preserve"> </v>
      </c>
      <c r="X688" s="54" t="str">
        <f t="shared" si="41"/>
        <v xml:space="preserve">_ </v>
      </c>
      <c r="Y688" s="54" t="str">
        <f t="shared" si="42"/>
        <v xml:space="preserve">-  _ </v>
      </c>
      <c r="Z688" s="132" t="str">
        <f t="shared" si="43"/>
        <v xml:space="preserve">   </v>
      </c>
      <c r="AA688" s="132" t="str">
        <f>IFERROR(VLOOKUP(Y688,TD!$K$46:$L$64,2,0)," ")</f>
        <v xml:space="preserve"> </v>
      </c>
      <c r="AB688" s="57"/>
      <c r="AC688" s="133"/>
    </row>
    <row r="689" spans="2:29" s="28" customFormat="1">
      <c r="B689" s="85"/>
      <c r="C689" s="53"/>
      <c r="D689" s="130"/>
      <c r="E689" s="54"/>
      <c r="F689" s="130"/>
      <c r="G689" s="130"/>
      <c r="H689" s="55"/>
      <c r="I689" s="135"/>
      <c r="J689" s="131"/>
      <c r="K689" s="56"/>
      <c r="L689" s="57"/>
      <c r="M689" s="130"/>
      <c r="N689" s="57"/>
      <c r="O689" s="54"/>
      <c r="P689" s="132" t="str">
        <f>IFERROR(VLOOKUP(C689,TD!$B$32:$F$36,2,0)," ")</f>
        <v xml:space="preserve"> </v>
      </c>
      <c r="Q689" s="132" t="str">
        <f>IFERROR(VLOOKUP(C689,TD!$B$32:$F$36,3,0)," ")</f>
        <v xml:space="preserve"> </v>
      </c>
      <c r="R689" s="132" t="str">
        <f>IFERROR(VLOOKUP(C689,TD!$B$32:$F$36,4,0)," ")</f>
        <v xml:space="preserve"> </v>
      </c>
      <c r="S689" s="54"/>
      <c r="T689" s="132" t="str">
        <f>IFERROR(VLOOKUP(S689,TD!$J$33:$K$43,2,0)," ")</f>
        <v xml:space="preserve"> </v>
      </c>
      <c r="U689" s="54" t="str">
        <f t="shared" si="40"/>
        <v xml:space="preserve">- </v>
      </c>
      <c r="V689" s="54"/>
      <c r="W689" s="132" t="str">
        <f>IFERROR(VLOOKUP(V689,TD!$N$33:$O$45,2,0)," ")</f>
        <v xml:space="preserve"> </v>
      </c>
      <c r="X689" s="54" t="str">
        <f t="shared" si="41"/>
        <v xml:space="preserve">_ </v>
      </c>
      <c r="Y689" s="54" t="str">
        <f t="shared" si="42"/>
        <v xml:space="preserve">-  _ </v>
      </c>
      <c r="Z689" s="132" t="str">
        <f t="shared" si="43"/>
        <v xml:space="preserve">   </v>
      </c>
      <c r="AA689" s="132" t="str">
        <f>IFERROR(VLOOKUP(Y689,TD!$K$46:$L$64,2,0)," ")</f>
        <v xml:space="preserve"> </v>
      </c>
      <c r="AB689" s="57"/>
      <c r="AC689" s="133"/>
    </row>
    <row r="690" spans="2:29" s="28" customFormat="1">
      <c r="B690" s="85"/>
      <c r="C690" s="53"/>
      <c r="D690" s="130"/>
      <c r="E690" s="54"/>
      <c r="F690" s="130"/>
      <c r="G690" s="130"/>
      <c r="H690" s="55"/>
      <c r="I690" s="135"/>
      <c r="J690" s="131"/>
      <c r="K690" s="56"/>
      <c r="L690" s="57"/>
      <c r="M690" s="130"/>
      <c r="N690" s="57"/>
      <c r="O690" s="54"/>
      <c r="P690" s="132" t="str">
        <f>IFERROR(VLOOKUP(C690,TD!$B$32:$F$36,2,0)," ")</f>
        <v xml:space="preserve"> </v>
      </c>
      <c r="Q690" s="132" t="str">
        <f>IFERROR(VLOOKUP(C690,TD!$B$32:$F$36,3,0)," ")</f>
        <v xml:space="preserve"> </v>
      </c>
      <c r="R690" s="132" t="str">
        <f>IFERROR(VLOOKUP(C690,TD!$B$32:$F$36,4,0)," ")</f>
        <v xml:space="preserve"> </v>
      </c>
      <c r="S690" s="54"/>
      <c r="T690" s="132" t="str">
        <f>IFERROR(VLOOKUP(S690,TD!$J$33:$K$43,2,0)," ")</f>
        <v xml:space="preserve"> </v>
      </c>
      <c r="U690" s="54" t="str">
        <f t="shared" si="40"/>
        <v xml:space="preserve">- </v>
      </c>
      <c r="V690" s="54"/>
      <c r="W690" s="132" t="str">
        <f>IFERROR(VLOOKUP(V690,TD!$N$33:$O$45,2,0)," ")</f>
        <v xml:space="preserve"> </v>
      </c>
      <c r="X690" s="54" t="str">
        <f t="shared" si="41"/>
        <v xml:space="preserve">_ </v>
      </c>
      <c r="Y690" s="54" t="str">
        <f t="shared" si="42"/>
        <v xml:space="preserve">-  _ </v>
      </c>
      <c r="Z690" s="132" t="str">
        <f t="shared" si="43"/>
        <v xml:space="preserve">   </v>
      </c>
      <c r="AA690" s="132" t="str">
        <f>IFERROR(VLOOKUP(Y690,TD!$K$46:$L$64,2,0)," ")</f>
        <v xml:space="preserve"> </v>
      </c>
      <c r="AB690" s="57"/>
      <c r="AC690" s="133"/>
    </row>
    <row r="691" spans="2:29" s="28" customFormat="1">
      <c r="B691" s="85"/>
      <c r="C691" s="53"/>
      <c r="D691" s="130"/>
      <c r="E691" s="54"/>
      <c r="F691" s="130"/>
      <c r="G691" s="130"/>
      <c r="H691" s="55"/>
      <c r="I691" s="135"/>
      <c r="J691" s="131"/>
      <c r="K691" s="56"/>
      <c r="L691" s="57"/>
      <c r="M691" s="130"/>
      <c r="N691" s="57"/>
      <c r="O691" s="54"/>
      <c r="P691" s="132" t="str">
        <f>IFERROR(VLOOKUP(C691,TD!$B$32:$F$36,2,0)," ")</f>
        <v xml:space="preserve"> </v>
      </c>
      <c r="Q691" s="132" t="str">
        <f>IFERROR(VLOOKUP(C691,TD!$B$32:$F$36,3,0)," ")</f>
        <v xml:space="preserve"> </v>
      </c>
      <c r="R691" s="132" t="str">
        <f>IFERROR(VLOOKUP(C691,TD!$B$32:$F$36,4,0)," ")</f>
        <v xml:space="preserve"> </v>
      </c>
      <c r="S691" s="54"/>
      <c r="T691" s="132" t="str">
        <f>IFERROR(VLOOKUP(S691,TD!$J$33:$K$43,2,0)," ")</f>
        <v xml:space="preserve"> </v>
      </c>
      <c r="U691" s="54" t="str">
        <f t="shared" si="40"/>
        <v xml:space="preserve">- </v>
      </c>
      <c r="V691" s="54"/>
      <c r="W691" s="132" t="str">
        <f>IFERROR(VLOOKUP(V691,TD!$N$33:$O$45,2,0)," ")</f>
        <v xml:space="preserve"> </v>
      </c>
      <c r="X691" s="54" t="str">
        <f t="shared" si="41"/>
        <v xml:space="preserve">_ </v>
      </c>
      <c r="Y691" s="54" t="str">
        <f t="shared" si="42"/>
        <v xml:space="preserve">-  _ </v>
      </c>
      <c r="Z691" s="132" t="str">
        <f t="shared" si="43"/>
        <v xml:space="preserve">   </v>
      </c>
      <c r="AA691" s="132" t="str">
        <f>IFERROR(VLOOKUP(Y691,TD!$K$46:$L$64,2,0)," ")</f>
        <v xml:space="preserve"> </v>
      </c>
      <c r="AB691" s="57"/>
      <c r="AC691" s="133"/>
    </row>
    <row r="692" spans="2:29" s="28" customFormat="1">
      <c r="B692" s="85"/>
      <c r="C692" s="53"/>
      <c r="D692" s="130"/>
      <c r="E692" s="54"/>
      <c r="F692" s="130"/>
      <c r="G692" s="130"/>
      <c r="H692" s="55"/>
      <c r="I692" s="135"/>
      <c r="J692" s="131"/>
      <c r="K692" s="56"/>
      <c r="L692" s="57"/>
      <c r="M692" s="130"/>
      <c r="N692" s="57"/>
      <c r="O692" s="54"/>
      <c r="P692" s="132" t="str">
        <f>IFERROR(VLOOKUP(C692,TD!$B$32:$F$36,2,0)," ")</f>
        <v xml:space="preserve"> </v>
      </c>
      <c r="Q692" s="132" t="str">
        <f>IFERROR(VLOOKUP(C692,TD!$B$32:$F$36,3,0)," ")</f>
        <v xml:space="preserve"> </v>
      </c>
      <c r="R692" s="132" t="str">
        <f>IFERROR(VLOOKUP(C692,TD!$B$32:$F$36,4,0)," ")</f>
        <v xml:space="preserve"> </v>
      </c>
      <c r="S692" s="54"/>
      <c r="T692" s="132" t="str">
        <f>IFERROR(VLOOKUP(S692,TD!$J$33:$K$43,2,0)," ")</f>
        <v xml:space="preserve"> </v>
      </c>
      <c r="U692" s="54" t="str">
        <f t="shared" si="40"/>
        <v xml:space="preserve">- </v>
      </c>
      <c r="V692" s="54"/>
      <c r="W692" s="132" t="str">
        <f>IFERROR(VLOOKUP(V692,TD!$N$33:$O$45,2,0)," ")</f>
        <v xml:space="preserve"> </v>
      </c>
      <c r="X692" s="54" t="str">
        <f t="shared" si="41"/>
        <v xml:space="preserve">_ </v>
      </c>
      <c r="Y692" s="54" t="str">
        <f t="shared" si="42"/>
        <v xml:space="preserve">-  _ </v>
      </c>
      <c r="Z692" s="132" t="str">
        <f t="shared" si="43"/>
        <v xml:space="preserve">   </v>
      </c>
      <c r="AA692" s="132" t="str">
        <f>IFERROR(VLOOKUP(Y692,TD!$K$46:$L$64,2,0)," ")</f>
        <v xml:space="preserve"> </v>
      </c>
      <c r="AB692" s="57"/>
      <c r="AC692" s="133"/>
    </row>
    <row r="693" spans="2:29" s="28" customFormat="1">
      <c r="B693" s="85"/>
      <c r="C693" s="53"/>
      <c r="D693" s="130"/>
      <c r="E693" s="54"/>
      <c r="F693" s="130"/>
      <c r="G693" s="130"/>
      <c r="H693" s="55"/>
      <c r="I693" s="135"/>
      <c r="J693" s="131"/>
      <c r="K693" s="56"/>
      <c r="L693" s="57"/>
      <c r="M693" s="130"/>
      <c r="N693" s="57"/>
      <c r="O693" s="54"/>
      <c r="P693" s="132" t="str">
        <f>IFERROR(VLOOKUP(C693,TD!$B$32:$F$36,2,0)," ")</f>
        <v xml:space="preserve"> </v>
      </c>
      <c r="Q693" s="132" t="str">
        <f>IFERROR(VLOOKUP(C693,TD!$B$32:$F$36,3,0)," ")</f>
        <v xml:space="preserve"> </v>
      </c>
      <c r="R693" s="132" t="str">
        <f>IFERROR(VLOOKUP(C693,TD!$B$32:$F$36,4,0)," ")</f>
        <v xml:space="preserve"> </v>
      </c>
      <c r="S693" s="54"/>
      <c r="T693" s="132" t="str">
        <f>IFERROR(VLOOKUP(S693,TD!$J$33:$K$43,2,0)," ")</f>
        <v xml:space="preserve"> </v>
      </c>
      <c r="U693" s="54" t="str">
        <f t="shared" si="40"/>
        <v xml:space="preserve">- </v>
      </c>
      <c r="V693" s="54"/>
      <c r="W693" s="132" t="str">
        <f>IFERROR(VLOOKUP(V693,TD!$N$33:$O$45,2,0)," ")</f>
        <v xml:space="preserve"> </v>
      </c>
      <c r="X693" s="54" t="str">
        <f t="shared" si="41"/>
        <v xml:space="preserve">_ </v>
      </c>
      <c r="Y693" s="54" t="str">
        <f t="shared" si="42"/>
        <v xml:space="preserve">-  _ </v>
      </c>
      <c r="Z693" s="132" t="str">
        <f t="shared" si="43"/>
        <v xml:space="preserve">   </v>
      </c>
      <c r="AA693" s="132" t="str">
        <f>IFERROR(VLOOKUP(Y693,TD!$K$46:$L$64,2,0)," ")</f>
        <v xml:space="preserve"> </v>
      </c>
      <c r="AB693" s="57"/>
      <c r="AC693" s="133"/>
    </row>
    <row r="694" spans="2:29" s="28" customFormat="1">
      <c r="B694" s="85"/>
      <c r="C694" s="53"/>
      <c r="D694" s="130"/>
      <c r="E694" s="54"/>
      <c r="F694" s="130"/>
      <c r="G694" s="130"/>
      <c r="H694" s="55"/>
      <c r="I694" s="135"/>
      <c r="J694" s="131"/>
      <c r="K694" s="56"/>
      <c r="L694" s="57"/>
      <c r="M694" s="130"/>
      <c r="N694" s="57"/>
      <c r="O694" s="54"/>
      <c r="P694" s="132" t="str">
        <f>IFERROR(VLOOKUP(C694,TD!$B$32:$F$36,2,0)," ")</f>
        <v xml:space="preserve"> </v>
      </c>
      <c r="Q694" s="132" t="str">
        <f>IFERROR(VLOOKUP(C694,TD!$B$32:$F$36,3,0)," ")</f>
        <v xml:space="preserve"> </v>
      </c>
      <c r="R694" s="132" t="str">
        <f>IFERROR(VLOOKUP(C694,TD!$B$32:$F$36,4,0)," ")</f>
        <v xml:space="preserve"> </v>
      </c>
      <c r="S694" s="54"/>
      <c r="T694" s="132" t="str">
        <f>IFERROR(VLOOKUP(S694,TD!$J$33:$K$43,2,0)," ")</f>
        <v xml:space="preserve"> </v>
      </c>
      <c r="U694" s="54" t="str">
        <f t="shared" si="40"/>
        <v xml:space="preserve">- </v>
      </c>
      <c r="V694" s="54"/>
      <c r="W694" s="132" t="str">
        <f>IFERROR(VLOOKUP(V694,TD!$N$33:$O$45,2,0)," ")</f>
        <v xml:space="preserve"> </v>
      </c>
      <c r="X694" s="54" t="str">
        <f t="shared" si="41"/>
        <v xml:space="preserve">_ </v>
      </c>
      <c r="Y694" s="54" t="str">
        <f t="shared" si="42"/>
        <v xml:space="preserve">-  _ </v>
      </c>
      <c r="Z694" s="132" t="str">
        <f t="shared" si="43"/>
        <v xml:space="preserve">   </v>
      </c>
      <c r="AA694" s="132" t="str">
        <f>IFERROR(VLOOKUP(Y694,TD!$K$46:$L$64,2,0)," ")</f>
        <v xml:space="preserve"> </v>
      </c>
      <c r="AB694" s="57"/>
      <c r="AC694" s="133"/>
    </row>
    <row r="695" spans="2:29" s="28" customFormat="1">
      <c r="B695" s="85"/>
      <c r="C695" s="53"/>
      <c r="D695" s="130"/>
      <c r="E695" s="54"/>
      <c r="F695" s="130"/>
      <c r="G695" s="130"/>
      <c r="H695" s="55"/>
      <c r="I695" s="135"/>
      <c r="J695" s="131"/>
      <c r="K695" s="56"/>
      <c r="L695" s="57"/>
      <c r="M695" s="130"/>
      <c r="N695" s="57"/>
      <c r="O695" s="54"/>
      <c r="P695" s="132" t="str">
        <f>IFERROR(VLOOKUP(C695,TD!$B$32:$F$36,2,0)," ")</f>
        <v xml:space="preserve"> </v>
      </c>
      <c r="Q695" s="132" t="str">
        <f>IFERROR(VLOOKUP(C695,TD!$B$32:$F$36,3,0)," ")</f>
        <v xml:space="preserve"> </v>
      </c>
      <c r="R695" s="132" t="str">
        <f>IFERROR(VLOOKUP(C695,TD!$B$32:$F$36,4,0)," ")</f>
        <v xml:space="preserve"> </v>
      </c>
      <c r="S695" s="54"/>
      <c r="T695" s="132" t="str">
        <f>IFERROR(VLOOKUP(S695,TD!$J$33:$K$43,2,0)," ")</f>
        <v xml:space="preserve"> </v>
      </c>
      <c r="U695" s="54" t="str">
        <f t="shared" si="40"/>
        <v xml:space="preserve">- </v>
      </c>
      <c r="V695" s="54"/>
      <c r="W695" s="132" t="str">
        <f>IFERROR(VLOOKUP(V695,TD!$N$33:$O$45,2,0)," ")</f>
        <v xml:space="preserve"> </v>
      </c>
      <c r="X695" s="54" t="str">
        <f t="shared" si="41"/>
        <v xml:space="preserve">_ </v>
      </c>
      <c r="Y695" s="54" t="str">
        <f t="shared" si="42"/>
        <v xml:space="preserve">-  _ </v>
      </c>
      <c r="Z695" s="132" t="str">
        <f t="shared" si="43"/>
        <v xml:space="preserve">   </v>
      </c>
      <c r="AA695" s="132" t="str">
        <f>IFERROR(VLOOKUP(Y695,TD!$K$46:$L$64,2,0)," ")</f>
        <v xml:space="preserve"> </v>
      </c>
      <c r="AB695" s="57"/>
      <c r="AC695" s="133"/>
    </row>
    <row r="696" spans="2:29" s="28" customFormat="1">
      <c r="B696" s="85"/>
      <c r="C696" s="53"/>
      <c r="D696" s="130"/>
      <c r="E696" s="54"/>
      <c r="F696" s="130"/>
      <c r="G696" s="130"/>
      <c r="H696" s="55"/>
      <c r="I696" s="135"/>
      <c r="J696" s="131"/>
      <c r="K696" s="56"/>
      <c r="L696" s="57"/>
      <c r="M696" s="130"/>
      <c r="N696" s="57"/>
      <c r="O696" s="54"/>
      <c r="P696" s="132" t="str">
        <f>IFERROR(VLOOKUP(C696,TD!$B$32:$F$36,2,0)," ")</f>
        <v xml:space="preserve"> </v>
      </c>
      <c r="Q696" s="132" t="str">
        <f>IFERROR(VLOOKUP(C696,TD!$B$32:$F$36,3,0)," ")</f>
        <v xml:space="preserve"> </v>
      </c>
      <c r="R696" s="132" t="str">
        <f>IFERROR(VLOOKUP(C696,TD!$B$32:$F$36,4,0)," ")</f>
        <v xml:space="preserve"> </v>
      </c>
      <c r="S696" s="54"/>
      <c r="T696" s="132" t="str">
        <f>IFERROR(VLOOKUP(S696,TD!$J$33:$K$43,2,0)," ")</f>
        <v xml:space="preserve"> </v>
      </c>
      <c r="U696" s="54" t="str">
        <f t="shared" si="40"/>
        <v xml:space="preserve">- </v>
      </c>
      <c r="V696" s="54"/>
      <c r="W696" s="132" t="str">
        <f>IFERROR(VLOOKUP(V696,TD!$N$33:$O$45,2,0)," ")</f>
        <v xml:space="preserve"> </v>
      </c>
      <c r="X696" s="54" t="str">
        <f t="shared" si="41"/>
        <v xml:space="preserve">_ </v>
      </c>
      <c r="Y696" s="54" t="str">
        <f t="shared" si="42"/>
        <v xml:space="preserve">-  _ </v>
      </c>
      <c r="Z696" s="132" t="str">
        <f t="shared" si="43"/>
        <v xml:space="preserve">   </v>
      </c>
      <c r="AA696" s="132" t="str">
        <f>IFERROR(VLOOKUP(Y696,TD!$K$46:$L$64,2,0)," ")</f>
        <v xml:space="preserve"> </v>
      </c>
      <c r="AB696" s="57"/>
      <c r="AC696" s="133"/>
    </row>
    <row r="697" spans="2:29" s="28" customFormat="1">
      <c r="B697" s="85"/>
      <c r="C697" s="53"/>
      <c r="D697" s="130"/>
      <c r="E697" s="54"/>
      <c r="F697" s="130"/>
      <c r="G697" s="130"/>
      <c r="H697" s="55"/>
      <c r="I697" s="135"/>
      <c r="J697" s="131"/>
      <c r="K697" s="56"/>
      <c r="L697" s="57"/>
      <c r="M697" s="130"/>
      <c r="N697" s="57"/>
      <c r="O697" s="54"/>
      <c r="P697" s="132" t="str">
        <f>IFERROR(VLOOKUP(C697,TD!$B$32:$F$36,2,0)," ")</f>
        <v xml:space="preserve"> </v>
      </c>
      <c r="Q697" s="132" t="str">
        <f>IFERROR(VLOOKUP(C697,TD!$B$32:$F$36,3,0)," ")</f>
        <v xml:space="preserve"> </v>
      </c>
      <c r="R697" s="132" t="str">
        <f>IFERROR(VLOOKUP(C697,TD!$B$32:$F$36,4,0)," ")</f>
        <v xml:space="preserve"> </v>
      </c>
      <c r="S697" s="54"/>
      <c r="T697" s="132" t="str">
        <f>IFERROR(VLOOKUP(S697,TD!$J$33:$K$43,2,0)," ")</f>
        <v xml:space="preserve"> </v>
      </c>
      <c r="U697" s="54" t="str">
        <f t="shared" si="40"/>
        <v xml:space="preserve">- </v>
      </c>
      <c r="V697" s="54"/>
      <c r="W697" s="132" t="str">
        <f>IFERROR(VLOOKUP(V697,TD!$N$33:$O$45,2,0)," ")</f>
        <v xml:space="preserve"> </v>
      </c>
      <c r="X697" s="54" t="str">
        <f t="shared" si="41"/>
        <v xml:space="preserve">_ </v>
      </c>
      <c r="Y697" s="54" t="str">
        <f t="shared" si="42"/>
        <v xml:space="preserve">-  _ </v>
      </c>
      <c r="Z697" s="132" t="str">
        <f t="shared" si="43"/>
        <v xml:space="preserve">   </v>
      </c>
      <c r="AA697" s="132" t="str">
        <f>IFERROR(VLOOKUP(Y697,TD!$K$46:$L$64,2,0)," ")</f>
        <v xml:space="preserve"> </v>
      </c>
      <c r="AB697" s="57"/>
      <c r="AC697" s="133"/>
    </row>
    <row r="698" spans="2:29" s="28" customFormat="1">
      <c r="B698" s="85"/>
      <c r="C698" s="53"/>
      <c r="D698" s="130"/>
      <c r="E698" s="54"/>
      <c r="F698" s="130"/>
      <c r="G698" s="130"/>
      <c r="H698" s="55"/>
      <c r="I698" s="135"/>
      <c r="J698" s="131"/>
      <c r="K698" s="56"/>
      <c r="L698" s="57"/>
      <c r="M698" s="130"/>
      <c r="N698" s="57"/>
      <c r="O698" s="54"/>
      <c r="P698" s="132" t="str">
        <f>IFERROR(VLOOKUP(C698,TD!$B$32:$F$36,2,0)," ")</f>
        <v xml:space="preserve"> </v>
      </c>
      <c r="Q698" s="132" t="str">
        <f>IFERROR(VLOOKUP(C698,TD!$B$32:$F$36,3,0)," ")</f>
        <v xml:space="preserve"> </v>
      </c>
      <c r="R698" s="132" t="str">
        <f>IFERROR(VLOOKUP(C698,TD!$B$32:$F$36,4,0)," ")</f>
        <v xml:space="preserve"> </v>
      </c>
      <c r="S698" s="54"/>
      <c r="T698" s="132" t="str">
        <f>IFERROR(VLOOKUP(S698,TD!$J$33:$K$43,2,0)," ")</f>
        <v xml:space="preserve"> </v>
      </c>
      <c r="U698" s="54" t="str">
        <f t="shared" si="40"/>
        <v xml:space="preserve">- </v>
      </c>
      <c r="V698" s="54"/>
      <c r="W698" s="132" t="str">
        <f>IFERROR(VLOOKUP(V698,TD!$N$33:$O$45,2,0)," ")</f>
        <v xml:space="preserve"> </v>
      </c>
      <c r="X698" s="54" t="str">
        <f t="shared" si="41"/>
        <v xml:space="preserve">_ </v>
      </c>
      <c r="Y698" s="54" t="str">
        <f t="shared" si="42"/>
        <v xml:space="preserve">-  _ </v>
      </c>
      <c r="Z698" s="132" t="str">
        <f t="shared" si="43"/>
        <v xml:space="preserve">   </v>
      </c>
      <c r="AA698" s="132" t="str">
        <f>IFERROR(VLOOKUP(Y698,TD!$K$46:$L$64,2,0)," ")</f>
        <v xml:space="preserve"> </v>
      </c>
      <c r="AB698" s="57"/>
      <c r="AC698" s="133"/>
    </row>
    <row r="699" spans="2:29" s="28" customFormat="1">
      <c r="B699" s="85"/>
      <c r="C699" s="53"/>
      <c r="D699" s="130"/>
      <c r="E699" s="54"/>
      <c r="F699" s="130"/>
      <c r="G699" s="130"/>
      <c r="H699" s="55"/>
      <c r="I699" s="135"/>
      <c r="J699" s="131"/>
      <c r="K699" s="56"/>
      <c r="L699" s="57"/>
      <c r="M699" s="130"/>
      <c r="N699" s="57"/>
      <c r="O699" s="54"/>
      <c r="P699" s="132" t="str">
        <f>IFERROR(VLOOKUP(C699,TD!$B$32:$F$36,2,0)," ")</f>
        <v xml:space="preserve"> </v>
      </c>
      <c r="Q699" s="132" t="str">
        <f>IFERROR(VLOOKUP(C699,TD!$B$32:$F$36,3,0)," ")</f>
        <v xml:space="preserve"> </v>
      </c>
      <c r="R699" s="132" t="str">
        <f>IFERROR(VLOOKUP(C699,TD!$B$32:$F$36,4,0)," ")</f>
        <v xml:space="preserve"> </v>
      </c>
      <c r="S699" s="54"/>
      <c r="T699" s="132" t="str">
        <f>IFERROR(VLOOKUP(S699,TD!$J$33:$K$43,2,0)," ")</f>
        <v xml:space="preserve"> </v>
      </c>
      <c r="U699" s="54" t="str">
        <f t="shared" si="40"/>
        <v xml:space="preserve">- </v>
      </c>
      <c r="V699" s="54"/>
      <c r="W699" s="132" t="str">
        <f>IFERROR(VLOOKUP(V699,TD!$N$33:$O$45,2,0)," ")</f>
        <v xml:space="preserve"> </v>
      </c>
      <c r="X699" s="54" t="str">
        <f t="shared" si="41"/>
        <v xml:space="preserve">_ </v>
      </c>
      <c r="Y699" s="54" t="str">
        <f t="shared" si="42"/>
        <v xml:space="preserve">-  _ </v>
      </c>
      <c r="Z699" s="132" t="str">
        <f t="shared" si="43"/>
        <v xml:space="preserve">   </v>
      </c>
      <c r="AA699" s="132" t="str">
        <f>IFERROR(VLOOKUP(Y699,TD!$K$46:$L$64,2,0)," ")</f>
        <v xml:space="preserve"> </v>
      </c>
      <c r="AB699" s="57"/>
      <c r="AC699" s="133"/>
    </row>
    <row r="700" spans="2:29" s="28" customFormat="1">
      <c r="B700" s="85"/>
      <c r="C700" s="53"/>
      <c r="D700" s="130"/>
      <c r="E700" s="54"/>
      <c r="F700" s="130"/>
      <c r="G700" s="130"/>
      <c r="H700" s="55"/>
      <c r="I700" s="135"/>
      <c r="J700" s="131"/>
      <c r="K700" s="56"/>
      <c r="L700" s="57"/>
      <c r="M700" s="130"/>
      <c r="N700" s="57"/>
      <c r="O700" s="54"/>
      <c r="P700" s="132" t="str">
        <f>IFERROR(VLOOKUP(C700,TD!$B$32:$F$36,2,0)," ")</f>
        <v xml:space="preserve"> </v>
      </c>
      <c r="Q700" s="132" t="str">
        <f>IFERROR(VLOOKUP(C700,TD!$B$32:$F$36,3,0)," ")</f>
        <v xml:space="preserve"> </v>
      </c>
      <c r="R700" s="132" t="str">
        <f>IFERROR(VLOOKUP(C700,TD!$B$32:$F$36,4,0)," ")</f>
        <v xml:space="preserve"> </v>
      </c>
      <c r="S700" s="54"/>
      <c r="T700" s="132" t="str">
        <f>IFERROR(VLOOKUP(S700,TD!$J$33:$K$43,2,0)," ")</f>
        <v xml:space="preserve"> </v>
      </c>
      <c r="U700" s="54" t="str">
        <f t="shared" si="40"/>
        <v xml:space="preserve">- </v>
      </c>
      <c r="V700" s="54"/>
      <c r="W700" s="132" t="str">
        <f>IFERROR(VLOOKUP(V700,TD!$N$33:$O$45,2,0)," ")</f>
        <v xml:space="preserve"> </v>
      </c>
      <c r="X700" s="54" t="str">
        <f t="shared" si="41"/>
        <v xml:space="preserve">_ </v>
      </c>
      <c r="Y700" s="54" t="str">
        <f t="shared" si="42"/>
        <v xml:space="preserve">-  _ </v>
      </c>
      <c r="Z700" s="132" t="str">
        <f t="shared" si="43"/>
        <v xml:space="preserve">   </v>
      </c>
      <c r="AA700" s="132" t="str">
        <f>IFERROR(VLOOKUP(Y700,TD!$K$46:$L$64,2,0)," ")</f>
        <v xml:space="preserve"> </v>
      </c>
      <c r="AB700" s="57"/>
      <c r="AC700" s="133"/>
    </row>
    <row r="701" spans="2:29" s="28" customFormat="1">
      <c r="B701" s="85"/>
      <c r="C701" s="53"/>
      <c r="D701" s="130"/>
      <c r="E701" s="54"/>
      <c r="F701" s="130"/>
      <c r="G701" s="130"/>
      <c r="H701" s="55"/>
      <c r="I701" s="135"/>
      <c r="J701" s="131"/>
      <c r="K701" s="56"/>
      <c r="L701" s="57"/>
      <c r="M701" s="130"/>
      <c r="N701" s="57"/>
      <c r="O701" s="54"/>
      <c r="P701" s="132" t="str">
        <f>IFERROR(VLOOKUP(C701,TD!$B$32:$F$36,2,0)," ")</f>
        <v xml:space="preserve"> </v>
      </c>
      <c r="Q701" s="132" t="str">
        <f>IFERROR(VLOOKUP(C701,TD!$B$32:$F$36,3,0)," ")</f>
        <v xml:space="preserve"> </v>
      </c>
      <c r="R701" s="132" t="str">
        <f>IFERROR(VLOOKUP(C701,TD!$B$32:$F$36,4,0)," ")</f>
        <v xml:space="preserve"> </v>
      </c>
      <c r="S701" s="54"/>
      <c r="T701" s="132" t="str">
        <f>IFERROR(VLOOKUP(S701,TD!$J$33:$K$43,2,0)," ")</f>
        <v xml:space="preserve"> </v>
      </c>
      <c r="U701" s="54" t="str">
        <f t="shared" si="40"/>
        <v xml:space="preserve">- </v>
      </c>
      <c r="V701" s="54"/>
      <c r="W701" s="132" t="str">
        <f>IFERROR(VLOOKUP(V701,TD!$N$33:$O$45,2,0)," ")</f>
        <v xml:space="preserve"> </v>
      </c>
      <c r="X701" s="54" t="str">
        <f t="shared" si="41"/>
        <v xml:space="preserve">_ </v>
      </c>
      <c r="Y701" s="54" t="str">
        <f t="shared" si="42"/>
        <v xml:space="preserve">-  _ </v>
      </c>
      <c r="Z701" s="132" t="str">
        <f t="shared" si="43"/>
        <v xml:space="preserve">   </v>
      </c>
      <c r="AA701" s="132" t="str">
        <f>IFERROR(VLOOKUP(Y701,TD!$K$46:$L$64,2,0)," ")</f>
        <v xml:space="preserve"> </v>
      </c>
      <c r="AB701" s="57"/>
      <c r="AC701" s="133"/>
    </row>
    <row r="702" spans="2:29" s="28" customFormat="1">
      <c r="B702" s="85"/>
      <c r="C702" s="53"/>
      <c r="D702" s="130"/>
      <c r="E702" s="54"/>
      <c r="F702" s="130"/>
      <c r="G702" s="130"/>
      <c r="H702" s="55"/>
      <c r="I702" s="135"/>
      <c r="J702" s="131"/>
      <c r="K702" s="56"/>
      <c r="L702" s="57"/>
      <c r="M702" s="130"/>
      <c r="N702" s="57"/>
      <c r="O702" s="54"/>
      <c r="P702" s="132" t="str">
        <f>IFERROR(VLOOKUP(C702,TD!$B$32:$F$36,2,0)," ")</f>
        <v xml:space="preserve"> </v>
      </c>
      <c r="Q702" s="132" t="str">
        <f>IFERROR(VLOOKUP(C702,TD!$B$32:$F$36,3,0)," ")</f>
        <v xml:space="preserve"> </v>
      </c>
      <c r="R702" s="132" t="str">
        <f>IFERROR(VLOOKUP(C702,TD!$B$32:$F$36,4,0)," ")</f>
        <v xml:space="preserve"> </v>
      </c>
      <c r="S702" s="54"/>
      <c r="T702" s="132" t="str">
        <f>IFERROR(VLOOKUP(S702,TD!$J$33:$K$43,2,0)," ")</f>
        <v xml:space="preserve"> </v>
      </c>
      <c r="U702" s="54" t="str">
        <f t="shared" si="40"/>
        <v xml:space="preserve">- </v>
      </c>
      <c r="V702" s="54"/>
      <c r="W702" s="132" t="str">
        <f>IFERROR(VLOOKUP(V702,TD!$N$33:$O$45,2,0)," ")</f>
        <v xml:space="preserve"> </v>
      </c>
      <c r="X702" s="54" t="str">
        <f t="shared" si="41"/>
        <v xml:space="preserve">_ </v>
      </c>
      <c r="Y702" s="54" t="str">
        <f t="shared" si="42"/>
        <v xml:space="preserve">-  _ </v>
      </c>
      <c r="Z702" s="132" t="str">
        <f t="shared" si="43"/>
        <v xml:space="preserve">   </v>
      </c>
      <c r="AA702" s="132" t="str">
        <f>IFERROR(VLOOKUP(Y702,TD!$K$46:$L$64,2,0)," ")</f>
        <v xml:space="preserve"> </v>
      </c>
      <c r="AB702" s="57"/>
      <c r="AC702" s="133"/>
    </row>
    <row r="703" spans="2:29" s="28" customFormat="1">
      <c r="B703" s="85"/>
      <c r="C703" s="53"/>
      <c r="D703" s="130"/>
      <c r="E703" s="54"/>
      <c r="F703" s="130"/>
      <c r="G703" s="130"/>
      <c r="H703" s="55"/>
      <c r="I703" s="135"/>
      <c r="J703" s="131"/>
      <c r="K703" s="56"/>
      <c r="L703" s="57"/>
      <c r="M703" s="130"/>
      <c r="N703" s="57"/>
      <c r="O703" s="54"/>
      <c r="P703" s="132" t="str">
        <f>IFERROR(VLOOKUP(C703,TD!$B$32:$F$36,2,0)," ")</f>
        <v xml:space="preserve"> </v>
      </c>
      <c r="Q703" s="132" t="str">
        <f>IFERROR(VLOOKUP(C703,TD!$B$32:$F$36,3,0)," ")</f>
        <v xml:space="preserve"> </v>
      </c>
      <c r="R703" s="132" t="str">
        <f>IFERROR(VLOOKUP(C703,TD!$B$32:$F$36,4,0)," ")</f>
        <v xml:space="preserve"> </v>
      </c>
      <c r="S703" s="54"/>
      <c r="T703" s="132" t="str">
        <f>IFERROR(VLOOKUP(S703,TD!$J$33:$K$43,2,0)," ")</f>
        <v xml:space="preserve"> </v>
      </c>
      <c r="U703" s="54" t="str">
        <f t="shared" si="40"/>
        <v xml:space="preserve">- </v>
      </c>
      <c r="V703" s="54"/>
      <c r="W703" s="132" t="str">
        <f>IFERROR(VLOOKUP(V703,TD!$N$33:$O$45,2,0)," ")</f>
        <v xml:space="preserve"> </v>
      </c>
      <c r="X703" s="54" t="str">
        <f t="shared" si="41"/>
        <v xml:space="preserve">_ </v>
      </c>
      <c r="Y703" s="54" t="str">
        <f t="shared" si="42"/>
        <v xml:space="preserve">-  _ </v>
      </c>
      <c r="Z703" s="132" t="str">
        <f t="shared" si="43"/>
        <v xml:space="preserve">   </v>
      </c>
      <c r="AA703" s="132" t="str">
        <f>IFERROR(VLOOKUP(Y703,TD!$K$46:$L$64,2,0)," ")</f>
        <v xml:space="preserve"> </v>
      </c>
      <c r="AB703" s="57"/>
      <c r="AC703" s="133"/>
    </row>
    <row r="704" spans="2:29" s="28" customFormat="1">
      <c r="B704" s="85"/>
      <c r="C704" s="53"/>
      <c r="D704" s="130"/>
      <c r="E704" s="54"/>
      <c r="F704" s="130"/>
      <c r="G704" s="130"/>
      <c r="H704" s="55"/>
      <c r="I704" s="135"/>
      <c r="J704" s="131"/>
      <c r="K704" s="56"/>
      <c r="L704" s="57"/>
      <c r="M704" s="130"/>
      <c r="N704" s="57"/>
      <c r="O704" s="54"/>
      <c r="P704" s="132" t="str">
        <f>IFERROR(VLOOKUP(C704,TD!$B$32:$F$36,2,0)," ")</f>
        <v xml:space="preserve"> </v>
      </c>
      <c r="Q704" s="132" t="str">
        <f>IFERROR(VLOOKUP(C704,TD!$B$32:$F$36,3,0)," ")</f>
        <v xml:space="preserve"> </v>
      </c>
      <c r="R704" s="132" t="str">
        <f>IFERROR(VLOOKUP(C704,TD!$B$32:$F$36,4,0)," ")</f>
        <v xml:space="preserve"> </v>
      </c>
      <c r="S704" s="54"/>
      <c r="T704" s="132" t="str">
        <f>IFERROR(VLOOKUP(S704,TD!$J$33:$K$43,2,0)," ")</f>
        <v xml:space="preserve"> </v>
      </c>
      <c r="U704" s="54" t="str">
        <f t="shared" si="40"/>
        <v xml:space="preserve">- </v>
      </c>
      <c r="V704" s="54"/>
      <c r="W704" s="132" t="str">
        <f>IFERROR(VLOOKUP(V704,TD!$N$33:$O$45,2,0)," ")</f>
        <v xml:space="preserve"> </v>
      </c>
      <c r="X704" s="54" t="str">
        <f t="shared" si="41"/>
        <v xml:space="preserve">_ </v>
      </c>
      <c r="Y704" s="54" t="str">
        <f t="shared" si="42"/>
        <v xml:space="preserve">-  _ </v>
      </c>
      <c r="Z704" s="132" t="str">
        <f t="shared" si="43"/>
        <v xml:space="preserve">   </v>
      </c>
      <c r="AA704" s="132" t="str">
        <f>IFERROR(VLOOKUP(Y704,TD!$K$46:$L$64,2,0)," ")</f>
        <v xml:space="preserve"> </v>
      </c>
      <c r="AB704" s="57"/>
      <c r="AC704" s="133"/>
    </row>
    <row r="705" spans="2:29" s="28" customFormat="1">
      <c r="B705" s="85"/>
      <c r="C705" s="53"/>
      <c r="D705" s="130"/>
      <c r="E705" s="54"/>
      <c r="F705" s="130"/>
      <c r="G705" s="130"/>
      <c r="H705" s="55"/>
      <c r="I705" s="135"/>
      <c r="J705" s="131"/>
      <c r="K705" s="56"/>
      <c r="L705" s="57"/>
      <c r="M705" s="130"/>
      <c r="N705" s="57"/>
      <c r="O705" s="54"/>
      <c r="P705" s="132" t="str">
        <f>IFERROR(VLOOKUP(C705,TD!$B$32:$F$36,2,0)," ")</f>
        <v xml:space="preserve"> </v>
      </c>
      <c r="Q705" s="132" t="str">
        <f>IFERROR(VLOOKUP(C705,TD!$B$32:$F$36,3,0)," ")</f>
        <v xml:space="preserve"> </v>
      </c>
      <c r="R705" s="132" t="str">
        <f>IFERROR(VLOOKUP(C705,TD!$B$32:$F$36,4,0)," ")</f>
        <v xml:space="preserve"> </v>
      </c>
      <c r="S705" s="54"/>
      <c r="T705" s="132" t="str">
        <f>IFERROR(VLOOKUP(S705,TD!$J$33:$K$43,2,0)," ")</f>
        <v xml:space="preserve"> </v>
      </c>
      <c r="U705" s="54" t="str">
        <f t="shared" si="40"/>
        <v xml:space="preserve">- </v>
      </c>
      <c r="V705" s="54"/>
      <c r="W705" s="132" t="str">
        <f>IFERROR(VLOOKUP(V705,TD!$N$33:$O$45,2,0)," ")</f>
        <v xml:space="preserve"> </v>
      </c>
      <c r="X705" s="54" t="str">
        <f t="shared" si="41"/>
        <v xml:space="preserve">_ </v>
      </c>
      <c r="Y705" s="54" t="str">
        <f t="shared" si="42"/>
        <v xml:space="preserve">-  _ </v>
      </c>
      <c r="Z705" s="132" t="str">
        <f t="shared" si="43"/>
        <v xml:space="preserve">   </v>
      </c>
      <c r="AA705" s="132" t="str">
        <f>IFERROR(VLOOKUP(Y705,TD!$K$46:$L$64,2,0)," ")</f>
        <v xml:space="preserve"> </v>
      </c>
      <c r="AB705" s="57"/>
      <c r="AC705" s="133"/>
    </row>
    <row r="706" spans="2:29" s="28" customFormat="1">
      <c r="B706" s="85"/>
      <c r="C706" s="53"/>
      <c r="D706" s="130"/>
      <c r="E706" s="54"/>
      <c r="F706" s="130"/>
      <c r="G706" s="130"/>
      <c r="H706" s="55"/>
      <c r="I706" s="135"/>
      <c r="J706" s="131"/>
      <c r="K706" s="56"/>
      <c r="L706" s="57"/>
      <c r="M706" s="130"/>
      <c r="N706" s="57"/>
      <c r="O706" s="54"/>
      <c r="P706" s="132" t="str">
        <f>IFERROR(VLOOKUP(C706,TD!$B$32:$F$36,2,0)," ")</f>
        <v xml:space="preserve"> </v>
      </c>
      <c r="Q706" s="132" t="str">
        <f>IFERROR(VLOOKUP(C706,TD!$B$32:$F$36,3,0)," ")</f>
        <v xml:space="preserve"> </v>
      </c>
      <c r="R706" s="132" t="str">
        <f>IFERROR(VLOOKUP(C706,TD!$B$32:$F$36,4,0)," ")</f>
        <v xml:space="preserve"> </v>
      </c>
      <c r="S706" s="54"/>
      <c r="T706" s="132" t="str">
        <f>IFERROR(VLOOKUP(S706,TD!$J$33:$K$43,2,0)," ")</f>
        <v xml:space="preserve"> </v>
      </c>
      <c r="U706" s="54" t="str">
        <f t="shared" si="40"/>
        <v xml:space="preserve">- </v>
      </c>
      <c r="V706" s="54"/>
      <c r="W706" s="132" t="str">
        <f>IFERROR(VLOOKUP(V706,TD!$N$33:$O$45,2,0)," ")</f>
        <v xml:space="preserve"> </v>
      </c>
      <c r="X706" s="54" t="str">
        <f t="shared" si="41"/>
        <v xml:space="preserve">_ </v>
      </c>
      <c r="Y706" s="54" t="str">
        <f t="shared" si="42"/>
        <v xml:space="preserve">-  _ </v>
      </c>
      <c r="Z706" s="132" t="str">
        <f t="shared" si="43"/>
        <v xml:space="preserve">   </v>
      </c>
      <c r="AA706" s="132" t="str">
        <f>IFERROR(VLOOKUP(Y706,TD!$K$46:$L$64,2,0)," ")</f>
        <v xml:space="preserve"> </v>
      </c>
      <c r="AB706" s="57"/>
      <c r="AC706" s="133"/>
    </row>
    <row r="707" spans="2:29" s="28" customFormat="1">
      <c r="B707" s="85"/>
      <c r="C707" s="53"/>
      <c r="D707" s="130"/>
      <c r="E707" s="54"/>
      <c r="F707" s="130"/>
      <c r="G707" s="130"/>
      <c r="H707" s="55"/>
      <c r="I707" s="135"/>
      <c r="J707" s="131"/>
      <c r="K707" s="56"/>
      <c r="L707" s="57"/>
      <c r="M707" s="130"/>
      <c r="N707" s="57"/>
      <c r="O707" s="54"/>
      <c r="P707" s="132" t="str">
        <f>IFERROR(VLOOKUP(C707,TD!$B$32:$F$36,2,0)," ")</f>
        <v xml:space="preserve"> </v>
      </c>
      <c r="Q707" s="132" t="str">
        <f>IFERROR(VLOOKUP(C707,TD!$B$32:$F$36,3,0)," ")</f>
        <v xml:space="preserve"> </v>
      </c>
      <c r="R707" s="132" t="str">
        <f>IFERROR(VLOOKUP(C707,TD!$B$32:$F$36,4,0)," ")</f>
        <v xml:space="preserve"> </v>
      </c>
      <c r="S707" s="54"/>
      <c r="T707" s="132" t="str">
        <f>IFERROR(VLOOKUP(S707,TD!$J$33:$K$43,2,0)," ")</f>
        <v xml:space="preserve"> </v>
      </c>
      <c r="U707" s="54" t="str">
        <f t="shared" si="40"/>
        <v xml:space="preserve">- </v>
      </c>
      <c r="V707" s="54"/>
      <c r="W707" s="132" t="str">
        <f>IFERROR(VLOOKUP(V707,TD!$N$33:$O$45,2,0)," ")</f>
        <v xml:space="preserve"> </v>
      </c>
      <c r="X707" s="54" t="str">
        <f t="shared" si="41"/>
        <v xml:space="preserve">_ </v>
      </c>
      <c r="Y707" s="54" t="str">
        <f t="shared" si="42"/>
        <v xml:space="preserve">-  _ </v>
      </c>
      <c r="Z707" s="132" t="str">
        <f t="shared" si="43"/>
        <v xml:space="preserve">   </v>
      </c>
      <c r="AA707" s="132" t="str">
        <f>IFERROR(VLOOKUP(Y707,TD!$K$46:$L$64,2,0)," ")</f>
        <v xml:space="preserve"> </v>
      </c>
      <c r="AB707" s="57"/>
      <c r="AC707" s="133"/>
    </row>
    <row r="708" spans="2:29" s="28" customFormat="1">
      <c r="B708" s="85"/>
      <c r="C708" s="53"/>
      <c r="D708" s="130"/>
      <c r="E708" s="54"/>
      <c r="F708" s="130"/>
      <c r="G708" s="130"/>
      <c r="H708" s="55"/>
      <c r="I708" s="135"/>
      <c r="J708" s="131"/>
      <c r="K708" s="56"/>
      <c r="L708" s="57"/>
      <c r="M708" s="130"/>
      <c r="N708" s="57"/>
      <c r="O708" s="54"/>
      <c r="P708" s="132" t="str">
        <f>IFERROR(VLOOKUP(C708,TD!$B$32:$F$36,2,0)," ")</f>
        <v xml:space="preserve"> </v>
      </c>
      <c r="Q708" s="132" t="str">
        <f>IFERROR(VLOOKUP(C708,TD!$B$32:$F$36,3,0)," ")</f>
        <v xml:space="preserve"> </v>
      </c>
      <c r="R708" s="132" t="str">
        <f>IFERROR(VLOOKUP(C708,TD!$B$32:$F$36,4,0)," ")</f>
        <v xml:space="preserve"> </v>
      </c>
      <c r="S708" s="54"/>
      <c r="T708" s="132" t="str">
        <f>IFERROR(VLOOKUP(S708,TD!$J$33:$K$43,2,0)," ")</f>
        <v xml:space="preserve"> </v>
      </c>
      <c r="U708" s="54" t="str">
        <f t="shared" si="40"/>
        <v xml:space="preserve">- </v>
      </c>
      <c r="V708" s="54"/>
      <c r="W708" s="132" t="str">
        <f>IFERROR(VLOOKUP(V708,TD!$N$33:$O$45,2,0)," ")</f>
        <v xml:space="preserve"> </v>
      </c>
      <c r="X708" s="54" t="str">
        <f t="shared" si="41"/>
        <v xml:space="preserve">_ </v>
      </c>
      <c r="Y708" s="54" t="str">
        <f t="shared" si="42"/>
        <v xml:space="preserve">-  _ </v>
      </c>
      <c r="Z708" s="132" t="str">
        <f t="shared" si="43"/>
        <v xml:space="preserve">   </v>
      </c>
      <c r="AA708" s="132" t="str">
        <f>IFERROR(VLOOKUP(Y708,TD!$K$46:$L$64,2,0)," ")</f>
        <v xml:space="preserve"> </v>
      </c>
      <c r="AB708" s="57"/>
      <c r="AC708" s="133"/>
    </row>
    <row r="709" spans="2:29" s="28" customFormat="1">
      <c r="B709" s="85"/>
      <c r="C709" s="53"/>
      <c r="D709" s="130"/>
      <c r="E709" s="54"/>
      <c r="F709" s="130"/>
      <c r="G709" s="130"/>
      <c r="H709" s="55"/>
      <c r="I709" s="135"/>
      <c r="J709" s="131"/>
      <c r="K709" s="56"/>
      <c r="L709" s="57"/>
      <c r="M709" s="130"/>
      <c r="N709" s="57"/>
      <c r="O709" s="54"/>
      <c r="P709" s="132" t="str">
        <f>IFERROR(VLOOKUP(C709,TD!$B$32:$F$36,2,0)," ")</f>
        <v xml:space="preserve"> </v>
      </c>
      <c r="Q709" s="132" t="str">
        <f>IFERROR(VLOOKUP(C709,TD!$B$32:$F$36,3,0)," ")</f>
        <v xml:space="preserve"> </v>
      </c>
      <c r="R709" s="132" t="str">
        <f>IFERROR(VLOOKUP(C709,TD!$B$32:$F$36,4,0)," ")</f>
        <v xml:space="preserve"> </v>
      </c>
      <c r="S709" s="54"/>
      <c r="T709" s="132" t="str">
        <f>IFERROR(VLOOKUP(S709,TD!$J$33:$K$43,2,0)," ")</f>
        <v xml:space="preserve"> </v>
      </c>
      <c r="U709" s="54" t="str">
        <f t="shared" si="40"/>
        <v xml:space="preserve">- </v>
      </c>
      <c r="V709" s="54"/>
      <c r="W709" s="132" t="str">
        <f>IFERROR(VLOOKUP(V709,TD!$N$33:$O$45,2,0)," ")</f>
        <v xml:space="preserve"> </v>
      </c>
      <c r="X709" s="54" t="str">
        <f t="shared" si="41"/>
        <v xml:space="preserve">_ </v>
      </c>
      <c r="Y709" s="54" t="str">
        <f t="shared" si="42"/>
        <v xml:space="preserve">-  _ </v>
      </c>
      <c r="Z709" s="132" t="str">
        <f t="shared" si="43"/>
        <v xml:space="preserve">   </v>
      </c>
      <c r="AA709" s="132" t="str">
        <f>IFERROR(VLOOKUP(Y709,TD!$K$46:$L$64,2,0)," ")</f>
        <v xml:space="preserve"> </v>
      </c>
      <c r="AB709" s="57"/>
      <c r="AC709" s="133"/>
    </row>
    <row r="710" spans="2:29" s="28" customFormat="1">
      <c r="B710" s="85"/>
      <c r="C710" s="53"/>
      <c r="D710" s="130"/>
      <c r="E710" s="54"/>
      <c r="F710" s="130"/>
      <c r="G710" s="130"/>
      <c r="H710" s="55"/>
      <c r="I710" s="135"/>
      <c r="J710" s="131"/>
      <c r="K710" s="56"/>
      <c r="L710" s="57"/>
      <c r="M710" s="130"/>
      <c r="N710" s="57"/>
      <c r="O710" s="54"/>
      <c r="P710" s="132" t="str">
        <f>IFERROR(VLOOKUP(C710,TD!$B$32:$F$36,2,0)," ")</f>
        <v xml:space="preserve"> </v>
      </c>
      <c r="Q710" s="132" t="str">
        <f>IFERROR(VLOOKUP(C710,TD!$B$32:$F$36,3,0)," ")</f>
        <v xml:space="preserve"> </v>
      </c>
      <c r="R710" s="132" t="str">
        <f>IFERROR(VLOOKUP(C710,TD!$B$32:$F$36,4,0)," ")</f>
        <v xml:space="preserve"> </v>
      </c>
      <c r="S710" s="54"/>
      <c r="T710" s="132" t="str">
        <f>IFERROR(VLOOKUP(S710,TD!$J$33:$K$43,2,0)," ")</f>
        <v xml:space="preserve"> </v>
      </c>
      <c r="U710" s="54" t="str">
        <f t="shared" si="40"/>
        <v xml:space="preserve">- </v>
      </c>
      <c r="V710" s="54"/>
      <c r="W710" s="132" t="str">
        <f>IFERROR(VLOOKUP(V710,TD!$N$33:$O$45,2,0)," ")</f>
        <v xml:space="preserve"> </v>
      </c>
      <c r="X710" s="54" t="str">
        <f t="shared" si="41"/>
        <v xml:space="preserve">_ </v>
      </c>
      <c r="Y710" s="54" t="str">
        <f t="shared" si="42"/>
        <v xml:space="preserve">-  _ </v>
      </c>
      <c r="Z710" s="132" t="str">
        <f t="shared" si="43"/>
        <v xml:space="preserve">   </v>
      </c>
      <c r="AA710" s="132" t="str">
        <f>IFERROR(VLOOKUP(Y710,TD!$K$46:$L$64,2,0)," ")</f>
        <v xml:space="preserve"> </v>
      </c>
      <c r="AB710" s="57"/>
      <c r="AC710" s="133"/>
    </row>
    <row r="711" spans="2:29" s="28" customFormat="1">
      <c r="B711" s="85"/>
      <c r="C711" s="53"/>
      <c r="D711" s="130"/>
      <c r="E711" s="54"/>
      <c r="F711" s="130"/>
      <c r="G711" s="130"/>
      <c r="H711" s="55"/>
      <c r="I711" s="135"/>
      <c r="J711" s="131"/>
      <c r="K711" s="56"/>
      <c r="L711" s="57"/>
      <c r="M711" s="130"/>
      <c r="N711" s="57"/>
      <c r="O711" s="54"/>
      <c r="P711" s="132" t="str">
        <f>IFERROR(VLOOKUP(C711,TD!$B$32:$F$36,2,0)," ")</f>
        <v xml:space="preserve"> </v>
      </c>
      <c r="Q711" s="132" t="str">
        <f>IFERROR(VLOOKUP(C711,TD!$B$32:$F$36,3,0)," ")</f>
        <v xml:space="preserve"> </v>
      </c>
      <c r="R711" s="132" t="str">
        <f>IFERROR(VLOOKUP(C711,TD!$B$32:$F$36,4,0)," ")</f>
        <v xml:space="preserve"> </v>
      </c>
      <c r="S711" s="54"/>
      <c r="T711" s="132" t="str">
        <f>IFERROR(VLOOKUP(S711,TD!$J$33:$K$43,2,0)," ")</f>
        <v xml:space="preserve"> </v>
      </c>
      <c r="U711" s="54" t="str">
        <f t="shared" si="40"/>
        <v xml:space="preserve">- </v>
      </c>
      <c r="V711" s="54"/>
      <c r="W711" s="132" t="str">
        <f>IFERROR(VLOOKUP(V711,TD!$N$33:$O$45,2,0)," ")</f>
        <v xml:space="preserve"> </v>
      </c>
      <c r="X711" s="54" t="str">
        <f t="shared" si="41"/>
        <v xml:space="preserve">_ </v>
      </c>
      <c r="Y711" s="54" t="str">
        <f t="shared" si="42"/>
        <v xml:space="preserve">-  _ </v>
      </c>
      <c r="Z711" s="132" t="str">
        <f t="shared" si="43"/>
        <v xml:space="preserve">   </v>
      </c>
      <c r="AA711" s="132" t="str">
        <f>IFERROR(VLOOKUP(Y711,TD!$K$46:$L$64,2,0)," ")</f>
        <v xml:space="preserve"> </v>
      </c>
      <c r="AB711" s="57"/>
      <c r="AC711" s="133"/>
    </row>
    <row r="712" spans="2:29" s="28" customFormat="1">
      <c r="B712" s="85"/>
      <c r="C712" s="53"/>
      <c r="D712" s="130"/>
      <c r="E712" s="54"/>
      <c r="F712" s="130"/>
      <c r="G712" s="130"/>
      <c r="H712" s="55"/>
      <c r="I712" s="135"/>
      <c r="J712" s="131"/>
      <c r="K712" s="56"/>
      <c r="L712" s="57"/>
      <c r="M712" s="130"/>
      <c r="N712" s="57"/>
      <c r="O712" s="54"/>
      <c r="P712" s="132" t="str">
        <f>IFERROR(VLOOKUP(C712,TD!$B$32:$F$36,2,0)," ")</f>
        <v xml:space="preserve"> </v>
      </c>
      <c r="Q712" s="132" t="str">
        <f>IFERROR(VLOOKUP(C712,TD!$B$32:$F$36,3,0)," ")</f>
        <v xml:space="preserve"> </v>
      </c>
      <c r="R712" s="132" t="str">
        <f>IFERROR(VLOOKUP(C712,TD!$B$32:$F$36,4,0)," ")</f>
        <v xml:space="preserve"> </v>
      </c>
      <c r="S712" s="54"/>
      <c r="T712" s="132" t="str">
        <f>IFERROR(VLOOKUP(S712,TD!$J$33:$K$43,2,0)," ")</f>
        <v xml:space="preserve"> </v>
      </c>
      <c r="U712" s="54" t="str">
        <f t="shared" si="40"/>
        <v xml:space="preserve">- </v>
      </c>
      <c r="V712" s="54"/>
      <c r="W712" s="132" t="str">
        <f>IFERROR(VLOOKUP(V712,TD!$N$33:$O$45,2,0)," ")</f>
        <v xml:space="preserve"> </v>
      </c>
      <c r="X712" s="54" t="str">
        <f t="shared" si="41"/>
        <v xml:space="preserve">_ </v>
      </c>
      <c r="Y712" s="54" t="str">
        <f t="shared" si="42"/>
        <v xml:space="preserve">-  _ </v>
      </c>
      <c r="Z712" s="132" t="str">
        <f t="shared" si="43"/>
        <v xml:space="preserve">   </v>
      </c>
      <c r="AA712" s="132" t="str">
        <f>IFERROR(VLOOKUP(Y712,TD!$K$46:$L$64,2,0)," ")</f>
        <v xml:space="preserve"> </v>
      </c>
      <c r="AB712" s="57"/>
      <c r="AC712" s="133"/>
    </row>
    <row r="713" spans="2:29" s="28" customFormat="1">
      <c r="B713" s="85"/>
      <c r="C713" s="53"/>
      <c r="D713" s="130"/>
      <c r="E713" s="54"/>
      <c r="F713" s="130"/>
      <c r="G713" s="130"/>
      <c r="H713" s="55"/>
      <c r="I713" s="135"/>
      <c r="J713" s="131"/>
      <c r="K713" s="56"/>
      <c r="L713" s="57"/>
      <c r="M713" s="130"/>
      <c r="N713" s="57"/>
      <c r="O713" s="54"/>
      <c r="P713" s="132" t="str">
        <f>IFERROR(VLOOKUP(C713,TD!$B$32:$F$36,2,0)," ")</f>
        <v xml:space="preserve"> </v>
      </c>
      <c r="Q713" s="132" t="str">
        <f>IFERROR(VLOOKUP(C713,TD!$B$32:$F$36,3,0)," ")</f>
        <v xml:space="preserve"> </v>
      </c>
      <c r="R713" s="132" t="str">
        <f>IFERROR(VLOOKUP(C713,TD!$B$32:$F$36,4,0)," ")</f>
        <v xml:space="preserve"> </v>
      </c>
      <c r="S713" s="54"/>
      <c r="T713" s="132" t="str">
        <f>IFERROR(VLOOKUP(S713,TD!$J$33:$K$43,2,0)," ")</f>
        <v xml:space="preserve"> </v>
      </c>
      <c r="U713" s="54" t="str">
        <f t="shared" si="40"/>
        <v xml:space="preserve">- </v>
      </c>
      <c r="V713" s="54"/>
      <c r="W713" s="132" t="str">
        <f>IFERROR(VLOOKUP(V713,TD!$N$33:$O$45,2,0)," ")</f>
        <v xml:space="preserve"> </v>
      </c>
      <c r="X713" s="54" t="str">
        <f t="shared" si="41"/>
        <v xml:space="preserve">_ </v>
      </c>
      <c r="Y713" s="54" t="str">
        <f t="shared" si="42"/>
        <v xml:space="preserve">-  _ </v>
      </c>
      <c r="Z713" s="132" t="str">
        <f t="shared" si="43"/>
        <v xml:space="preserve">   </v>
      </c>
      <c r="AA713" s="132" t="str">
        <f>IFERROR(VLOOKUP(Y713,TD!$K$46:$L$64,2,0)," ")</f>
        <v xml:space="preserve"> </v>
      </c>
      <c r="AB713" s="57"/>
      <c r="AC713" s="133"/>
    </row>
    <row r="714" spans="2:29" s="28" customFormat="1">
      <c r="B714" s="85"/>
      <c r="C714" s="53"/>
      <c r="D714" s="130"/>
      <c r="E714" s="54"/>
      <c r="F714" s="130"/>
      <c r="G714" s="130"/>
      <c r="H714" s="55"/>
      <c r="I714" s="135"/>
      <c r="J714" s="131"/>
      <c r="K714" s="56"/>
      <c r="L714" s="57"/>
      <c r="M714" s="130"/>
      <c r="N714" s="57"/>
      <c r="O714" s="54"/>
      <c r="P714" s="132" t="str">
        <f>IFERROR(VLOOKUP(C714,TD!$B$32:$F$36,2,0)," ")</f>
        <v xml:space="preserve"> </v>
      </c>
      <c r="Q714" s="132" t="str">
        <f>IFERROR(VLOOKUP(C714,TD!$B$32:$F$36,3,0)," ")</f>
        <v xml:space="preserve"> </v>
      </c>
      <c r="R714" s="132" t="str">
        <f>IFERROR(VLOOKUP(C714,TD!$B$32:$F$36,4,0)," ")</f>
        <v xml:space="preserve"> </v>
      </c>
      <c r="S714" s="54"/>
      <c r="T714" s="132" t="str">
        <f>IFERROR(VLOOKUP(S714,TD!$J$33:$K$43,2,0)," ")</f>
        <v xml:space="preserve"> </v>
      </c>
      <c r="U714" s="54" t="str">
        <f t="shared" si="40"/>
        <v xml:space="preserve">- </v>
      </c>
      <c r="V714" s="54"/>
      <c r="W714" s="132" t="str">
        <f>IFERROR(VLOOKUP(V714,TD!$N$33:$O$45,2,0)," ")</f>
        <v xml:space="preserve"> </v>
      </c>
      <c r="X714" s="54" t="str">
        <f t="shared" si="41"/>
        <v xml:space="preserve">_ </v>
      </c>
      <c r="Y714" s="54" t="str">
        <f t="shared" si="42"/>
        <v xml:space="preserve">-  _ </v>
      </c>
      <c r="Z714" s="132" t="str">
        <f t="shared" si="43"/>
        <v xml:space="preserve">   </v>
      </c>
      <c r="AA714" s="132" t="str">
        <f>IFERROR(VLOOKUP(Y714,TD!$K$46:$L$64,2,0)," ")</f>
        <v xml:space="preserve"> </v>
      </c>
      <c r="AB714" s="57"/>
      <c r="AC714" s="133"/>
    </row>
    <row r="715" spans="2:29" s="28" customFormat="1">
      <c r="B715" s="85"/>
      <c r="C715" s="53"/>
      <c r="D715" s="130"/>
      <c r="E715" s="54"/>
      <c r="F715" s="130"/>
      <c r="G715" s="130"/>
      <c r="H715" s="55"/>
      <c r="I715" s="135"/>
      <c r="J715" s="131"/>
      <c r="K715" s="56"/>
      <c r="L715" s="57"/>
      <c r="M715" s="130"/>
      <c r="N715" s="57"/>
      <c r="O715" s="54"/>
      <c r="P715" s="132" t="str">
        <f>IFERROR(VLOOKUP(C715,TD!$B$32:$F$36,2,0)," ")</f>
        <v xml:space="preserve"> </v>
      </c>
      <c r="Q715" s="132" t="str">
        <f>IFERROR(VLOOKUP(C715,TD!$B$32:$F$36,3,0)," ")</f>
        <v xml:space="preserve"> </v>
      </c>
      <c r="R715" s="132" t="str">
        <f>IFERROR(VLOOKUP(C715,TD!$B$32:$F$36,4,0)," ")</f>
        <v xml:space="preserve"> </v>
      </c>
      <c r="S715" s="54"/>
      <c r="T715" s="132" t="str">
        <f>IFERROR(VLOOKUP(S715,TD!$J$33:$K$43,2,0)," ")</f>
        <v xml:space="preserve"> </v>
      </c>
      <c r="U715" s="54" t="str">
        <f t="shared" ref="U715:U778" si="44">CONCATENATE(S715,"-",T715)</f>
        <v xml:space="preserve">- </v>
      </c>
      <c r="V715" s="54"/>
      <c r="W715" s="132" t="str">
        <f>IFERROR(VLOOKUP(V715,TD!$N$33:$O$45,2,0)," ")</f>
        <v xml:space="preserve"> </v>
      </c>
      <c r="X715" s="54" t="str">
        <f t="shared" ref="X715:X778" si="45">CONCATENATE(V715,"_",W715)</f>
        <v xml:space="preserve">_ </v>
      </c>
      <c r="Y715" s="54" t="str">
        <f t="shared" ref="Y715:Y778" si="46">CONCATENATE(U715," ",X715)</f>
        <v xml:space="preserve">-  _ </v>
      </c>
      <c r="Z715" s="132" t="str">
        <f t="shared" ref="Z715:Z778" si="47">CONCATENATE(P715,Q715,R715,S715,V715)</f>
        <v xml:space="preserve">   </v>
      </c>
      <c r="AA715" s="132" t="str">
        <f>IFERROR(VLOOKUP(Y715,TD!$K$46:$L$64,2,0)," ")</f>
        <v xml:space="preserve"> </v>
      </c>
      <c r="AB715" s="57"/>
      <c r="AC715" s="133"/>
    </row>
    <row r="716" spans="2:29" s="28" customFormat="1">
      <c r="B716" s="85"/>
      <c r="C716" s="53"/>
      <c r="D716" s="130"/>
      <c r="E716" s="54"/>
      <c r="F716" s="130"/>
      <c r="G716" s="130"/>
      <c r="H716" s="55"/>
      <c r="I716" s="135"/>
      <c r="J716" s="131"/>
      <c r="K716" s="56"/>
      <c r="L716" s="57"/>
      <c r="M716" s="130"/>
      <c r="N716" s="57"/>
      <c r="O716" s="54"/>
      <c r="P716" s="132" t="str">
        <f>IFERROR(VLOOKUP(C716,TD!$B$32:$F$36,2,0)," ")</f>
        <v xml:space="preserve"> </v>
      </c>
      <c r="Q716" s="132" t="str">
        <f>IFERROR(VLOOKUP(C716,TD!$B$32:$F$36,3,0)," ")</f>
        <v xml:space="preserve"> </v>
      </c>
      <c r="R716" s="132" t="str">
        <f>IFERROR(VLOOKUP(C716,TD!$B$32:$F$36,4,0)," ")</f>
        <v xml:space="preserve"> </v>
      </c>
      <c r="S716" s="54"/>
      <c r="T716" s="132" t="str">
        <f>IFERROR(VLOOKUP(S716,TD!$J$33:$K$43,2,0)," ")</f>
        <v xml:space="preserve"> </v>
      </c>
      <c r="U716" s="54" t="str">
        <f t="shared" si="44"/>
        <v xml:space="preserve">- </v>
      </c>
      <c r="V716" s="54"/>
      <c r="W716" s="132" t="str">
        <f>IFERROR(VLOOKUP(V716,TD!$N$33:$O$45,2,0)," ")</f>
        <v xml:space="preserve"> </v>
      </c>
      <c r="X716" s="54" t="str">
        <f t="shared" si="45"/>
        <v xml:space="preserve">_ </v>
      </c>
      <c r="Y716" s="54" t="str">
        <f t="shared" si="46"/>
        <v xml:space="preserve">-  _ </v>
      </c>
      <c r="Z716" s="132" t="str">
        <f t="shared" si="47"/>
        <v xml:space="preserve">   </v>
      </c>
      <c r="AA716" s="132" t="str">
        <f>IFERROR(VLOOKUP(Y716,TD!$K$46:$L$64,2,0)," ")</f>
        <v xml:space="preserve"> </v>
      </c>
      <c r="AB716" s="57"/>
      <c r="AC716" s="133"/>
    </row>
    <row r="717" spans="2:29" s="28" customFormat="1">
      <c r="B717" s="85"/>
      <c r="C717" s="53"/>
      <c r="D717" s="130"/>
      <c r="E717" s="54"/>
      <c r="F717" s="130"/>
      <c r="G717" s="130"/>
      <c r="H717" s="55"/>
      <c r="I717" s="135"/>
      <c r="J717" s="131"/>
      <c r="K717" s="56"/>
      <c r="L717" s="57"/>
      <c r="M717" s="130"/>
      <c r="N717" s="57"/>
      <c r="O717" s="54"/>
      <c r="P717" s="132" t="str">
        <f>IFERROR(VLOOKUP(C717,TD!$B$32:$F$36,2,0)," ")</f>
        <v xml:space="preserve"> </v>
      </c>
      <c r="Q717" s="132" t="str">
        <f>IFERROR(VLOOKUP(C717,TD!$B$32:$F$36,3,0)," ")</f>
        <v xml:space="preserve"> </v>
      </c>
      <c r="R717" s="132" t="str">
        <f>IFERROR(VLOOKUP(C717,TD!$B$32:$F$36,4,0)," ")</f>
        <v xml:space="preserve"> </v>
      </c>
      <c r="S717" s="54"/>
      <c r="T717" s="132" t="str">
        <f>IFERROR(VLOOKUP(S717,TD!$J$33:$K$43,2,0)," ")</f>
        <v xml:space="preserve"> </v>
      </c>
      <c r="U717" s="54" t="str">
        <f t="shared" si="44"/>
        <v xml:space="preserve">- </v>
      </c>
      <c r="V717" s="54"/>
      <c r="W717" s="132" t="str">
        <f>IFERROR(VLOOKUP(V717,TD!$N$33:$O$45,2,0)," ")</f>
        <v xml:space="preserve"> </v>
      </c>
      <c r="X717" s="54" t="str">
        <f t="shared" si="45"/>
        <v xml:space="preserve">_ </v>
      </c>
      <c r="Y717" s="54" t="str">
        <f t="shared" si="46"/>
        <v xml:space="preserve">-  _ </v>
      </c>
      <c r="Z717" s="132" t="str">
        <f t="shared" si="47"/>
        <v xml:space="preserve">   </v>
      </c>
      <c r="AA717" s="132" t="str">
        <f>IFERROR(VLOOKUP(Y717,TD!$K$46:$L$64,2,0)," ")</f>
        <v xml:space="preserve"> </v>
      </c>
      <c r="AB717" s="57"/>
      <c r="AC717" s="133"/>
    </row>
    <row r="718" spans="2:29" s="28" customFormat="1">
      <c r="B718" s="85"/>
      <c r="C718" s="53"/>
      <c r="D718" s="130"/>
      <c r="E718" s="54"/>
      <c r="F718" s="130"/>
      <c r="G718" s="130"/>
      <c r="H718" s="55"/>
      <c r="I718" s="135"/>
      <c r="J718" s="131"/>
      <c r="K718" s="56"/>
      <c r="L718" s="57"/>
      <c r="M718" s="130"/>
      <c r="N718" s="57"/>
      <c r="O718" s="54"/>
      <c r="P718" s="132" t="str">
        <f>IFERROR(VLOOKUP(C718,TD!$B$32:$F$36,2,0)," ")</f>
        <v xml:space="preserve"> </v>
      </c>
      <c r="Q718" s="132" t="str">
        <f>IFERROR(VLOOKUP(C718,TD!$B$32:$F$36,3,0)," ")</f>
        <v xml:space="preserve"> </v>
      </c>
      <c r="R718" s="132" t="str">
        <f>IFERROR(VLOOKUP(C718,TD!$B$32:$F$36,4,0)," ")</f>
        <v xml:space="preserve"> </v>
      </c>
      <c r="S718" s="54"/>
      <c r="T718" s="132" t="str">
        <f>IFERROR(VLOOKUP(S718,TD!$J$33:$K$43,2,0)," ")</f>
        <v xml:space="preserve"> </v>
      </c>
      <c r="U718" s="54" t="str">
        <f t="shared" si="44"/>
        <v xml:space="preserve">- </v>
      </c>
      <c r="V718" s="54"/>
      <c r="W718" s="132" t="str">
        <f>IFERROR(VLOOKUP(V718,TD!$N$33:$O$45,2,0)," ")</f>
        <v xml:space="preserve"> </v>
      </c>
      <c r="X718" s="54" t="str">
        <f t="shared" si="45"/>
        <v xml:space="preserve">_ </v>
      </c>
      <c r="Y718" s="54" t="str">
        <f t="shared" si="46"/>
        <v xml:space="preserve">-  _ </v>
      </c>
      <c r="Z718" s="132" t="str">
        <f t="shared" si="47"/>
        <v xml:space="preserve">   </v>
      </c>
      <c r="AA718" s="132" t="str">
        <f>IFERROR(VLOOKUP(Y718,TD!$K$46:$L$64,2,0)," ")</f>
        <v xml:space="preserve"> </v>
      </c>
      <c r="AB718" s="57"/>
      <c r="AC718" s="133"/>
    </row>
    <row r="719" spans="2:29" s="28" customFormat="1">
      <c r="B719" s="85"/>
      <c r="C719" s="53"/>
      <c r="D719" s="130"/>
      <c r="E719" s="54"/>
      <c r="F719" s="130"/>
      <c r="G719" s="130"/>
      <c r="H719" s="55"/>
      <c r="I719" s="135"/>
      <c r="J719" s="131"/>
      <c r="K719" s="56"/>
      <c r="L719" s="57"/>
      <c r="M719" s="130"/>
      <c r="N719" s="57"/>
      <c r="O719" s="54"/>
      <c r="P719" s="132" t="str">
        <f>IFERROR(VLOOKUP(C719,TD!$B$32:$F$36,2,0)," ")</f>
        <v xml:space="preserve"> </v>
      </c>
      <c r="Q719" s="132" t="str">
        <f>IFERROR(VLOOKUP(C719,TD!$B$32:$F$36,3,0)," ")</f>
        <v xml:space="preserve"> </v>
      </c>
      <c r="R719" s="132" t="str">
        <f>IFERROR(VLOOKUP(C719,TD!$B$32:$F$36,4,0)," ")</f>
        <v xml:space="preserve"> </v>
      </c>
      <c r="S719" s="54"/>
      <c r="T719" s="132" t="str">
        <f>IFERROR(VLOOKUP(S719,TD!$J$33:$K$43,2,0)," ")</f>
        <v xml:space="preserve"> </v>
      </c>
      <c r="U719" s="54" t="str">
        <f t="shared" si="44"/>
        <v xml:space="preserve">- </v>
      </c>
      <c r="V719" s="54"/>
      <c r="W719" s="132" t="str">
        <f>IFERROR(VLOOKUP(V719,TD!$N$33:$O$45,2,0)," ")</f>
        <v xml:space="preserve"> </v>
      </c>
      <c r="X719" s="54" t="str">
        <f t="shared" si="45"/>
        <v xml:space="preserve">_ </v>
      </c>
      <c r="Y719" s="54" t="str">
        <f t="shared" si="46"/>
        <v xml:space="preserve">-  _ </v>
      </c>
      <c r="Z719" s="132" t="str">
        <f t="shared" si="47"/>
        <v xml:space="preserve">   </v>
      </c>
      <c r="AA719" s="132" t="str">
        <f>IFERROR(VLOOKUP(Y719,TD!$K$46:$L$64,2,0)," ")</f>
        <v xml:space="preserve"> </v>
      </c>
      <c r="AB719" s="57"/>
      <c r="AC719" s="133"/>
    </row>
    <row r="720" spans="2:29" s="28" customFormat="1">
      <c r="B720" s="85"/>
      <c r="C720" s="53"/>
      <c r="D720" s="130"/>
      <c r="E720" s="54"/>
      <c r="F720" s="130"/>
      <c r="G720" s="130"/>
      <c r="H720" s="55"/>
      <c r="I720" s="135"/>
      <c r="J720" s="131"/>
      <c r="K720" s="56"/>
      <c r="L720" s="57"/>
      <c r="M720" s="130"/>
      <c r="N720" s="57"/>
      <c r="O720" s="54"/>
      <c r="P720" s="132" t="str">
        <f>IFERROR(VLOOKUP(C720,TD!$B$32:$F$36,2,0)," ")</f>
        <v xml:space="preserve"> </v>
      </c>
      <c r="Q720" s="132" t="str">
        <f>IFERROR(VLOOKUP(C720,TD!$B$32:$F$36,3,0)," ")</f>
        <v xml:space="preserve"> </v>
      </c>
      <c r="R720" s="132" t="str">
        <f>IFERROR(VLOOKUP(C720,TD!$B$32:$F$36,4,0)," ")</f>
        <v xml:space="preserve"> </v>
      </c>
      <c r="S720" s="54"/>
      <c r="T720" s="132" t="str">
        <f>IFERROR(VLOOKUP(S720,TD!$J$33:$K$43,2,0)," ")</f>
        <v xml:space="preserve"> </v>
      </c>
      <c r="U720" s="54" t="str">
        <f t="shared" si="44"/>
        <v xml:space="preserve">- </v>
      </c>
      <c r="V720" s="54"/>
      <c r="W720" s="132" t="str">
        <f>IFERROR(VLOOKUP(V720,TD!$N$33:$O$45,2,0)," ")</f>
        <v xml:space="preserve"> </v>
      </c>
      <c r="X720" s="54" t="str">
        <f t="shared" si="45"/>
        <v xml:space="preserve">_ </v>
      </c>
      <c r="Y720" s="54" t="str">
        <f t="shared" si="46"/>
        <v xml:space="preserve">-  _ </v>
      </c>
      <c r="Z720" s="132" t="str">
        <f t="shared" si="47"/>
        <v xml:space="preserve">   </v>
      </c>
      <c r="AA720" s="132" t="str">
        <f>IFERROR(VLOOKUP(Y720,TD!$K$46:$L$64,2,0)," ")</f>
        <v xml:space="preserve"> </v>
      </c>
      <c r="AB720" s="57"/>
      <c r="AC720" s="133"/>
    </row>
    <row r="721" spans="2:29" s="28" customFormat="1">
      <c r="B721" s="85"/>
      <c r="C721" s="53"/>
      <c r="D721" s="130"/>
      <c r="E721" s="54"/>
      <c r="F721" s="130"/>
      <c r="G721" s="130"/>
      <c r="H721" s="55"/>
      <c r="I721" s="135"/>
      <c r="J721" s="131"/>
      <c r="K721" s="56"/>
      <c r="L721" s="57"/>
      <c r="M721" s="130"/>
      <c r="N721" s="57"/>
      <c r="O721" s="54"/>
      <c r="P721" s="132" t="str">
        <f>IFERROR(VLOOKUP(C721,TD!$B$32:$F$36,2,0)," ")</f>
        <v xml:space="preserve"> </v>
      </c>
      <c r="Q721" s="132" t="str">
        <f>IFERROR(VLOOKUP(C721,TD!$B$32:$F$36,3,0)," ")</f>
        <v xml:space="preserve"> </v>
      </c>
      <c r="R721" s="132" t="str">
        <f>IFERROR(VLOOKUP(C721,TD!$B$32:$F$36,4,0)," ")</f>
        <v xml:space="preserve"> </v>
      </c>
      <c r="S721" s="54"/>
      <c r="T721" s="132" t="str">
        <f>IFERROR(VLOOKUP(S721,TD!$J$33:$K$43,2,0)," ")</f>
        <v xml:space="preserve"> </v>
      </c>
      <c r="U721" s="54" t="str">
        <f t="shared" si="44"/>
        <v xml:space="preserve">- </v>
      </c>
      <c r="V721" s="54"/>
      <c r="W721" s="132" t="str">
        <f>IFERROR(VLOOKUP(V721,TD!$N$33:$O$45,2,0)," ")</f>
        <v xml:space="preserve"> </v>
      </c>
      <c r="X721" s="54" t="str">
        <f t="shared" si="45"/>
        <v xml:space="preserve">_ </v>
      </c>
      <c r="Y721" s="54" t="str">
        <f t="shared" si="46"/>
        <v xml:space="preserve">-  _ </v>
      </c>
      <c r="Z721" s="132" t="str">
        <f t="shared" si="47"/>
        <v xml:space="preserve">   </v>
      </c>
      <c r="AA721" s="132" t="str">
        <f>IFERROR(VLOOKUP(Y721,TD!$K$46:$L$64,2,0)," ")</f>
        <v xml:space="preserve"> </v>
      </c>
      <c r="AB721" s="57"/>
      <c r="AC721" s="133"/>
    </row>
    <row r="722" spans="2:29" s="28" customFormat="1">
      <c r="B722" s="85"/>
      <c r="C722" s="53"/>
      <c r="D722" s="130"/>
      <c r="E722" s="54"/>
      <c r="F722" s="130"/>
      <c r="G722" s="130"/>
      <c r="H722" s="55"/>
      <c r="I722" s="135"/>
      <c r="J722" s="131"/>
      <c r="K722" s="56"/>
      <c r="L722" s="57"/>
      <c r="M722" s="130"/>
      <c r="N722" s="57"/>
      <c r="O722" s="54"/>
      <c r="P722" s="132" t="str">
        <f>IFERROR(VLOOKUP(C722,TD!$B$32:$F$36,2,0)," ")</f>
        <v xml:space="preserve"> </v>
      </c>
      <c r="Q722" s="132" t="str">
        <f>IFERROR(VLOOKUP(C722,TD!$B$32:$F$36,3,0)," ")</f>
        <v xml:space="preserve"> </v>
      </c>
      <c r="R722" s="132" t="str">
        <f>IFERROR(VLOOKUP(C722,TD!$B$32:$F$36,4,0)," ")</f>
        <v xml:space="preserve"> </v>
      </c>
      <c r="S722" s="54"/>
      <c r="T722" s="132" t="str">
        <f>IFERROR(VLOOKUP(S722,TD!$J$33:$K$43,2,0)," ")</f>
        <v xml:space="preserve"> </v>
      </c>
      <c r="U722" s="54" t="str">
        <f t="shared" si="44"/>
        <v xml:space="preserve">- </v>
      </c>
      <c r="V722" s="54"/>
      <c r="W722" s="132" t="str">
        <f>IFERROR(VLOOKUP(V722,TD!$N$33:$O$45,2,0)," ")</f>
        <v xml:space="preserve"> </v>
      </c>
      <c r="X722" s="54" t="str">
        <f t="shared" si="45"/>
        <v xml:space="preserve">_ </v>
      </c>
      <c r="Y722" s="54" t="str">
        <f t="shared" si="46"/>
        <v xml:space="preserve">-  _ </v>
      </c>
      <c r="Z722" s="132" t="str">
        <f t="shared" si="47"/>
        <v xml:space="preserve">   </v>
      </c>
      <c r="AA722" s="132" t="str">
        <f>IFERROR(VLOOKUP(Y722,TD!$K$46:$L$64,2,0)," ")</f>
        <v xml:space="preserve"> </v>
      </c>
      <c r="AB722" s="57"/>
      <c r="AC722" s="133"/>
    </row>
    <row r="723" spans="2:29" s="28" customFormat="1">
      <c r="B723" s="85"/>
      <c r="C723" s="53"/>
      <c r="D723" s="130"/>
      <c r="E723" s="54"/>
      <c r="F723" s="130"/>
      <c r="G723" s="130"/>
      <c r="H723" s="55"/>
      <c r="I723" s="135"/>
      <c r="J723" s="131"/>
      <c r="K723" s="56"/>
      <c r="L723" s="57"/>
      <c r="M723" s="130"/>
      <c r="N723" s="57"/>
      <c r="O723" s="54"/>
      <c r="P723" s="132" t="str">
        <f>IFERROR(VLOOKUP(C723,TD!$B$32:$F$36,2,0)," ")</f>
        <v xml:space="preserve"> </v>
      </c>
      <c r="Q723" s="132" t="str">
        <f>IFERROR(VLOOKUP(C723,TD!$B$32:$F$36,3,0)," ")</f>
        <v xml:space="preserve"> </v>
      </c>
      <c r="R723" s="132" t="str">
        <f>IFERROR(VLOOKUP(C723,TD!$B$32:$F$36,4,0)," ")</f>
        <v xml:space="preserve"> </v>
      </c>
      <c r="S723" s="54"/>
      <c r="T723" s="132" t="str">
        <f>IFERROR(VLOOKUP(S723,TD!$J$33:$K$43,2,0)," ")</f>
        <v xml:space="preserve"> </v>
      </c>
      <c r="U723" s="54" t="str">
        <f t="shared" si="44"/>
        <v xml:space="preserve">- </v>
      </c>
      <c r="V723" s="54"/>
      <c r="W723" s="132" t="str">
        <f>IFERROR(VLOOKUP(V723,TD!$N$33:$O$45,2,0)," ")</f>
        <v xml:space="preserve"> </v>
      </c>
      <c r="X723" s="54" t="str">
        <f t="shared" si="45"/>
        <v xml:space="preserve">_ </v>
      </c>
      <c r="Y723" s="54" t="str">
        <f t="shared" si="46"/>
        <v xml:space="preserve">-  _ </v>
      </c>
      <c r="Z723" s="132" t="str">
        <f t="shared" si="47"/>
        <v xml:space="preserve">   </v>
      </c>
      <c r="AA723" s="132" t="str">
        <f>IFERROR(VLOOKUP(Y723,TD!$K$46:$L$64,2,0)," ")</f>
        <v xml:space="preserve"> </v>
      </c>
      <c r="AB723" s="57"/>
      <c r="AC723" s="133"/>
    </row>
    <row r="724" spans="2:29" s="28" customFormat="1">
      <c r="B724" s="85"/>
      <c r="C724" s="53"/>
      <c r="D724" s="130"/>
      <c r="E724" s="54"/>
      <c r="F724" s="130"/>
      <c r="G724" s="130"/>
      <c r="H724" s="55"/>
      <c r="I724" s="135"/>
      <c r="J724" s="131"/>
      <c r="K724" s="56"/>
      <c r="L724" s="57"/>
      <c r="M724" s="130"/>
      <c r="N724" s="57"/>
      <c r="O724" s="54"/>
      <c r="P724" s="132" t="str">
        <f>IFERROR(VLOOKUP(C724,TD!$B$32:$F$36,2,0)," ")</f>
        <v xml:space="preserve"> </v>
      </c>
      <c r="Q724" s="132" t="str">
        <f>IFERROR(VLOOKUP(C724,TD!$B$32:$F$36,3,0)," ")</f>
        <v xml:space="preserve"> </v>
      </c>
      <c r="R724" s="132" t="str">
        <f>IFERROR(VLOOKUP(C724,TD!$B$32:$F$36,4,0)," ")</f>
        <v xml:space="preserve"> </v>
      </c>
      <c r="S724" s="54"/>
      <c r="T724" s="132" t="str">
        <f>IFERROR(VLOOKUP(S724,TD!$J$33:$K$43,2,0)," ")</f>
        <v xml:space="preserve"> </v>
      </c>
      <c r="U724" s="54" t="str">
        <f t="shared" si="44"/>
        <v xml:space="preserve">- </v>
      </c>
      <c r="V724" s="54"/>
      <c r="W724" s="132" t="str">
        <f>IFERROR(VLOOKUP(V724,TD!$N$33:$O$45,2,0)," ")</f>
        <v xml:space="preserve"> </v>
      </c>
      <c r="X724" s="54" t="str">
        <f t="shared" si="45"/>
        <v xml:space="preserve">_ </v>
      </c>
      <c r="Y724" s="54" t="str">
        <f t="shared" si="46"/>
        <v xml:space="preserve">-  _ </v>
      </c>
      <c r="Z724" s="132" t="str">
        <f t="shared" si="47"/>
        <v xml:space="preserve">   </v>
      </c>
      <c r="AA724" s="132" t="str">
        <f>IFERROR(VLOOKUP(Y724,TD!$K$46:$L$64,2,0)," ")</f>
        <v xml:space="preserve"> </v>
      </c>
      <c r="AB724" s="57"/>
      <c r="AC724" s="133"/>
    </row>
    <row r="725" spans="2:29" s="28" customFormat="1">
      <c r="B725" s="85"/>
      <c r="C725" s="53"/>
      <c r="D725" s="130"/>
      <c r="E725" s="54"/>
      <c r="F725" s="130"/>
      <c r="G725" s="130"/>
      <c r="H725" s="55"/>
      <c r="I725" s="135"/>
      <c r="J725" s="131"/>
      <c r="K725" s="56"/>
      <c r="L725" s="57"/>
      <c r="M725" s="130"/>
      <c r="N725" s="57"/>
      <c r="O725" s="54"/>
      <c r="P725" s="132" t="str">
        <f>IFERROR(VLOOKUP(C725,TD!$B$32:$F$36,2,0)," ")</f>
        <v xml:space="preserve"> </v>
      </c>
      <c r="Q725" s="132" t="str">
        <f>IFERROR(VLOOKUP(C725,TD!$B$32:$F$36,3,0)," ")</f>
        <v xml:space="preserve"> </v>
      </c>
      <c r="R725" s="132" t="str">
        <f>IFERROR(VLOOKUP(C725,TD!$B$32:$F$36,4,0)," ")</f>
        <v xml:space="preserve"> </v>
      </c>
      <c r="S725" s="54"/>
      <c r="T725" s="132" t="str">
        <f>IFERROR(VLOOKUP(S725,TD!$J$33:$K$43,2,0)," ")</f>
        <v xml:space="preserve"> </v>
      </c>
      <c r="U725" s="54" t="str">
        <f t="shared" si="44"/>
        <v xml:space="preserve">- </v>
      </c>
      <c r="V725" s="54"/>
      <c r="W725" s="132" t="str">
        <f>IFERROR(VLOOKUP(V725,TD!$N$33:$O$45,2,0)," ")</f>
        <v xml:space="preserve"> </v>
      </c>
      <c r="X725" s="54" t="str">
        <f t="shared" si="45"/>
        <v xml:space="preserve">_ </v>
      </c>
      <c r="Y725" s="54" t="str">
        <f t="shared" si="46"/>
        <v xml:space="preserve">-  _ </v>
      </c>
      <c r="Z725" s="132" t="str">
        <f t="shared" si="47"/>
        <v xml:space="preserve">   </v>
      </c>
      <c r="AA725" s="132" t="str">
        <f>IFERROR(VLOOKUP(Y725,TD!$K$46:$L$64,2,0)," ")</f>
        <v xml:space="preserve"> </v>
      </c>
      <c r="AB725" s="57"/>
      <c r="AC725" s="133"/>
    </row>
    <row r="726" spans="2:29" s="28" customFormat="1">
      <c r="B726" s="85"/>
      <c r="C726" s="53"/>
      <c r="D726" s="130"/>
      <c r="E726" s="54"/>
      <c r="F726" s="130"/>
      <c r="G726" s="130"/>
      <c r="H726" s="55"/>
      <c r="I726" s="135"/>
      <c r="J726" s="131"/>
      <c r="K726" s="56"/>
      <c r="L726" s="57"/>
      <c r="M726" s="130"/>
      <c r="N726" s="57"/>
      <c r="O726" s="54"/>
      <c r="P726" s="132" t="str">
        <f>IFERROR(VLOOKUP(C726,TD!$B$32:$F$36,2,0)," ")</f>
        <v xml:space="preserve"> </v>
      </c>
      <c r="Q726" s="132" t="str">
        <f>IFERROR(VLOOKUP(C726,TD!$B$32:$F$36,3,0)," ")</f>
        <v xml:space="preserve"> </v>
      </c>
      <c r="R726" s="132" t="str">
        <f>IFERROR(VLOOKUP(C726,TD!$B$32:$F$36,4,0)," ")</f>
        <v xml:space="preserve"> </v>
      </c>
      <c r="S726" s="54"/>
      <c r="T726" s="132" t="str">
        <f>IFERROR(VLOOKUP(S726,TD!$J$33:$K$43,2,0)," ")</f>
        <v xml:space="preserve"> </v>
      </c>
      <c r="U726" s="54" t="str">
        <f t="shared" si="44"/>
        <v xml:space="preserve">- </v>
      </c>
      <c r="V726" s="54"/>
      <c r="W726" s="132" t="str">
        <f>IFERROR(VLOOKUP(V726,TD!$N$33:$O$45,2,0)," ")</f>
        <v xml:space="preserve"> </v>
      </c>
      <c r="X726" s="54" t="str">
        <f t="shared" si="45"/>
        <v xml:space="preserve">_ </v>
      </c>
      <c r="Y726" s="54" t="str">
        <f t="shared" si="46"/>
        <v xml:space="preserve">-  _ </v>
      </c>
      <c r="Z726" s="132" t="str">
        <f t="shared" si="47"/>
        <v xml:space="preserve">   </v>
      </c>
      <c r="AA726" s="132" t="str">
        <f>IFERROR(VLOOKUP(Y726,TD!$K$46:$L$64,2,0)," ")</f>
        <v xml:space="preserve"> </v>
      </c>
      <c r="AB726" s="57"/>
      <c r="AC726" s="133"/>
    </row>
    <row r="727" spans="2:29" s="28" customFormat="1">
      <c r="B727" s="85"/>
      <c r="C727" s="53"/>
      <c r="D727" s="130"/>
      <c r="E727" s="54"/>
      <c r="F727" s="130"/>
      <c r="G727" s="130"/>
      <c r="H727" s="55"/>
      <c r="I727" s="135"/>
      <c r="J727" s="131"/>
      <c r="K727" s="56"/>
      <c r="L727" s="57"/>
      <c r="M727" s="130"/>
      <c r="N727" s="57"/>
      <c r="O727" s="54"/>
      <c r="P727" s="132" t="str">
        <f>IFERROR(VLOOKUP(C727,TD!$B$32:$F$36,2,0)," ")</f>
        <v xml:space="preserve"> </v>
      </c>
      <c r="Q727" s="132" t="str">
        <f>IFERROR(VLOOKUP(C727,TD!$B$32:$F$36,3,0)," ")</f>
        <v xml:space="preserve"> </v>
      </c>
      <c r="R727" s="132" t="str">
        <f>IFERROR(VLOOKUP(C727,TD!$B$32:$F$36,4,0)," ")</f>
        <v xml:space="preserve"> </v>
      </c>
      <c r="S727" s="54"/>
      <c r="T727" s="132" t="str">
        <f>IFERROR(VLOOKUP(S727,TD!$J$33:$K$43,2,0)," ")</f>
        <v xml:space="preserve"> </v>
      </c>
      <c r="U727" s="54" t="str">
        <f t="shared" si="44"/>
        <v xml:space="preserve">- </v>
      </c>
      <c r="V727" s="54"/>
      <c r="W727" s="132" t="str">
        <f>IFERROR(VLOOKUP(V727,TD!$N$33:$O$45,2,0)," ")</f>
        <v xml:space="preserve"> </v>
      </c>
      <c r="X727" s="54" t="str">
        <f t="shared" si="45"/>
        <v xml:space="preserve">_ </v>
      </c>
      <c r="Y727" s="54" t="str">
        <f t="shared" si="46"/>
        <v xml:space="preserve">-  _ </v>
      </c>
      <c r="Z727" s="132" t="str">
        <f t="shared" si="47"/>
        <v xml:space="preserve">   </v>
      </c>
      <c r="AA727" s="132" t="str">
        <f>IFERROR(VLOOKUP(Y727,TD!$K$46:$L$64,2,0)," ")</f>
        <v xml:space="preserve"> </v>
      </c>
      <c r="AB727" s="57"/>
      <c r="AC727" s="133"/>
    </row>
    <row r="728" spans="2:29" s="28" customFormat="1">
      <c r="B728" s="85"/>
      <c r="C728" s="53"/>
      <c r="D728" s="130"/>
      <c r="E728" s="54"/>
      <c r="F728" s="130"/>
      <c r="G728" s="130"/>
      <c r="H728" s="55"/>
      <c r="I728" s="135"/>
      <c r="J728" s="131"/>
      <c r="K728" s="56"/>
      <c r="L728" s="57"/>
      <c r="M728" s="130"/>
      <c r="N728" s="57"/>
      <c r="O728" s="54"/>
      <c r="P728" s="132" t="str">
        <f>IFERROR(VLOOKUP(C728,TD!$B$32:$F$36,2,0)," ")</f>
        <v xml:space="preserve"> </v>
      </c>
      <c r="Q728" s="132" t="str">
        <f>IFERROR(VLOOKUP(C728,TD!$B$32:$F$36,3,0)," ")</f>
        <v xml:space="preserve"> </v>
      </c>
      <c r="R728" s="132" t="str">
        <f>IFERROR(VLOOKUP(C728,TD!$B$32:$F$36,4,0)," ")</f>
        <v xml:space="preserve"> </v>
      </c>
      <c r="S728" s="54"/>
      <c r="T728" s="132" t="str">
        <f>IFERROR(VLOOKUP(S728,TD!$J$33:$K$43,2,0)," ")</f>
        <v xml:space="preserve"> </v>
      </c>
      <c r="U728" s="54" t="str">
        <f t="shared" si="44"/>
        <v xml:space="preserve">- </v>
      </c>
      <c r="V728" s="54"/>
      <c r="W728" s="132" t="str">
        <f>IFERROR(VLOOKUP(V728,TD!$N$33:$O$45,2,0)," ")</f>
        <v xml:space="preserve"> </v>
      </c>
      <c r="X728" s="54" t="str">
        <f t="shared" si="45"/>
        <v xml:space="preserve">_ </v>
      </c>
      <c r="Y728" s="54" t="str">
        <f t="shared" si="46"/>
        <v xml:space="preserve">-  _ </v>
      </c>
      <c r="Z728" s="132" t="str">
        <f t="shared" si="47"/>
        <v xml:space="preserve">   </v>
      </c>
      <c r="AA728" s="132" t="str">
        <f>IFERROR(VLOOKUP(Y728,TD!$K$46:$L$64,2,0)," ")</f>
        <v xml:space="preserve"> </v>
      </c>
      <c r="AB728" s="57"/>
      <c r="AC728" s="133"/>
    </row>
    <row r="729" spans="2:29" s="28" customFormat="1">
      <c r="B729" s="85"/>
      <c r="C729" s="53"/>
      <c r="D729" s="130"/>
      <c r="E729" s="54"/>
      <c r="F729" s="130"/>
      <c r="G729" s="130"/>
      <c r="H729" s="55"/>
      <c r="I729" s="135"/>
      <c r="J729" s="131"/>
      <c r="K729" s="56"/>
      <c r="L729" s="57"/>
      <c r="M729" s="130"/>
      <c r="N729" s="57"/>
      <c r="O729" s="54"/>
      <c r="P729" s="132" t="str">
        <f>IFERROR(VLOOKUP(C729,TD!$B$32:$F$36,2,0)," ")</f>
        <v xml:space="preserve"> </v>
      </c>
      <c r="Q729" s="132" t="str">
        <f>IFERROR(VLOOKUP(C729,TD!$B$32:$F$36,3,0)," ")</f>
        <v xml:space="preserve"> </v>
      </c>
      <c r="R729" s="132" t="str">
        <f>IFERROR(VLOOKUP(C729,TD!$B$32:$F$36,4,0)," ")</f>
        <v xml:space="preserve"> </v>
      </c>
      <c r="S729" s="54"/>
      <c r="T729" s="132" t="str">
        <f>IFERROR(VLOOKUP(S729,TD!$J$33:$K$43,2,0)," ")</f>
        <v xml:space="preserve"> </v>
      </c>
      <c r="U729" s="54" t="str">
        <f t="shared" si="44"/>
        <v xml:space="preserve">- </v>
      </c>
      <c r="V729" s="54"/>
      <c r="W729" s="132" t="str">
        <f>IFERROR(VLOOKUP(V729,TD!$N$33:$O$45,2,0)," ")</f>
        <v xml:space="preserve"> </v>
      </c>
      <c r="X729" s="54" t="str">
        <f t="shared" si="45"/>
        <v xml:space="preserve">_ </v>
      </c>
      <c r="Y729" s="54" t="str">
        <f t="shared" si="46"/>
        <v xml:space="preserve">-  _ </v>
      </c>
      <c r="Z729" s="132" t="str">
        <f t="shared" si="47"/>
        <v xml:space="preserve">   </v>
      </c>
      <c r="AA729" s="132" t="str">
        <f>IFERROR(VLOOKUP(Y729,TD!$K$46:$L$64,2,0)," ")</f>
        <v xml:space="preserve"> </v>
      </c>
      <c r="AB729" s="57"/>
      <c r="AC729" s="133"/>
    </row>
    <row r="730" spans="2:29" s="28" customFormat="1">
      <c r="B730" s="85"/>
      <c r="C730" s="53"/>
      <c r="D730" s="130"/>
      <c r="E730" s="54"/>
      <c r="F730" s="130"/>
      <c r="G730" s="130"/>
      <c r="H730" s="55"/>
      <c r="I730" s="135"/>
      <c r="J730" s="131"/>
      <c r="K730" s="56"/>
      <c r="L730" s="57"/>
      <c r="M730" s="130"/>
      <c r="N730" s="57"/>
      <c r="O730" s="54"/>
      <c r="P730" s="132" t="str">
        <f>IFERROR(VLOOKUP(C730,TD!$B$32:$F$36,2,0)," ")</f>
        <v xml:space="preserve"> </v>
      </c>
      <c r="Q730" s="132" t="str">
        <f>IFERROR(VLOOKUP(C730,TD!$B$32:$F$36,3,0)," ")</f>
        <v xml:space="preserve"> </v>
      </c>
      <c r="R730" s="132" t="str">
        <f>IFERROR(VLOOKUP(C730,TD!$B$32:$F$36,4,0)," ")</f>
        <v xml:space="preserve"> </v>
      </c>
      <c r="S730" s="54"/>
      <c r="T730" s="132" t="str">
        <f>IFERROR(VLOOKUP(S730,TD!$J$33:$K$43,2,0)," ")</f>
        <v xml:space="preserve"> </v>
      </c>
      <c r="U730" s="54" t="str">
        <f t="shared" si="44"/>
        <v xml:space="preserve">- </v>
      </c>
      <c r="V730" s="54"/>
      <c r="W730" s="132" t="str">
        <f>IFERROR(VLOOKUP(V730,TD!$N$33:$O$45,2,0)," ")</f>
        <v xml:space="preserve"> </v>
      </c>
      <c r="X730" s="54" t="str">
        <f t="shared" si="45"/>
        <v xml:space="preserve">_ </v>
      </c>
      <c r="Y730" s="54" t="str">
        <f t="shared" si="46"/>
        <v xml:space="preserve">-  _ </v>
      </c>
      <c r="Z730" s="132" t="str">
        <f t="shared" si="47"/>
        <v xml:space="preserve">   </v>
      </c>
      <c r="AA730" s="132" t="str">
        <f>IFERROR(VLOOKUP(Y730,TD!$K$46:$L$64,2,0)," ")</f>
        <v xml:space="preserve"> </v>
      </c>
      <c r="AB730" s="57"/>
      <c r="AC730" s="133"/>
    </row>
    <row r="731" spans="2:29" s="28" customFormat="1">
      <c r="B731" s="85"/>
      <c r="C731" s="53"/>
      <c r="D731" s="130"/>
      <c r="E731" s="54"/>
      <c r="F731" s="130"/>
      <c r="G731" s="130"/>
      <c r="H731" s="55"/>
      <c r="I731" s="135"/>
      <c r="J731" s="131"/>
      <c r="K731" s="56"/>
      <c r="L731" s="57"/>
      <c r="M731" s="130"/>
      <c r="N731" s="57"/>
      <c r="O731" s="54"/>
      <c r="P731" s="132" t="str">
        <f>IFERROR(VLOOKUP(C731,TD!$B$32:$F$36,2,0)," ")</f>
        <v xml:space="preserve"> </v>
      </c>
      <c r="Q731" s="132" t="str">
        <f>IFERROR(VLOOKUP(C731,TD!$B$32:$F$36,3,0)," ")</f>
        <v xml:space="preserve"> </v>
      </c>
      <c r="R731" s="132" t="str">
        <f>IFERROR(VLOOKUP(C731,TD!$B$32:$F$36,4,0)," ")</f>
        <v xml:space="preserve"> </v>
      </c>
      <c r="S731" s="54"/>
      <c r="T731" s="132" t="str">
        <f>IFERROR(VLOOKUP(S731,TD!$J$33:$K$43,2,0)," ")</f>
        <v xml:space="preserve"> </v>
      </c>
      <c r="U731" s="54" t="str">
        <f t="shared" si="44"/>
        <v xml:space="preserve">- </v>
      </c>
      <c r="V731" s="54"/>
      <c r="W731" s="132" t="str">
        <f>IFERROR(VLOOKUP(V731,TD!$N$33:$O$45,2,0)," ")</f>
        <v xml:space="preserve"> </v>
      </c>
      <c r="X731" s="54" t="str">
        <f t="shared" si="45"/>
        <v xml:space="preserve">_ </v>
      </c>
      <c r="Y731" s="54" t="str">
        <f t="shared" si="46"/>
        <v xml:space="preserve">-  _ </v>
      </c>
      <c r="Z731" s="132" t="str">
        <f t="shared" si="47"/>
        <v xml:space="preserve">   </v>
      </c>
      <c r="AA731" s="132" t="str">
        <f>IFERROR(VLOOKUP(Y731,TD!$K$46:$L$64,2,0)," ")</f>
        <v xml:space="preserve"> </v>
      </c>
      <c r="AB731" s="57"/>
      <c r="AC731" s="133"/>
    </row>
    <row r="732" spans="2:29" s="28" customFormat="1">
      <c r="B732" s="85"/>
      <c r="C732" s="53"/>
      <c r="D732" s="130"/>
      <c r="E732" s="54"/>
      <c r="F732" s="130"/>
      <c r="G732" s="130"/>
      <c r="H732" s="55"/>
      <c r="I732" s="135"/>
      <c r="J732" s="131"/>
      <c r="K732" s="56"/>
      <c r="L732" s="57"/>
      <c r="M732" s="130"/>
      <c r="N732" s="57"/>
      <c r="O732" s="54"/>
      <c r="P732" s="132" t="str">
        <f>IFERROR(VLOOKUP(C732,TD!$B$32:$F$36,2,0)," ")</f>
        <v xml:space="preserve"> </v>
      </c>
      <c r="Q732" s="132" t="str">
        <f>IFERROR(VLOOKUP(C732,TD!$B$32:$F$36,3,0)," ")</f>
        <v xml:space="preserve"> </v>
      </c>
      <c r="R732" s="132" t="str">
        <f>IFERROR(VLOOKUP(C732,TD!$B$32:$F$36,4,0)," ")</f>
        <v xml:space="preserve"> </v>
      </c>
      <c r="S732" s="54"/>
      <c r="T732" s="132" t="str">
        <f>IFERROR(VLOOKUP(S732,TD!$J$33:$K$43,2,0)," ")</f>
        <v xml:space="preserve"> </v>
      </c>
      <c r="U732" s="54" t="str">
        <f t="shared" si="44"/>
        <v xml:space="preserve">- </v>
      </c>
      <c r="V732" s="54"/>
      <c r="W732" s="132" t="str">
        <f>IFERROR(VLOOKUP(V732,TD!$N$33:$O$45,2,0)," ")</f>
        <v xml:space="preserve"> </v>
      </c>
      <c r="X732" s="54" t="str">
        <f t="shared" si="45"/>
        <v xml:space="preserve">_ </v>
      </c>
      <c r="Y732" s="54" t="str">
        <f t="shared" si="46"/>
        <v xml:space="preserve">-  _ </v>
      </c>
      <c r="Z732" s="132" t="str">
        <f t="shared" si="47"/>
        <v xml:space="preserve">   </v>
      </c>
      <c r="AA732" s="132" t="str">
        <f>IFERROR(VLOOKUP(Y732,TD!$K$46:$L$64,2,0)," ")</f>
        <v xml:space="preserve"> </v>
      </c>
      <c r="AB732" s="57"/>
      <c r="AC732" s="133"/>
    </row>
    <row r="733" spans="2:29" s="28" customFormat="1">
      <c r="B733" s="85"/>
      <c r="C733" s="53"/>
      <c r="D733" s="130"/>
      <c r="E733" s="54"/>
      <c r="F733" s="130"/>
      <c r="G733" s="130"/>
      <c r="H733" s="55"/>
      <c r="I733" s="135"/>
      <c r="J733" s="131"/>
      <c r="K733" s="56"/>
      <c r="L733" s="57"/>
      <c r="M733" s="130"/>
      <c r="N733" s="57"/>
      <c r="O733" s="54"/>
      <c r="P733" s="132" t="str">
        <f>IFERROR(VLOOKUP(C733,TD!$B$32:$F$36,2,0)," ")</f>
        <v xml:space="preserve"> </v>
      </c>
      <c r="Q733" s="132" t="str">
        <f>IFERROR(VLOOKUP(C733,TD!$B$32:$F$36,3,0)," ")</f>
        <v xml:space="preserve"> </v>
      </c>
      <c r="R733" s="132" t="str">
        <f>IFERROR(VLOOKUP(C733,TD!$B$32:$F$36,4,0)," ")</f>
        <v xml:space="preserve"> </v>
      </c>
      <c r="S733" s="54"/>
      <c r="T733" s="132" t="str">
        <f>IFERROR(VLOOKUP(S733,TD!$J$33:$K$43,2,0)," ")</f>
        <v xml:space="preserve"> </v>
      </c>
      <c r="U733" s="54" t="str">
        <f t="shared" si="44"/>
        <v xml:space="preserve">- </v>
      </c>
      <c r="V733" s="54"/>
      <c r="W733" s="132" t="str">
        <f>IFERROR(VLOOKUP(V733,TD!$N$33:$O$45,2,0)," ")</f>
        <v xml:space="preserve"> </v>
      </c>
      <c r="X733" s="54" t="str">
        <f t="shared" si="45"/>
        <v xml:space="preserve">_ </v>
      </c>
      <c r="Y733" s="54" t="str">
        <f t="shared" si="46"/>
        <v xml:space="preserve">-  _ </v>
      </c>
      <c r="Z733" s="132" t="str">
        <f t="shared" si="47"/>
        <v xml:space="preserve">   </v>
      </c>
      <c r="AA733" s="132" t="str">
        <f>IFERROR(VLOOKUP(Y733,TD!$K$46:$L$64,2,0)," ")</f>
        <v xml:space="preserve"> </v>
      </c>
      <c r="AB733" s="57"/>
      <c r="AC733" s="133"/>
    </row>
    <row r="734" spans="2:29" s="28" customFormat="1">
      <c r="B734" s="85"/>
      <c r="C734" s="53"/>
      <c r="D734" s="130"/>
      <c r="E734" s="54"/>
      <c r="F734" s="130"/>
      <c r="G734" s="130"/>
      <c r="H734" s="55"/>
      <c r="I734" s="135"/>
      <c r="J734" s="131"/>
      <c r="K734" s="56"/>
      <c r="L734" s="57"/>
      <c r="M734" s="130"/>
      <c r="N734" s="57"/>
      <c r="O734" s="54"/>
      <c r="P734" s="132" t="str">
        <f>IFERROR(VLOOKUP(C734,TD!$B$32:$F$36,2,0)," ")</f>
        <v xml:space="preserve"> </v>
      </c>
      <c r="Q734" s="132" t="str">
        <f>IFERROR(VLOOKUP(C734,TD!$B$32:$F$36,3,0)," ")</f>
        <v xml:space="preserve"> </v>
      </c>
      <c r="R734" s="132" t="str">
        <f>IFERROR(VLOOKUP(C734,TD!$B$32:$F$36,4,0)," ")</f>
        <v xml:space="preserve"> </v>
      </c>
      <c r="S734" s="54"/>
      <c r="T734" s="132" t="str">
        <f>IFERROR(VLOOKUP(S734,TD!$J$33:$K$43,2,0)," ")</f>
        <v xml:space="preserve"> </v>
      </c>
      <c r="U734" s="54" t="str">
        <f t="shared" si="44"/>
        <v xml:space="preserve">- </v>
      </c>
      <c r="V734" s="54"/>
      <c r="W734" s="132" t="str">
        <f>IFERROR(VLOOKUP(V734,TD!$N$33:$O$45,2,0)," ")</f>
        <v xml:space="preserve"> </v>
      </c>
      <c r="X734" s="54" t="str">
        <f t="shared" si="45"/>
        <v xml:space="preserve">_ </v>
      </c>
      <c r="Y734" s="54" t="str">
        <f t="shared" si="46"/>
        <v xml:space="preserve">-  _ </v>
      </c>
      <c r="Z734" s="132" t="str">
        <f t="shared" si="47"/>
        <v xml:space="preserve">   </v>
      </c>
      <c r="AA734" s="132" t="str">
        <f>IFERROR(VLOOKUP(Y734,TD!$K$46:$L$64,2,0)," ")</f>
        <v xml:space="preserve"> </v>
      </c>
      <c r="AB734" s="57"/>
      <c r="AC734" s="133"/>
    </row>
    <row r="735" spans="2:29" s="28" customFormat="1">
      <c r="B735" s="85"/>
      <c r="C735" s="53"/>
      <c r="D735" s="130"/>
      <c r="E735" s="54"/>
      <c r="F735" s="130"/>
      <c r="G735" s="130"/>
      <c r="H735" s="55"/>
      <c r="I735" s="135"/>
      <c r="J735" s="131"/>
      <c r="K735" s="56"/>
      <c r="L735" s="57"/>
      <c r="M735" s="130"/>
      <c r="N735" s="57"/>
      <c r="O735" s="54"/>
      <c r="P735" s="132" t="str">
        <f>IFERROR(VLOOKUP(C735,TD!$B$32:$F$36,2,0)," ")</f>
        <v xml:space="preserve"> </v>
      </c>
      <c r="Q735" s="132" t="str">
        <f>IFERROR(VLOOKUP(C735,TD!$B$32:$F$36,3,0)," ")</f>
        <v xml:space="preserve"> </v>
      </c>
      <c r="R735" s="132" t="str">
        <f>IFERROR(VLOOKUP(C735,TD!$B$32:$F$36,4,0)," ")</f>
        <v xml:space="preserve"> </v>
      </c>
      <c r="S735" s="54"/>
      <c r="T735" s="132" t="str">
        <f>IFERROR(VLOOKUP(S735,TD!$J$33:$K$43,2,0)," ")</f>
        <v xml:space="preserve"> </v>
      </c>
      <c r="U735" s="54" t="str">
        <f t="shared" si="44"/>
        <v xml:space="preserve">- </v>
      </c>
      <c r="V735" s="54"/>
      <c r="W735" s="132" t="str">
        <f>IFERROR(VLOOKUP(V735,TD!$N$33:$O$45,2,0)," ")</f>
        <v xml:space="preserve"> </v>
      </c>
      <c r="X735" s="54" t="str">
        <f t="shared" si="45"/>
        <v xml:space="preserve">_ </v>
      </c>
      <c r="Y735" s="54" t="str">
        <f t="shared" si="46"/>
        <v xml:space="preserve">-  _ </v>
      </c>
      <c r="Z735" s="132" t="str">
        <f t="shared" si="47"/>
        <v xml:space="preserve">   </v>
      </c>
      <c r="AA735" s="132" t="str">
        <f>IFERROR(VLOOKUP(Y735,TD!$K$46:$L$64,2,0)," ")</f>
        <v xml:space="preserve"> </v>
      </c>
      <c r="AB735" s="57"/>
      <c r="AC735" s="133"/>
    </row>
    <row r="736" spans="2:29" s="28" customFormat="1">
      <c r="B736" s="85"/>
      <c r="C736" s="53"/>
      <c r="D736" s="130"/>
      <c r="E736" s="54"/>
      <c r="F736" s="130"/>
      <c r="G736" s="130"/>
      <c r="H736" s="55"/>
      <c r="I736" s="135"/>
      <c r="J736" s="131"/>
      <c r="K736" s="56"/>
      <c r="L736" s="57"/>
      <c r="M736" s="130"/>
      <c r="N736" s="57"/>
      <c r="O736" s="54"/>
      <c r="P736" s="132" t="str">
        <f>IFERROR(VLOOKUP(C736,TD!$B$32:$F$36,2,0)," ")</f>
        <v xml:space="preserve"> </v>
      </c>
      <c r="Q736" s="132" t="str">
        <f>IFERROR(VLOOKUP(C736,TD!$B$32:$F$36,3,0)," ")</f>
        <v xml:space="preserve"> </v>
      </c>
      <c r="R736" s="132" t="str">
        <f>IFERROR(VLOOKUP(C736,TD!$B$32:$F$36,4,0)," ")</f>
        <v xml:space="preserve"> </v>
      </c>
      <c r="S736" s="54"/>
      <c r="T736" s="132" t="str">
        <f>IFERROR(VLOOKUP(S736,TD!$J$33:$K$43,2,0)," ")</f>
        <v xml:space="preserve"> </v>
      </c>
      <c r="U736" s="54" t="str">
        <f t="shared" si="44"/>
        <v xml:space="preserve">- </v>
      </c>
      <c r="V736" s="54"/>
      <c r="W736" s="132" t="str">
        <f>IFERROR(VLOOKUP(V736,TD!$N$33:$O$45,2,0)," ")</f>
        <v xml:space="preserve"> </v>
      </c>
      <c r="X736" s="54" t="str">
        <f t="shared" si="45"/>
        <v xml:space="preserve">_ </v>
      </c>
      <c r="Y736" s="54" t="str">
        <f t="shared" si="46"/>
        <v xml:space="preserve">-  _ </v>
      </c>
      <c r="Z736" s="132" t="str">
        <f t="shared" si="47"/>
        <v xml:space="preserve">   </v>
      </c>
      <c r="AA736" s="132" t="str">
        <f>IFERROR(VLOOKUP(Y736,TD!$K$46:$L$64,2,0)," ")</f>
        <v xml:space="preserve"> </v>
      </c>
      <c r="AB736" s="57"/>
      <c r="AC736" s="133"/>
    </row>
    <row r="737" spans="2:29" s="28" customFormat="1">
      <c r="B737" s="85"/>
      <c r="C737" s="53"/>
      <c r="D737" s="130"/>
      <c r="E737" s="54"/>
      <c r="F737" s="130"/>
      <c r="G737" s="130"/>
      <c r="H737" s="55"/>
      <c r="I737" s="135"/>
      <c r="J737" s="131"/>
      <c r="K737" s="56"/>
      <c r="L737" s="57"/>
      <c r="M737" s="130"/>
      <c r="N737" s="57"/>
      <c r="O737" s="54"/>
      <c r="P737" s="132" t="str">
        <f>IFERROR(VLOOKUP(C737,TD!$B$32:$F$36,2,0)," ")</f>
        <v xml:space="preserve"> </v>
      </c>
      <c r="Q737" s="132" t="str">
        <f>IFERROR(VLOOKUP(C737,TD!$B$32:$F$36,3,0)," ")</f>
        <v xml:space="preserve"> </v>
      </c>
      <c r="R737" s="132" t="str">
        <f>IFERROR(VLOOKUP(C737,TD!$B$32:$F$36,4,0)," ")</f>
        <v xml:space="preserve"> </v>
      </c>
      <c r="S737" s="54"/>
      <c r="T737" s="132" t="str">
        <f>IFERROR(VLOOKUP(S737,TD!$J$33:$K$43,2,0)," ")</f>
        <v xml:space="preserve"> </v>
      </c>
      <c r="U737" s="54" t="str">
        <f t="shared" si="44"/>
        <v xml:space="preserve">- </v>
      </c>
      <c r="V737" s="54"/>
      <c r="W737" s="132" t="str">
        <f>IFERROR(VLOOKUP(V737,TD!$N$33:$O$45,2,0)," ")</f>
        <v xml:space="preserve"> </v>
      </c>
      <c r="X737" s="54" t="str">
        <f t="shared" si="45"/>
        <v xml:space="preserve">_ </v>
      </c>
      <c r="Y737" s="54" t="str">
        <f t="shared" si="46"/>
        <v xml:space="preserve">-  _ </v>
      </c>
      <c r="Z737" s="132" t="str">
        <f t="shared" si="47"/>
        <v xml:space="preserve">   </v>
      </c>
      <c r="AA737" s="132" t="str">
        <f>IFERROR(VLOOKUP(Y737,TD!$K$46:$L$64,2,0)," ")</f>
        <v xml:space="preserve"> </v>
      </c>
      <c r="AB737" s="57"/>
      <c r="AC737" s="133"/>
    </row>
    <row r="738" spans="2:29" s="28" customFormat="1">
      <c r="B738" s="85"/>
      <c r="C738" s="53"/>
      <c r="D738" s="130"/>
      <c r="E738" s="54"/>
      <c r="F738" s="130"/>
      <c r="G738" s="130"/>
      <c r="H738" s="55"/>
      <c r="I738" s="135"/>
      <c r="J738" s="131"/>
      <c r="K738" s="56"/>
      <c r="L738" s="57"/>
      <c r="M738" s="130"/>
      <c r="N738" s="57"/>
      <c r="O738" s="54"/>
      <c r="P738" s="132" t="str">
        <f>IFERROR(VLOOKUP(C738,TD!$B$32:$F$36,2,0)," ")</f>
        <v xml:space="preserve"> </v>
      </c>
      <c r="Q738" s="132" t="str">
        <f>IFERROR(VLOOKUP(C738,TD!$B$32:$F$36,3,0)," ")</f>
        <v xml:space="preserve"> </v>
      </c>
      <c r="R738" s="132" t="str">
        <f>IFERROR(VLOOKUP(C738,TD!$B$32:$F$36,4,0)," ")</f>
        <v xml:space="preserve"> </v>
      </c>
      <c r="S738" s="54"/>
      <c r="T738" s="132" t="str">
        <f>IFERROR(VLOOKUP(S738,TD!$J$33:$K$43,2,0)," ")</f>
        <v xml:space="preserve"> </v>
      </c>
      <c r="U738" s="54" t="str">
        <f t="shared" si="44"/>
        <v xml:space="preserve">- </v>
      </c>
      <c r="V738" s="54"/>
      <c r="W738" s="132" t="str">
        <f>IFERROR(VLOOKUP(V738,TD!$N$33:$O$45,2,0)," ")</f>
        <v xml:space="preserve"> </v>
      </c>
      <c r="X738" s="54" t="str">
        <f t="shared" si="45"/>
        <v xml:space="preserve">_ </v>
      </c>
      <c r="Y738" s="54" t="str">
        <f t="shared" si="46"/>
        <v xml:space="preserve">-  _ </v>
      </c>
      <c r="Z738" s="132" t="str">
        <f t="shared" si="47"/>
        <v xml:space="preserve">   </v>
      </c>
      <c r="AA738" s="132" t="str">
        <f>IFERROR(VLOOKUP(Y738,TD!$K$46:$L$64,2,0)," ")</f>
        <v xml:space="preserve"> </v>
      </c>
      <c r="AB738" s="57"/>
      <c r="AC738" s="133"/>
    </row>
    <row r="739" spans="2:29" s="28" customFormat="1">
      <c r="B739" s="85"/>
      <c r="C739" s="53"/>
      <c r="D739" s="130"/>
      <c r="E739" s="54"/>
      <c r="F739" s="130"/>
      <c r="G739" s="130"/>
      <c r="H739" s="55"/>
      <c r="I739" s="135"/>
      <c r="J739" s="131"/>
      <c r="K739" s="56"/>
      <c r="L739" s="57"/>
      <c r="M739" s="130"/>
      <c r="N739" s="57"/>
      <c r="O739" s="54"/>
      <c r="P739" s="132" t="str">
        <f>IFERROR(VLOOKUP(C739,TD!$B$32:$F$36,2,0)," ")</f>
        <v xml:space="preserve"> </v>
      </c>
      <c r="Q739" s="132" t="str">
        <f>IFERROR(VLOOKUP(C739,TD!$B$32:$F$36,3,0)," ")</f>
        <v xml:space="preserve"> </v>
      </c>
      <c r="R739" s="132" t="str">
        <f>IFERROR(VLOOKUP(C739,TD!$B$32:$F$36,4,0)," ")</f>
        <v xml:space="preserve"> </v>
      </c>
      <c r="S739" s="54"/>
      <c r="T739" s="132" t="str">
        <f>IFERROR(VLOOKUP(S739,TD!$J$33:$K$43,2,0)," ")</f>
        <v xml:space="preserve"> </v>
      </c>
      <c r="U739" s="54" t="str">
        <f t="shared" si="44"/>
        <v xml:space="preserve">- </v>
      </c>
      <c r="V739" s="54"/>
      <c r="W739" s="132" t="str">
        <f>IFERROR(VLOOKUP(V739,TD!$N$33:$O$45,2,0)," ")</f>
        <v xml:space="preserve"> </v>
      </c>
      <c r="X739" s="54" t="str">
        <f t="shared" si="45"/>
        <v xml:space="preserve">_ </v>
      </c>
      <c r="Y739" s="54" t="str">
        <f t="shared" si="46"/>
        <v xml:space="preserve">-  _ </v>
      </c>
      <c r="Z739" s="132" t="str">
        <f t="shared" si="47"/>
        <v xml:space="preserve">   </v>
      </c>
      <c r="AA739" s="132" t="str">
        <f>IFERROR(VLOOKUP(Y739,TD!$K$46:$L$64,2,0)," ")</f>
        <v xml:space="preserve"> </v>
      </c>
      <c r="AB739" s="57"/>
      <c r="AC739" s="133"/>
    </row>
    <row r="740" spans="2:29" s="28" customFormat="1">
      <c r="B740" s="85"/>
      <c r="C740" s="53"/>
      <c r="D740" s="130"/>
      <c r="E740" s="54"/>
      <c r="F740" s="130"/>
      <c r="G740" s="130"/>
      <c r="H740" s="55"/>
      <c r="I740" s="135"/>
      <c r="J740" s="131"/>
      <c r="K740" s="56"/>
      <c r="L740" s="57"/>
      <c r="M740" s="130"/>
      <c r="N740" s="57"/>
      <c r="O740" s="54"/>
      <c r="P740" s="132" t="str">
        <f>IFERROR(VLOOKUP(C740,TD!$B$32:$F$36,2,0)," ")</f>
        <v xml:space="preserve"> </v>
      </c>
      <c r="Q740" s="132" t="str">
        <f>IFERROR(VLOOKUP(C740,TD!$B$32:$F$36,3,0)," ")</f>
        <v xml:space="preserve"> </v>
      </c>
      <c r="R740" s="132" t="str">
        <f>IFERROR(VLOOKUP(C740,TD!$B$32:$F$36,4,0)," ")</f>
        <v xml:space="preserve"> </v>
      </c>
      <c r="S740" s="54"/>
      <c r="T740" s="132" t="str">
        <f>IFERROR(VLOOKUP(S740,TD!$J$33:$K$43,2,0)," ")</f>
        <v xml:space="preserve"> </v>
      </c>
      <c r="U740" s="54" t="str">
        <f t="shared" si="44"/>
        <v xml:space="preserve">- </v>
      </c>
      <c r="V740" s="54"/>
      <c r="W740" s="132" t="str">
        <f>IFERROR(VLOOKUP(V740,TD!$N$33:$O$45,2,0)," ")</f>
        <v xml:space="preserve"> </v>
      </c>
      <c r="X740" s="54" t="str">
        <f t="shared" si="45"/>
        <v xml:space="preserve">_ </v>
      </c>
      <c r="Y740" s="54" t="str">
        <f t="shared" si="46"/>
        <v xml:space="preserve">-  _ </v>
      </c>
      <c r="Z740" s="132" t="str">
        <f t="shared" si="47"/>
        <v xml:space="preserve">   </v>
      </c>
      <c r="AA740" s="132" t="str">
        <f>IFERROR(VLOOKUP(Y740,TD!$K$46:$L$64,2,0)," ")</f>
        <v xml:space="preserve"> </v>
      </c>
      <c r="AB740" s="57"/>
      <c r="AC740" s="133"/>
    </row>
    <row r="741" spans="2:29" s="28" customFormat="1">
      <c r="B741" s="85"/>
      <c r="C741" s="53"/>
      <c r="D741" s="130"/>
      <c r="E741" s="54"/>
      <c r="F741" s="130"/>
      <c r="G741" s="130"/>
      <c r="H741" s="55"/>
      <c r="I741" s="135"/>
      <c r="J741" s="131"/>
      <c r="K741" s="56"/>
      <c r="L741" s="57"/>
      <c r="M741" s="130"/>
      <c r="N741" s="57"/>
      <c r="O741" s="54"/>
      <c r="P741" s="132" t="str">
        <f>IFERROR(VLOOKUP(C741,TD!$B$32:$F$36,2,0)," ")</f>
        <v xml:space="preserve"> </v>
      </c>
      <c r="Q741" s="132" t="str">
        <f>IFERROR(VLOOKUP(C741,TD!$B$32:$F$36,3,0)," ")</f>
        <v xml:space="preserve"> </v>
      </c>
      <c r="R741" s="132" t="str">
        <f>IFERROR(VLOOKUP(C741,TD!$B$32:$F$36,4,0)," ")</f>
        <v xml:space="preserve"> </v>
      </c>
      <c r="S741" s="54"/>
      <c r="T741" s="132" t="str">
        <f>IFERROR(VLOOKUP(S741,TD!$J$33:$K$43,2,0)," ")</f>
        <v xml:space="preserve"> </v>
      </c>
      <c r="U741" s="54" t="str">
        <f t="shared" si="44"/>
        <v xml:space="preserve">- </v>
      </c>
      <c r="V741" s="54"/>
      <c r="W741" s="132" t="str">
        <f>IFERROR(VLOOKUP(V741,TD!$N$33:$O$45,2,0)," ")</f>
        <v xml:space="preserve"> </v>
      </c>
      <c r="X741" s="54" t="str">
        <f t="shared" si="45"/>
        <v xml:space="preserve">_ </v>
      </c>
      <c r="Y741" s="54" t="str">
        <f t="shared" si="46"/>
        <v xml:space="preserve">-  _ </v>
      </c>
      <c r="Z741" s="132" t="str">
        <f t="shared" si="47"/>
        <v xml:space="preserve">   </v>
      </c>
      <c r="AA741" s="132" t="str">
        <f>IFERROR(VLOOKUP(Y741,TD!$K$46:$L$64,2,0)," ")</f>
        <v xml:space="preserve"> </v>
      </c>
      <c r="AB741" s="57"/>
      <c r="AC741" s="133"/>
    </row>
    <row r="742" spans="2:29" s="28" customFormat="1">
      <c r="B742" s="85"/>
      <c r="C742" s="53"/>
      <c r="D742" s="130"/>
      <c r="E742" s="54"/>
      <c r="F742" s="130"/>
      <c r="G742" s="130"/>
      <c r="H742" s="55"/>
      <c r="I742" s="135"/>
      <c r="J742" s="131"/>
      <c r="K742" s="56"/>
      <c r="L742" s="57"/>
      <c r="M742" s="130"/>
      <c r="N742" s="57"/>
      <c r="O742" s="54"/>
      <c r="P742" s="132" t="str">
        <f>IFERROR(VLOOKUP(C742,TD!$B$32:$F$36,2,0)," ")</f>
        <v xml:space="preserve"> </v>
      </c>
      <c r="Q742" s="132" t="str">
        <f>IFERROR(VLOOKUP(C742,TD!$B$32:$F$36,3,0)," ")</f>
        <v xml:space="preserve"> </v>
      </c>
      <c r="R742" s="132" t="str">
        <f>IFERROR(VLOOKUP(C742,TD!$B$32:$F$36,4,0)," ")</f>
        <v xml:space="preserve"> </v>
      </c>
      <c r="S742" s="54"/>
      <c r="T742" s="132" t="str">
        <f>IFERROR(VLOOKUP(S742,TD!$J$33:$K$43,2,0)," ")</f>
        <v xml:space="preserve"> </v>
      </c>
      <c r="U742" s="54" t="str">
        <f t="shared" si="44"/>
        <v xml:space="preserve">- </v>
      </c>
      <c r="V742" s="54"/>
      <c r="W742" s="132" t="str">
        <f>IFERROR(VLOOKUP(V742,TD!$N$33:$O$45,2,0)," ")</f>
        <v xml:space="preserve"> </v>
      </c>
      <c r="X742" s="54" t="str">
        <f t="shared" si="45"/>
        <v xml:space="preserve">_ </v>
      </c>
      <c r="Y742" s="54" t="str">
        <f t="shared" si="46"/>
        <v xml:space="preserve">-  _ </v>
      </c>
      <c r="Z742" s="132" t="str">
        <f t="shared" si="47"/>
        <v xml:space="preserve">   </v>
      </c>
      <c r="AA742" s="132" t="str">
        <f>IFERROR(VLOOKUP(Y742,TD!$K$46:$L$64,2,0)," ")</f>
        <v xml:space="preserve"> </v>
      </c>
      <c r="AB742" s="57"/>
      <c r="AC742" s="133"/>
    </row>
    <row r="743" spans="2:29" s="28" customFormat="1">
      <c r="B743" s="85"/>
      <c r="C743" s="53"/>
      <c r="D743" s="130"/>
      <c r="E743" s="54"/>
      <c r="F743" s="130"/>
      <c r="G743" s="130"/>
      <c r="H743" s="55"/>
      <c r="I743" s="135"/>
      <c r="J743" s="131"/>
      <c r="K743" s="56"/>
      <c r="L743" s="57"/>
      <c r="M743" s="130"/>
      <c r="N743" s="57"/>
      <c r="O743" s="54"/>
      <c r="P743" s="132" t="str">
        <f>IFERROR(VLOOKUP(C743,TD!$B$32:$F$36,2,0)," ")</f>
        <v xml:space="preserve"> </v>
      </c>
      <c r="Q743" s="132" t="str">
        <f>IFERROR(VLOOKUP(C743,TD!$B$32:$F$36,3,0)," ")</f>
        <v xml:space="preserve"> </v>
      </c>
      <c r="R743" s="132" t="str">
        <f>IFERROR(VLOOKUP(C743,TD!$B$32:$F$36,4,0)," ")</f>
        <v xml:space="preserve"> </v>
      </c>
      <c r="S743" s="54"/>
      <c r="T743" s="132" t="str">
        <f>IFERROR(VLOOKUP(S743,TD!$J$33:$K$43,2,0)," ")</f>
        <v xml:space="preserve"> </v>
      </c>
      <c r="U743" s="54" t="str">
        <f t="shared" si="44"/>
        <v xml:space="preserve">- </v>
      </c>
      <c r="V743" s="54"/>
      <c r="W743" s="132" t="str">
        <f>IFERROR(VLOOKUP(V743,TD!$N$33:$O$45,2,0)," ")</f>
        <v xml:space="preserve"> </v>
      </c>
      <c r="X743" s="54" t="str">
        <f t="shared" si="45"/>
        <v xml:space="preserve">_ </v>
      </c>
      <c r="Y743" s="54" t="str">
        <f t="shared" si="46"/>
        <v xml:space="preserve">-  _ </v>
      </c>
      <c r="Z743" s="132" t="str">
        <f t="shared" si="47"/>
        <v xml:space="preserve">   </v>
      </c>
      <c r="AA743" s="132" t="str">
        <f>IFERROR(VLOOKUP(Y743,TD!$K$46:$L$64,2,0)," ")</f>
        <v xml:space="preserve"> </v>
      </c>
      <c r="AB743" s="57"/>
      <c r="AC743" s="133"/>
    </row>
    <row r="744" spans="2:29" s="28" customFormat="1">
      <c r="B744" s="85"/>
      <c r="C744" s="53"/>
      <c r="D744" s="130"/>
      <c r="E744" s="54"/>
      <c r="F744" s="130"/>
      <c r="G744" s="130"/>
      <c r="H744" s="55"/>
      <c r="I744" s="135"/>
      <c r="J744" s="131"/>
      <c r="K744" s="56"/>
      <c r="L744" s="57"/>
      <c r="M744" s="130"/>
      <c r="N744" s="57"/>
      <c r="O744" s="54"/>
      <c r="P744" s="132" t="str">
        <f>IFERROR(VLOOKUP(C744,TD!$B$32:$F$36,2,0)," ")</f>
        <v xml:space="preserve"> </v>
      </c>
      <c r="Q744" s="132" t="str">
        <f>IFERROR(VLOOKUP(C744,TD!$B$32:$F$36,3,0)," ")</f>
        <v xml:space="preserve"> </v>
      </c>
      <c r="R744" s="132" t="str">
        <f>IFERROR(VLOOKUP(C744,TD!$B$32:$F$36,4,0)," ")</f>
        <v xml:space="preserve"> </v>
      </c>
      <c r="S744" s="54"/>
      <c r="T744" s="132" t="str">
        <f>IFERROR(VLOOKUP(S744,TD!$J$33:$K$43,2,0)," ")</f>
        <v xml:space="preserve"> </v>
      </c>
      <c r="U744" s="54" t="str">
        <f t="shared" si="44"/>
        <v xml:space="preserve">- </v>
      </c>
      <c r="V744" s="54"/>
      <c r="W744" s="132" t="str">
        <f>IFERROR(VLOOKUP(V744,TD!$N$33:$O$45,2,0)," ")</f>
        <v xml:space="preserve"> </v>
      </c>
      <c r="X744" s="54" t="str">
        <f t="shared" si="45"/>
        <v xml:space="preserve">_ </v>
      </c>
      <c r="Y744" s="54" t="str">
        <f t="shared" si="46"/>
        <v xml:space="preserve">-  _ </v>
      </c>
      <c r="Z744" s="132" t="str">
        <f t="shared" si="47"/>
        <v xml:space="preserve">   </v>
      </c>
      <c r="AA744" s="132" t="str">
        <f>IFERROR(VLOOKUP(Y744,TD!$K$46:$L$64,2,0)," ")</f>
        <v xml:space="preserve"> </v>
      </c>
      <c r="AB744" s="57"/>
      <c r="AC744" s="133"/>
    </row>
    <row r="745" spans="2:29" s="28" customFormat="1">
      <c r="B745" s="85"/>
      <c r="C745" s="53"/>
      <c r="D745" s="130"/>
      <c r="E745" s="54"/>
      <c r="F745" s="130"/>
      <c r="G745" s="130"/>
      <c r="H745" s="55"/>
      <c r="I745" s="135"/>
      <c r="J745" s="131"/>
      <c r="K745" s="56"/>
      <c r="L745" s="57"/>
      <c r="M745" s="130"/>
      <c r="N745" s="57"/>
      <c r="O745" s="54"/>
      <c r="P745" s="132" t="str">
        <f>IFERROR(VLOOKUP(C745,TD!$B$32:$F$36,2,0)," ")</f>
        <v xml:space="preserve"> </v>
      </c>
      <c r="Q745" s="132" t="str">
        <f>IFERROR(VLOOKUP(C745,TD!$B$32:$F$36,3,0)," ")</f>
        <v xml:space="preserve"> </v>
      </c>
      <c r="R745" s="132" t="str">
        <f>IFERROR(VLOOKUP(C745,TD!$B$32:$F$36,4,0)," ")</f>
        <v xml:space="preserve"> </v>
      </c>
      <c r="S745" s="54"/>
      <c r="T745" s="132" t="str">
        <f>IFERROR(VLOOKUP(S745,TD!$J$33:$K$43,2,0)," ")</f>
        <v xml:space="preserve"> </v>
      </c>
      <c r="U745" s="54" t="str">
        <f t="shared" si="44"/>
        <v xml:space="preserve">- </v>
      </c>
      <c r="V745" s="54"/>
      <c r="W745" s="132" t="str">
        <f>IFERROR(VLOOKUP(V745,TD!$N$33:$O$45,2,0)," ")</f>
        <v xml:space="preserve"> </v>
      </c>
      <c r="X745" s="54" t="str">
        <f t="shared" si="45"/>
        <v xml:space="preserve">_ </v>
      </c>
      <c r="Y745" s="54" t="str">
        <f t="shared" si="46"/>
        <v xml:space="preserve">-  _ </v>
      </c>
      <c r="Z745" s="132" t="str">
        <f t="shared" si="47"/>
        <v xml:space="preserve">   </v>
      </c>
      <c r="AA745" s="132" t="str">
        <f>IFERROR(VLOOKUP(Y745,TD!$K$46:$L$64,2,0)," ")</f>
        <v xml:space="preserve"> </v>
      </c>
      <c r="AB745" s="57"/>
      <c r="AC745" s="133"/>
    </row>
    <row r="746" spans="2:29" s="28" customFormat="1">
      <c r="B746" s="85"/>
      <c r="C746" s="53"/>
      <c r="D746" s="130"/>
      <c r="E746" s="54"/>
      <c r="F746" s="130"/>
      <c r="G746" s="130"/>
      <c r="H746" s="55"/>
      <c r="I746" s="135"/>
      <c r="J746" s="131"/>
      <c r="K746" s="56"/>
      <c r="L746" s="57"/>
      <c r="M746" s="130"/>
      <c r="N746" s="57"/>
      <c r="O746" s="54"/>
      <c r="P746" s="132" t="str">
        <f>IFERROR(VLOOKUP(C746,TD!$B$32:$F$36,2,0)," ")</f>
        <v xml:space="preserve"> </v>
      </c>
      <c r="Q746" s="132" t="str">
        <f>IFERROR(VLOOKUP(C746,TD!$B$32:$F$36,3,0)," ")</f>
        <v xml:space="preserve"> </v>
      </c>
      <c r="R746" s="132" t="str">
        <f>IFERROR(VLOOKUP(C746,TD!$B$32:$F$36,4,0)," ")</f>
        <v xml:space="preserve"> </v>
      </c>
      <c r="S746" s="54"/>
      <c r="T746" s="132" t="str">
        <f>IFERROR(VLOOKUP(S746,TD!$J$33:$K$43,2,0)," ")</f>
        <v xml:space="preserve"> </v>
      </c>
      <c r="U746" s="54" t="str">
        <f t="shared" si="44"/>
        <v xml:space="preserve">- </v>
      </c>
      <c r="V746" s="54"/>
      <c r="W746" s="132" t="str">
        <f>IFERROR(VLOOKUP(V746,TD!$N$33:$O$45,2,0)," ")</f>
        <v xml:space="preserve"> </v>
      </c>
      <c r="X746" s="54" t="str">
        <f t="shared" si="45"/>
        <v xml:space="preserve">_ </v>
      </c>
      <c r="Y746" s="54" t="str">
        <f t="shared" si="46"/>
        <v xml:space="preserve">-  _ </v>
      </c>
      <c r="Z746" s="132" t="str">
        <f t="shared" si="47"/>
        <v xml:space="preserve">   </v>
      </c>
      <c r="AA746" s="132" t="str">
        <f>IFERROR(VLOOKUP(Y746,TD!$K$46:$L$64,2,0)," ")</f>
        <v xml:space="preserve"> </v>
      </c>
      <c r="AB746" s="57"/>
      <c r="AC746" s="133"/>
    </row>
    <row r="747" spans="2:29" s="28" customFormat="1">
      <c r="B747" s="85"/>
      <c r="C747" s="53"/>
      <c r="D747" s="130"/>
      <c r="E747" s="54"/>
      <c r="F747" s="130"/>
      <c r="G747" s="130"/>
      <c r="H747" s="55"/>
      <c r="I747" s="135"/>
      <c r="J747" s="131"/>
      <c r="K747" s="56"/>
      <c r="L747" s="57"/>
      <c r="M747" s="130"/>
      <c r="N747" s="57"/>
      <c r="O747" s="54"/>
      <c r="P747" s="132" t="str">
        <f>IFERROR(VLOOKUP(C747,TD!$B$32:$F$36,2,0)," ")</f>
        <v xml:space="preserve"> </v>
      </c>
      <c r="Q747" s="132" t="str">
        <f>IFERROR(VLOOKUP(C747,TD!$B$32:$F$36,3,0)," ")</f>
        <v xml:space="preserve"> </v>
      </c>
      <c r="R747" s="132" t="str">
        <f>IFERROR(VLOOKUP(C747,TD!$B$32:$F$36,4,0)," ")</f>
        <v xml:space="preserve"> </v>
      </c>
      <c r="S747" s="54"/>
      <c r="T747" s="132" t="str">
        <f>IFERROR(VLOOKUP(S747,TD!$J$33:$K$43,2,0)," ")</f>
        <v xml:space="preserve"> </v>
      </c>
      <c r="U747" s="54" t="str">
        <f t="shared" si="44"/>
        <v xml:space="preserve">- </v>
      </c>
      <c r="V747" s="54"/>
      <c r="W747" s="132" t="str">
        <f>IFERROR(VLOOKUP(V747,TD!$N$33:$O$45,2,0)," ")</f>
        <v xml:space="preserve"> </v>
      </c>
      <c r="X747" s="54" t="str">
        <f t="shared" si="45"/>
        <v xml:space="preserve">_ </v>
      </c>
      <c r="Y747" s="54" t="str">
        <f t="shared" si="46"/>
        <v xml:space="preserve">-  _ </v>
      </c>
      <c r="Z747" s="132" t="str">
        <f t="shared" si="47"/>
        <v xml:space="preserve">   </v>
      </c>
      <c r="AA747" s="132" t="str">
        <f>IFERROR(VLOOKUP(Y747,TD!$K$46:$L$64,2,0)," ")</f>
        <v xml:space="preserve"> </v>
      </c>
      <c r="AB747" s="57"/>
      <c r="AC747" s="133"/>
    </row>
    <row r="748" spans="2:29" s="28" customFormat="1">
      <c r="B748" s="85"/>
      <c r="C748" s="53"/>
      <c r="D748" s="130"/>
      <c r="E748" s="54"/>
      <c r="F748" s="130"/>
      <c r="G748" s="130"/>
      <c r="H748" s="55"/>
      <c r="I748" s="135"/>
      <c r="J748" s="131"/>
      <c r="K748" s="56"/>
      <c r="L748" s="57"/>
      <c r="M748" s="130"/>
      <c r="N748" s="57"/>
      <c r="O748" s="54"/>
      <c r="P748" s="132" t="str">
        <f>IFERROR(VLOOKUP(C748,TD!$B$32:$F$36,2,0)," ")</f>
        <v xml:space="preserve"> </v>
      </c>
      <c r="Q748" s="132" t="str">
        <f>IFERROR(VLOOKUP(C748,TD!$B$32:$F$36,3,0)," ")</f>
        <v xml:space="preserve"> </v>
      </c>
      <c r="R748" s="132" t="str">
        <f>IFERROR(VLOOKUP(C748,TD!$B$32:$F$36,4,0)," ")</f>
        <v xml:space="preserve"> </v>
      </c>
      <c r="S748" s="54"/>
      <c r="T748" s="132" t="str">
        <f>IFERROR(VLOOKUP(S748,TD!$J$33:$K$43,2,0)," ")</f>
        <v xml:space="preserve"> </v>
      </c>
      <c r="U748" s="54" t="str">
        <f t="shared" si="44"/>
        <v xml:space="preserve">- </v>
      </c>
      <c r="V748" s="54"/>
      <c r="W748" s="132" t="str">
        <f>IFERROR(VLOOKUP(V748,TD!$N$33:$O$45,2,0)," ")</f>
        <v xml:space="preserve"> </v>
      </c>
      <c r="X748" s="54" t="str">
        <f t="shared" si="45"/>
        <v xml:space="preserve">_ </v>
      </c>
      <c r="Y748" s="54" t="str">
        <f t="shared" si="46"/>
        <v xml:space="preserve">-  _ </v>
      </c>
      <c r="Z748" s="132" t="str">
        <f t="shared" si="47"/>
        <v xml:space="preserve">   </v>
      </c>
      <c r="AA748" s="132" t="str">
        <f>IFERROR(VLOOKUP(Y748,TD!$K$46:$L$64,2,0)," ")</f>
        <v xml:space="preserve"> </v>
      </c>
      <c r="AB748" s="57"/>
      <c r="AC748" s="133"/>
    </row>
    <row r="749" spans="2:29" s="28" customFormat="1">
      <c r="B749" s="85"/>
      <c r="C749" s="53"/>
      <c r="D749" s="130"/>
      <c r="E749" s="54"/>
      <c r="F749" s="130"/>
      <c r="G749" s="130"/>
      <c r="H749" s="55"/>
      <c r="I749" s="135"/>
      <c r="J749" s="131"/>
      <c r="K749" s="56"/>
      <c r="L749" s="57"/>
      <c r="M749" s="130"/>
      <c r="N749" s="57"/>
      <c r="O749" s="54"/>
      <c r="P749" s="132" t="str">
        <f>IFERROR(VLOOKUP(C749,TD!$B$32:$F$36,2,0)," ")</f>
        <v xml:space="preserve"> </v>
      </c>
      <c r="Q749" s="132" t="str">
        <f>IFERROR(VLOOKUP(C749,TD!$B$32:$F$36,3,0)," ")</f>
        <v xml:space="preserve"> </v>
      </c>
      <c r="R749" s="132" t="str">
        <f>IFERROR(VLOOKUP(C749,TD!$B$32:$F$36,4,0)," ")</f>
        <v xml:space="preserve"> </v>
      </c>
      <c r="S749" s="54"/>
      <c r="T749" s="132" t="str">
        <f>IFERROR(VLOOKUP(S749,TD!$J$33:$K$43,2,0)," ")</f>
        <v xml:space="preserve"> </v>
      </c>
      <c r="U749" s="54" t="str">
        <f t="shared" si="44"/>
        <v xml:space="preserve">- </v>
      </c>
      <c r="V749" s="54"/>
      <c r="W749" s="132" t="str">
        <f>IFERROR(VLOOKUP(V749,TD!$N$33:$O$45,2,0)," ")</f>
        <v xml:space="preserve"> </v>
      </c>
      <c r="X749" s="54" t="str">
        <f t="shared" si="45"/>
        <v xml:space="preserve">_ </v>
      </c>
      <c r="Y749" s="54" t="str">
        <f t="shared" si="46"/>
        <v xml:space="preserve">-  _ </v>
      </c>
      <c r="Z749" s="132" t="str">
        <f t="shared" si="47"/>
        <v xml:space="preserve">   </v>
      </c>
      <c r="AA749" s="132" t="str">
        <f>IFERROR(VLOOKUP(Y749,TD!$K$46:$L$64,2,0)," ")</f>
        <v xml:space="preserve"> </v>
      </c>
      <c r="AB749" s="57"/>
      <c r="AC749" s="133"/>
    </row>
    <row r="750" spans="2:29" s="28" customFormat="1">
      <c r="B750" s="85"/>
      <c r="C750" s="53"/>
      <c r="D750" s="130"/>
      <c r="E750" s="54"/>
      <c r="F750" s="130"/>
      <c r="G750" s="130"/>
      <c r="H750" s="55"/>
      <c r="I750" s="135"/>
      <c r="J750" s="131"/>
      <c r="K750" s="56"/>
      <c r="L750" s="57"/>
      <c r="M750" s="130"/>
      <c r="N750" s="57"/>
      <c r="O750" s="54"/>
      <c r="P750" s="132" t="str">
        <f>IFERROR(VLOOKUP(C750,TD!$B$32:$F$36,2,0)," ")</f>
        <v xml:space="preserve"> </v>
      </c>
      <c r="Q750" s="132" t="str">
        <f>IFERROR(VLOOKUP(C750,TD!$B$32:$F$36,3,0)," ")</f>
        <v xml:space="preserve"> </v>
      </c>
      <c r="R750" s="132" t="str">
        <f>IFERROR(VLOOKUP(C750,TD!$B$32:$F$36,4,0)," ")</f>
        <v xml:space="preserve"> </v>
      </c>
      <c r="S750" s="54"/>
      <c r="T750" s="132" t="str">
        <f>IFERROR(VLOOKUP(S750,TD!$J$33:$K$43,2,0)," ")</f>
        <v xml:space="preserve"> </v>
      </c>
      <c r="U750" s="54" t="str">
        <f t="shared" si="44"/>
        <v xml:space="preserve">- </v>
      </c>
      <c r="V750" s="54"/>
      <c r="W750" s="132" t="str">
        <f>IFERROR(VLOOKUP(V750,TD!$N$33:$O$45,2,0)," ")</f>
        <v xml:space="preserve"> </v>
      </c>
      <c r="X750" s="54" t="str">
        <f t="shared" si="45"/>
        <v xml:space="preserve">_ </v>
      </c>
      <c r="Y750" s="54" t="str">
        <f t="shared" si="46"/>
        <v xml:space="preserve">-  _ </v>
      </c>
      <c r="Z750" s="132" t="str">
        <f t="shared" si="47"/>
        <v xml:space="preserve">   </v>
      </c>
      <c r="AA750" s="132" t="str">
        <f>IFERROR(VLOOKUP(Y750,TD!$K$46:$L$64,2,0)," ")</f>
        <v xml:space="preserve"> </v>
      </c>
      <c r="AB750" s="57"/>
      <c r="AC750" s="133"/>
    </row>
    <row r="751" spans="2:29" s="28" customFormat="1">
      <c r="B751" s="85"/>
      <c r="C751" s="53"/>
      <c r="D751" s="130"/>
      <c r="E751" s="54"/>
      <c r="F751" s="130"/>
      <c r="G751" s="130"/>
      <c r="H751" s="55"/>
      <c r="I751" s="135"/>
      <c r="J751" s="131"/>
      <c r="K751" s="56"/>
      <c r="L751" s="57"/>
      <c r="M751" s="130"/>
      <c r="N751" s="57"/>
      <c r="O751" s="54"/>
      <c r="P751" s="132" t="str">
        <f>IFERROR(VLOOKUP(C751,TD!$B$32:$F$36,2,0)," ")</f>
        <v xml:space="preserve"> </v>
      </c>
      <c r="Q751" s="132" t="str">
        <f>IFERROR(VLOOKUP(C751,TD!$B$32:$F$36,3,0)," ")</f>
        <v xml:space="preserve"> </v>
      </c>
      <c r="R751" s="132" t="str">
        <f>IFERROR(VLOOKUP(C751,TD!$B$32:$F$36,4,0)," ")</f>
        <v xml:space="preserve"> </v>
      </c>
      <c r="S751" s="54"/>
      <c r="T751" s="132" t="str">
        <f>IFERROR(VLOOKUP(S751,TD!$J$33:$K$43,2,0)," ")</f>
        <v xml:space="preserve"> </v>
      </c>
      <c r="U751" s="54" t="str">
        <f t="shared" si="44"/>
        <v xml:space="preserve">- </v>
      </c>
      <c r="V751" s="54"/>
      <c r="W751" s="132" t="str">
        <f>IFERROR(VLOOKUP(V751,TD!$N$33:$O$45,2,0)," ")</f>
        <v xml:space="preserve"> </v>
      </c>
      <c r="X751" s="54" t="str">
        <f t="shared" si="45"/>
        <v xml:space="preserve">_ </v>
      </c>
      <c r="Y751" s="54" t="str">
        <f t="shared" si="46"/>
        <v xml:space="preserve">-  _ </v>
      </c>
      <c r="Z751" s="132" t="str">
        <f t="shared" si="47"/>
        <v xml:space="preserve">   </v>
      </c>
      <c r="AA751" s="132" t="str">
        <f>IFERROR(VLOOKUP(Y751,TD!$K$46:$L$64,2,0)," ")</f>
        <v xml:space="preserve"> </v>
      </c>
      <c r="AB751" s="57"/>
      <c r="AC751" s="133"/>
    </row>
    <row r="752" spans="2:29" s="28" customFormat="1">
      <c r="B752" s="85"/>
      <c r="C752" s="53"/>
      <c r="D752" s="130"/>
      <c r="E752" s="54"/>
      <c r="F752" s="130"/>
      <c r="G752" s="130"/>
      <c r="H752" s="55"/>
      <c r="I752" s="135"/>
      <c r="J752" s="131"/>
      <c r="K752" s="56"/>
      <c r="L752" s="57"/>
      <c r="M752" s="130"/>
      <c r="N752" s="57"/>
      <c r="O752" s="54"/>
      <c r="P752" s="132" t="str">
        <f>IFERROR(VLOOKUP(C752,TD!$B$32:$F$36,2,0)," ")</f>
        <v xml:space="preserve"> </v>
      </c>
      <c r="Q752" s="132" t="str">
        <f>IFERROR(VLOOKUP(C752,TD!$B$32:$F$36,3,0)," ")</f>
        <v xml:space="preserve"> </v>
      </c>
      <c r="R752" s="132" t="str">
        <f>IFERROR(VLOOKUP(C752,TD!$B$32:$F$36,4,0)," ")</f>
        <v xml:space="preserve"> </v>
      </c>
      <c r="S752" s="54"/>
      <c r="T752" s="132" t="str">
        <f>IFERROR(VLOOKUP(S752,TD!$J$33:$K$43,2,0)," ")</f>
        <v xml:space="preserve"> </v>
      </c>
      <c r="U752" s="54" t="str">
        <f t="shared" si="44"/>
        <v xml:space="preserve">- </v>
      </c>
      <c r="V752" s="54"/>
      <c r="W752" s="132" t="str">
        <f>IFERROR(VLOOKUP(V752,TD!$N$33:$O$45,2,0)," ")</f>
        <v xml:space="preserve"> </v>
      </c>
      <c r="X752" s="54" t="str">
        <f t="shared" si="45"/>
        <v xml:space="preserve">_ </v>
      </c>
      <c r="Y752" s="54" t="str">
        <f t="shared" si="46"/>
        <v xml:space="preserve">-  _ </v>
      </c>
      <c r="Z752" s="132" t="str">
        <f t="shared" si="47"/>
        <v xml:space="preserve">   </v>
      </c>
      <c r="AA752" s="132" t="str">
        <f>IFERROR(VLOOKUP(Y752,TD!$K$46:$L$64,2,0)," ")</f>
        <v xml:space="preserve"> </v>
      </c>
      <c r="AB752" s="57"/>
      <c r="AC752" s="133"/>
    </row>
    <row r="753" spans="2:29" s="28" customFormat="1">
      <c r="B753" s="85"/>
      <c r="C753" s="53"/>
      <c r="D753" s="130"/>
      <c r="E753" s="54"/>
      <c r="F753" s="130"/>
      <c r="G753" s="130"/>
      <c r="H753" s="55"/>
      <c r="I753" s="135"/>
      <c r="J753" s="131"/>
      <c r="K753" s="56"/>
      <c r="L753" s="57"/>
      <c r="M753" s="130"/>
      <c r="N753" s="57"/>
      <c r="O753" s="54"/>
      <c r="P753" s="132" t="str">
        <f>IFERROR(VLOOKUP(C753,TD!$B$32:$F$36,2,0)," ")</f>
        <v xml:space="preserve"> </v>
      </c>
      <c r="Q753" s="132" t="str">
        <f>IFERROR(VLOOKUP(C753,TD!$B$32:$F$36,3,0)," ")</f>
        <v xml:space="preserve"> </v>
      </c>
      <c r="R753" s="132" t="str">
        <f>IFERROR(VLOOKUP(C753,TD!$B$32:$F$36,4,0)," ")</f>
        <v xml:space="preserve"> </v>
      </c>
      <c r="S753" s="54"/>
      <c r="T753" s="132" t="str">
        <f>IFERROR(VLOOKUP(S753,TD!$J$33:$K$43,2,0)," ")</f>
        <v xml:space="preserve"> </v>
      </c>
      <c r="U753" s="54" t="str">
        <f t="shared" si="44"/>
        <v xml:space="preserve">- </v>
      </c>
      <c r="V753" s="54"/>
      <c r="W753" s="132" t="str">
        <f>IFERROR(VLOOKUP(V753,TD!$N$33:$O$45,2,0)," ")</f>
        <v xml:space="preserve"> </v>
      </c>
      <c r="X753" s="54" t="str">
        <f t="shared" si="45"/>
        <v xml:space="preserve">_ </v>
      </c>
      <c r="Y753" s="54" t="str">
        <f t="shared" si="46"/>
        <v xml:space="preserve">-  _ </v>
      </c>
      <c r="Z753" s="132" t="str">
        <f t="shared" si="47"/>
        <v xml:space="preserve">   </v>
      </c>
      <c r="AA753" s="132" t="str">
        <f>IFERROR(VLOOKUP(Y753,TD!$K$46:$L$64,2,0)," ")</f>
        <v xml:space="preserve"> </v>
      </c>
      <c r="AB753" s="57"/>
      <c r="AC753" s="133"/>
    </row>
    <row r="754" spans="2:29" s="28" customFormat="1">
      <c r="B754" s="85"/>
      <c r="C754" s="53"/>
      <c r="D754" s="130"/>
      <c r="E754" s="54"/>
      <c r="F754" s="130"/>
      <c r="G754" s="130"/>
      <c r="H754" s="55"/>
      <c r="I754" s="135"/>
      <c r="J754" s="131"/>
      <c r="K754" s="56"/>
      <c r="L754" s="57"/>
      <c r="M754" s="130"/>
      <c r="N754" s="57"/>
      <c r="O754" s="54"/>
      <c r="P754" s="132" t="str">
        <f>IFERROR(VLOOKUP(C754,TD!$B$32:$F$36,2,0)," ")</f>
        <v xml:space="preserve"> </v>
      </c>
      <c r="Q754" s="132" t="str">
        <f>IFERROR(VLOOKUP(C754,TD!$B$32:$F$36,3,0)," ")</f>
        <v xml:space="preserve"> </v>
      </c>
      <c r="R754" s="132" t="str">
        <f>IFERROR(VLOOKUP(C754,TD!$B$32:$F$36,4,0)," ")</f>
        <v xml:space="preserve"> </v>
      </c>
      <c r="S754" s="54"/>
      <c r="T754" s="132" t="str">
        <f>IFERROR(VLOOKUP(S754,TD!$J$33:$K$43,2,0)," ")</f>
        <v xml:space="preserve"> </v>
      </c>
      <c r="U754" s="54" t="str">
        <f t="shared" si="44"/>
        <v xml:space="preserve">- </v>
      </c>
      <c r="V754" s="54"/>
      <c r="W754" s="132" t="str">
        <f>IFERROR(VLOOKUP(V754,TD!$N$33:$O$45,2,0)," ")</f>
        <v xml:space="preserve"> </v>
      </c>
      <c r="X754" s="54" t="str">
        <f t="shared" si="45"/>
        <v xml:space="preserve">_ </v>
      </c>
      <c r="Y754" s="54" t="str">
        <f t="shared" si="46"/>
        <v xml:space="preserve">-  _ </v>
      </c>
      <c r="Z754" s="132" t="str">
        <f t="shared" si="47"/>
        <v xml:space="preserve">   </v>
      </c>
      <c r="AA754" s="132" t="str">
        <f>IFERROR(VLOOKUP(Y754,TD!$K$46:$L$64,2,0)," ")</f>
        <v xml:space="preserve"> </v>
      </c>
      <c r="AB754" s="57"/>
      <c r="AC754" s="133"/>
    </row>
    <row r="755" spans="2:29" s="28" customFormat="1">
      <c r="B755" s="85"/>
      <c r="C755" s="53"/>
      <c r="D755" s="130"/>
      <c r="E755" s="54"/>
      <c r="F755" s="130"/>
      <c r="G755" s="130"/>
      <c r="H755" s="55"/>
      <c r="I755" s="135"/>
      <c r="J755" s="131"/>
      <c r="K755" s="56"/>
      <c r="L755" s="57"/>
      <c r="M755" s="130"/>
      <c r="N755" s="57"/>
      <c r="O755" s="54"/>
      <c r="P755" s="132" t="str">
        <f>IFERROR(VLOOKUP(C755,TD!$B$32:$F$36,2,0)," ")</f>
        <v xml:space="preserve"> </v>
      </c>
      <c r="Q755" s="132" t="str">
        <f>IFERROR(VLOOKUP(C755,TD!$B$32:$F$36,3,0)," ")</f>
        <v xml:space="preserve"> </v>
      </c>
      <c r="R755" s="132" t="str">
        <f>IFERROR(VLOOKUP(C755,TD!$B$32:$F$36,4,0)," ")</f>
        <v xml:space="preserve"> </v>
      </c>
      <c r="S755" s="54"/>
      <c r="T755" s="132" t="str">
        <f>IFERROR(VLOOKUP(S755,TD!$J$33:$K$43,2,0)," ")</f>
        <v xml:space="preserve"> </v>
      </c>
      <c r="U755" s="54" t="str">
        <f t="shared" si="44"/>
        <v xml:space="preserve">- </v>
      </c>
      <c r="V755" s="54"/>
      <c r="W755" s="132" t="str">
        <f>IFERROR(VLOOKUP(V755,TD!$N$33:$O$45,2,0)," ")</f>
        <v xml:space="preserve"> </v>
      </c>
      <c r="X755" s="54" t="str">
        <f t="shared" si="45"/>
        <v xml:space="preserve">_ </v>
      </c>
      <c r="Y755" s="54" t="str">
        <f t="shared" si="46"/>
        <v xml:space="preserve">-  _ </v>
      </c>
      <c r="Z755" s="132" t="str">
        <f t="shared" si="47"/>
        <v xml:space="preserve">   </v>
      </c>
      <c r="AA755" s="132" t="str">
        <f>IFERROR(VLOOKUP(Y755,TD!$K$46:$L$64,2,0)," ")</f>
        <v xml:space="preserve"> </v>
      </c>
      <c r="AB755" s="57"/>
      <c r="AC755" s="133"/>
    </row>
    <row r="756" spans="2:29" s="28" customFormat="1">
      <c r="B756" s="85"/>
      <c r="C756" s="53"/>
      <c r="D756" s="130"/>
      <c r="E756" s="54"/>
      <c r="F756" s="130"/>
      <c r="G756" s="130"/>
      <c r="H756" s="55"/>
      <c r="I756" s="135"/>
      <c r="J756" s="131"/>
      <c r="K756" s="56"/>
      <c r="L756" s="57"/>
      <c r="M756" s="130"/>
      <c r="N756" s="57"/>
      <c r="O756" s="54"/>
      <c r="P756" s="132" t="str">
        <f>IFERROR(VLOOKUP(C756,TD!$B$32:$F$36,2,0)," ")</f>
        <v xml:space="preserve"> </v>
      </c>
      <c r="Q756" s="132" t="str">
        <f>IFERROR(VLOOKUP(C756,TD!$B$32:$F$36,3,0)," ")</f>
        <v xml:space="preserve"> </v>
      </c>
      <c r="R756" s="132" t="str">
        <f>IFERROR(VLOOKUP(C756,TD!$B$32:$F$36,4,0)," ")</f>
        <v xml:space="preserve"> </v>
      </c>
      <c r="S756" s="54"/>
      <c r="T756" s="132" t="str">
        <f>IFERROR(VLOOKUP(S756,TD!$J$33:$K$43,2,0)," ")</f>
        <v xml:space="preserve"> </v>
      </c>
      <c r="U756" s="54" t="str">
        <f t="shared" si="44"/>
        <v xml:space="preserve">- </v>
      </c>
      <c r="V756" s="54"/>
      <c r="W756" s="132" t="str">
        <f>IFERROR(VLOOKUP(V756,TD!$N$33:$O$45,2,0)," ")</f>
        <v xml:space="preserve"> </v>
      </c>
      <c r="X756" s="54" t="str">
        <f t="shared" si="45"/>
        <v xml:space="preserve">_ </v>
      </c>
      <c r="Y756" s="54" t="str">
        <f t="shared" si="46"/>
        <v xml:space="preserve">-  _ </v>
      </c>
      <c r="Z756" s="132" t="str">
        <f t="shared" si="47"/>
        <v xml:space="preserve">   </v>
      </c>
      <c r="AA756" s="132" t="str">
        <f>IFERROR(VLOOKUP(Y756,TD!$K$46:$L$64,2,0)," ")</f>
        <v xml:space="preserve"> </v>
      </c>
      <c r="AB756" s="57"/>
      <c r="AC756" s="133"/>
    </row>
    <row r="757" spans="2:29" s="28" customFormat="1">
      <c r="B757" s="85"/>
      <c r="C757" s="53"/>
      <c r="D757" s="130"/>
      <c r="E757" s="54"/>
      <c r="F757" s="130"/>
      <c r="G757" s="130"/>
      <c r="H757" s="55"/>
      <c r="I757" s="135"/>
      <c r="J757" s="131"/>
      <c r="K757" s="56"/>
      <c r="L757" s="57"/>
      <c r="M757" s="130"/>
      <c r="N757" s="57"/>
      <c r="O757" s="54"/>
      <c r="P757" s="132" t="str">
        <f>IFERROR(VLOOKUP(C757,TD!$B$32:$F$36,2,0)," ")</f>
        <v xml:space="preserve"> </v>
      </c>
      <c r="Q757" s="132" t="str">
        <f>IFERROR(VLOOKUP(C757,TD!$B$32:$F$36,3,0)," ")</f>
        <v xml:space="preserve"> </v>
      </c>
      <c r="R757" s="132" t="str">
        <f>IFERROR(VLOOKUP(C757,TD!$B$32:$F$36,4,0)," ")</f>
        <v xml:space="preserve"> </v>
      </c>
      <c r="S757" s="54"/>
      <c r="T757" s="132" t="str">
        <f>IFERROR(VLOOKUP(S757,TD!$J$33:$K$43,2,0)," ")</f>
        <v xml:space="preserve"> </v>
      </c>
      <c r="U757" s="54" t="str">
        <f t="shared" si="44"/>
        <v xml:space="preserve">- </v>
      </c>
      <c r="V757" s="54"/>
      <c r="W757" s="132" t="str">
        <f>IFERROR(VLOOKUP(V757,TD!$N$33:$O$45,2,0)," ")</f>
        <v xml:space="preserve"> </v>
      </c>
      <c r="X757" s="54" t="str">
        <f t="shared" si="45"/>
        <v xml:space="preserve">_ </v>
      </c>
      <c r="Y757" s="54" t="str">
        <f t="shared" si="46"/>
        <v xml:space="preserve">-  _ </v>
      </c>
      <c r="Z757" s="132" t="str">
        <f t="shared" si="47"/>
        <v xml:space="preserve">   </v>
      </c>
      <c r="AA757" s="132" t="str">
        <f>IFERROR(VLOOKUP(Y757,TD!$K$46:$L$64,2,0)," ")</f>
        <v xml:space="preserve"> </v>
      </c>
      <c r="AB757" s="57"/>
      <c r="AC757" s="133"/>
    </row>
    <row r="758" spans="2:29" s="28" customFormat="1">
      <c r="B758" s="85"/>
      <c r="C758" s="53"/>
      <c r="D758" s="130"/>
      <c r="E758" s="54"/>
      <c r="F758" s="130"/>
      <c r="G758" s="130"/>
      <c r="H758" s="55"/>
      <c r="I758" s="135"/>
      <c r="J758" s="131"/>
      <c r="K758" s="56"/>
      <c r="L758" s="57"/>
      <c r="M758" s="130"/>
      <c r="N758" s="57"/>
      <c r="O758" s="54"/>
      <c r="P758" s="132" t="str">
        <f>IFERROR(VLOOKUP(C758,TD!$B$32:$F$36,2,0)," ")</f>
        <v xml:space="preserve"> </v>
      </c>
      <c r="Q758" s="132" t="str">
        <f>IFERROR(VLOOKUP(C758,TD!$B$32:$F$36,3,0)," ")</f>
        <v xml:space="preserve"> </v>
      </c>
      <c r="R758" s="132" t="str">
        <f>IFERROR(VLOOKUP(C758,TD!$B$32:$F$36,4,0)," ")</f>
        <v xml:space="preserve"> </v>
      </c>
      <c r="S758" s="54"/>
      <c r="T758" s="132" t="str">
        <f>IFERROR(VLOOKUP(S758,TD!$J$33:$K$43,2,0)," ")</f>
        <v xml:space="preserve"> </v>
      </c>
      <c r="U758" s="54" t="str">
        <f t="shared" si="44"/>
        <v xml:space="preserve">- </v>
      </c>
      <c r="V758" s="54"/>
      <c r="W758" s="132" t="str">
        <f>IFERROR(VLOOKUP(V758,TD!$N$33:$O$45,2,0)," ")</f>
        <v xml:space="preserve"> </v>
      </c>
      <c r="X758" s="54" t="str">
        <f t="shared" si="45"/>
        <v xml:space="preserve">_ </v>
      </c>
      <c r="Y758" s="54" t="str">
        <f t="shared" si="46"/>
        <v xml:space="preserve">-  _ </v>
      </c>
      <c r="Z758" s="132" t="str">
        <f t="shared" si="47"/>
        <v xml:space="preserve">   </v>
      </c>
      <c r="AA758" s="132" t="str">
        <f>IFERROR(VLOOKUP(Y758,TD!$K$46:$L$64,2,0)," ")</f>
        <v xml:space="preserve"> </v>
      </c>
      <c r="AB758" s="57"/>
      <c r="AC758" s="133"/>
    </row>
    <row r="759" spans="2:29" s="28" customFormat="1">
      <c r="B759" s="85"/>
      <c r="C759" s="53"/>
      <c r="D759" s="130"/>
      <c r="E759" s="54"/>
      <c r="F759" s="130"/>
      <c r="G759" s="130"/>
      <c r="H759" s="55"/>
      <c r="I759" s="135"/>
      <c r="J759" s="131"/>
      <c r="K759" s="56"/>
      <c r="L759" s="57"/>
      <c r="M759" s="130"/>
      <c r="N759" s="57"/>
      <c r="O759" s="54"/>
      <c r="P759" s="132" t="str">
        <f>IFERROR(VLOOKUP(C759,TD!$B$32:$F$36,2,0)," ")</f>
        <v xml:space="preserve"> </v>
      </c>
      <c r="Q759" s="132" t="str">
        <f>IFERROR(VLOOKUP(C759,TD!$B$32:$F$36,3,0)," ")</f>
        <v xml:space="preserve"> </v>
      </c>
      <c r="R759" s="132" t="str">
        <f>IFERROR(VLOOKUP(C759,TD!$B$32:$F$36,4,0)," ")</f>
        <v xml:space="preserve"> </v>
      </c>
      <c r="S759" s="54"/>
      <c r="T759" s="132" t="str">
        <f>IFERROR(VLOOKUP(S759,TD!$J$33:$K$43,2,0)," ")</f>
        <v xml:space="preserve"> </v>
      </c>
      <c r="U759" s="54" t="str">
        <f t="shared" si="44"/>
        <v xml:space="preserve">- </v>
      </c>
      <c r="V759" s="54"/>
      <c r="W759" s="132" t="str">
        <f>IFERROR(VLOOKUP(V759,TD!$N$33:$O$45,2,0)," ")</f>
        <v xml:space="preserve"> </v>
      </c>
      <c r="X759" s="54" t="str">
        <f t="shared" si="45"/>
        <v xml:space="preserve">_ </v>
      </c>
      <c r="Y759" s="54" t="str">
        <f t="shared" si="46"/>
        <v xml:space="preserve">-  _ </v>
      </c>
      <c r="Z759" s="132" t="str">
        <f t="shared" si="47"/>
        <v xml:space="preserve">   </v>
      </c>
      <c r="AA759" s="132" t="str">
        <f>IFERROR(VLOOKUP(Y759,TD!$K$46:$L$64,2,0)," ")</f>
        <v xml:space="preserve"> </v>
      </c>
      <c r="AB759" s="57"/>
      <c r="AC759" s="133"/>
    </row>
    <row r="760" spans="2:29" s="28" customFormat="1">
      <c r="B760" s="85"/>
      <c r="C760" s="53"/>
      <c r="D760" s="130"/>
      <c r="E760" s="54"/>
      <c r="F760" s="130"/>
      <c r="G760" s="130"/>
      <c r="H760" s="55"/>
      <c r="I760" s="135"/>
      <c r="J760" s="131"/>
      <c r="K760" s="56"/>
      <c r="L760" s="57"/>
      <c r="M760" s="130"/>
      <c r="N760" s="57"/>
      <c r="O760" s="54"/>
      <c r="P760" s="132" t="str">
        <f>IFERROR(VLOOKUP(C760,TD!$B$32:$F$36,2,0)," ")</f>
        <v xml:space="preserve"> </v>
      </c>
      <c r="Q760" s="132" t="str">
        <f>IFERROR(VLOOKUP(C760,TD!$B$32:$F$36,3,0)," ")</f>
        <v xml:space="preserve"> </v>
      </c>
      <c r="R760" s="132" t="str">
        <f>IFERROR(VLOOKUP(C760,TD!$B$32:$F$36,4,0)," ")</f>
        <v xml:space="preserve"> </v>
      </c>
      <c r="S760" s="54"/>
      <c r="T760" s="132" t="str">
        <f>IFERROR(VLOOKUP(S760,TD!$J$33:$K$43,2,0)," ")</f>
        <v xml:space="preserve"> </v>
      </c>
      <c r="U760" s="54" t="str">
        <f t="shared" si="44"/>
        <v xml:space="preserve">- </v>
      </c>
      <c r="V760" s="54"/>
      <c r="W760" s="132" t="str">
        <f>IFERROR(VLOOKUP(V760,TD!$N$33:$O$45,2,0)," ")</f>
        <v xml:space="preserve"> </v>
      </c>
      <c r="X760" s="54" t="str">
        <f t="shared" si="45"/>
        <v xml:space="preserve">_ </v>
      </c>
      <c r="Y760" s="54" t="str">
        <f t="shared" si="46"/>
        <v xml:space="preserve">-  _ </v>
      </c>
      <c r="Z760" s="132" t="str">
        <f t="shared" si="47"/>
        <v xml:space="preserve">   </v>
      </c>
      <c r="AA760" s="132" t="str">
        <f>IFERROR(VLOOKUP(Y760,TD!$K$46:$L$64,2,0)," ")</f>
        <v xml:space="preserve"> </v>
      </c>
      <c r="AB760" s="57"/>
      <c r="AC760" s="133"/>
    </row>
    <row r="761" spans="2:29" s="28" customFormat="1">
      <c r="B761" s="85"/>
      <c r="C761" s="53"/>
      <c r="D761" s="130"/>
      <c r="E761" s="54"/>
      <c r="F761" s="130"/>
      <c r="G761" s="130"/>
      <c r="H761" s="55"/>
      <c r="I761" s="135"/>
      <c r="J761" s="131"/>
      <c r="K761" s="56"/>
      <c r="L761" s="57"/>
      <c r="M761" s="130"/>
      <c r="N761" s="57"/>
      <c r="O761" s="54"/>
      <c r="P761" s="132" t="str">
        <f>IFERROR(VLOOKUP(C761,TD!$B$32:$F$36,2,0)," ")</f>
        <v xml:space="preserve"> </v>
      </c>
      <c r="Q761" s="132" t="str">
        <f>IFERROR(VLOOKUP(C761,TD!$B$32:$F$36,3,0)," ")</f>
        <v xml:space="preserve"> </v>
      </c>
      <c r="R761" s="132" t="str">
        <f>IFERROR(VLOOKUP(C761,TD!$B$32:$F$36,4,0)," ")</f>
        <v xml:space="preserve"> </v>
      </c>
      <c r="S761" s="54"/>
      <c r="T761" s="132" t="str">
        <f>IFERROR(VLOOKUP(S761,TD!$J$33:$K$43,2,0)," ")</f>
        <v xml:space="preserve"> </v>
      </c>
      <c r="U761" s="54" t="str">
        <f t="shared" si="44"/>
        <v xml:space="preserve">- </v>
      </c>
      <c r="V761" s="54"/>
      <c r="W761" s="132" t="str">
        <f>IFERROR(VLOOKUP(V761,TD!$N$33:$O$45,2,0)," ")</f>
        <v xml:space="preserve"> </v>
      </c>
      <c r="X761" s="54" t="str">
        <f t="shared" si="45"/>
        <v xml:space="preserve">_ </v>
      </c>
      <c r="Y761" s="54" t="str">
        <f t="shared" si="46"/>
        <v xml:space="preserve">-  _ </v>
      </c>
      <c r="Z761" s="132" t="str">
        <f t="shared" si="47"/>
        <v xml:space="preserve">   </v>
      </c>
      <c r="AA761" s="132" t="str">
        <f>IFERROR(VLOOKUP(Y761,TD!$K$46:$L$64,2,0)," ")</f>
        <v xml:space="preserve"> </v>
      </c>
      <c r="AB761" s="57"/>
      <c r="AC761" s="133"/>
    </row>
    <row r="762" spans="2:29" s="28" customFormat="1">
      <c r="B762" s="85"/>
      <c r="C762" s="53"/>
      <c r="D762" s="130"/>
      <c r="E762" s="54"/>
      <c r="F762" s="130"/>
      <c r="G762" s="130"/>
      <c r="H762" s="55"/>
      <c r="I762" s="135"/>
      <c r="J762" s="131"/>
      <c r="K762" s="56"/>
      <c r="L762" s="57"/>
      <c r="M762" s="130"/>
      <c r="N762" s="57"/>
      <c r="O762" s="54"/>
      <c r="P762" s="132" t="str">
        <f>IFERROR(VLOOKUP(C762,TD!$B$32:$F$36,2,0)," ")</f>
        <v xml:space="preserve"> </v>
      </c>
      <c r="Q762" s="132" t="str">
        <f>IFERROR(VLOOKUP(C762,TD!$B$32:$F$36,3,0)," ")</f>
        <v xml:space="preserve"> </v>
      </c>
      <c r="R762" s="132" t="str">
        <f>IFERROR(VLOOKUP(C762,TD!$B$32:$F$36,4,0)," ")</f>
        <v xml:space="preserve"> </v>
      </c>
      <c r="S762" s="54"/>
      <c r="T762" s="132" t="str">
        <f>IFERROR(VLOOKUP(S762,TD!$J$33:$K$43,2,0)," ")</f>
        <v xml:space="preserve"> </v>
      </c>
      <c r="U762" s="54" t="str">
        <f t="shared" si="44"/>
        <v xml:space="preserve">- </v>
      </c>
      <c r="V762" s="54"/>
      <c r="W762" s="132" t="str">
        <f>IFERROR(VLOOKUP(V762,TD!$N$33:$O$45,2,0)," ")</f>
        <v xml:space="preserve"> </v>
      </c>
      <c r="X762" s="54" t="str">
        <f t="shared" si="45"/>
        <v xml:space="preserve">_ </v>
      </c>
      <c r="Y762" s="54" t="str">
        <f t="shared" si="46"/>
        <v xml:space="preserve">-  _ </v>
      </c>
      <c r="Z762" s="132" t="str">
        <f t="shared" si="47"/>
        <v xml:space="preserve">   </v>
      </c>
      <c r="AA762" s="132" t="str">
        <f>IFERROR(VLOOKUP(Y762,TD!$K$46:$L$64,2,0)," ")</f>
        <v xml:space="preserve"> </v>
      </c>
      <c r="AB762" s="57"/>
      <c r="AC762" s="133"/>
    </row>
    <row r="763" spans="2:29" s="28" customFormat="1">
      <c r="B763" s="85"/>
      <c r="C763" s="53"/>
      <c r="D763" s="130"/>
      <c r="E763" s="54"/>
      <c r="F763" s="130"/>
      <c r="G763" s="130"/>
      <c r="H763" s="55"/>
      <c r="I763" s="135"/>
      <c r="J763" s="131"/>
      <c r="K763" s="56"/>
      <c r="L763" s="57"/>
      <c r="M763" s="130"/>
      <c r="N763" s="57"/>
      <c r="O763" s="54"/>
      <c r="P763" s="132" t="str">
        <f>IFERROR(VLOOKUP(C763,TD!$B$32:$F$36,2,0)," ")</f>
        <v xml:space="preserve"> </v>
      </c>
      <c r="Q763" s="132" t="str">
        <f>IFERROR(VLOOKUP(C763,TD!$B$32:$F$36,3,0)," ")</f>
        <v xml:space="preserve"> </v>
      </c>
      <c r="R763" s="132" t="str">
        <f>IFERROR(VLOOKUP(C763,TD!$B$32:$F$36,4,0)," ")</f>
        <v xml:space="preserve"> </v>
      </c>
      <c r="S763" s="54"/>
      <c r="T763" s="132" t="str">
        <f>IFERROR(VLOOKUP(S763,TD!$J$33:$K$43,2,0)," ")</f>
        <v xml:space="preserve"> </v>
      </c>
      <c r="U763" s="54" t="str">
        <f t="shared" si="44"/>
        <v xml:space="preserve">- </v>
      </c>
      <c r="V763" s="54"/>
      <c r="W763" s="132" t="str">
        <f>IFERROR(VLOOKUP(V763,TD!$N$33:$O$45,2,0)," ")</f>
        <v xml:space="preserve"> </v>
      </c>
      <c r="X763" s="54" t="str">
        <f t="shared" si="45"/>
        <v xml:space="preserve">_ </v>
      </c>
      <c r="Y763" s="54" t="str">
        <f t="shared" si="46"/>
        <v xml:space="preserve">-  _ </v>
      </c>
      <c r="Z763" s="132" t="str">
        <f t="shared" si="47"/>
        <v xml:space="preserve">   </v>
      </c>
      <c r="AA763" s="132" t="str">
        <f>IFERROR(VLOOKUP(Y763,TD!$K$46:$L$64,2,0)," ")</f>
        <v xml:space="preserve"> </v>
      </c>
      <c r="AB763" s="57"/>
      <c r="AC763" s="133"/>
    </row>
    <row r="764" spans="2:29" s="28" customFormat="1">
      <c r="B764" s="85"/>
      <c r="C764" s="53"/>
      <c r="D764" s="130"/>
      <c r="E764" s="54"/>
      <c r="F764" s="130"/>
      <c r="G764" s="130"/>
      <c r="H764" s="55"/>
      <c r="I764" s="135"/>
      <c r="J764" s="131"/>
      <c r="K764" s="56"/>
      <c r="L764" s="57"/>
      <c r="M764" s="130"/>
      <c r="N764" s="57"/>
      <c r="O764" s="54"/>
      <c r="P764" s="132" t="str">
        <f>IFERROR(VLOOKUP(C764,TD!$B$32:$F$36,2,0)," ")</f>
        <v xml:space="preserve"> </v>
      </c>
      <c r="Q764" s="132" t="str">
        <f>IFERROR(VLOOKUP(C764,TD!$B$32:$F$36,3,0)," ")</f>
        <v xml:space="preserve"> </v>
      </c>
      <c r="R764" s="132" t="str">
        <f>IFERROR(VLOOKUP(C764,TD!$B$32:$F$36,4,0)," ")</f>
        <v xml:space="preserve"> </v>
      </c>
      <c r="S764" s="54"/>
      <c r="T764" s="132" t="str">
        <f>IFERROR(VLOOKUP(S764,TD!$J$33:$K$43,2,0)," ")</f>
        <v xml:space="preserve"> </v>
      </c>
      <c r="U764" s="54" t="str">
        <f t="shared" si="44"/>
        <v xml:space="preserve">- </v>
      </c>
      <c r="V764" s="54"/>
      <c r="W764" s="132" t="str">
        <f>IFERROR(VLOOKUP(V764,TD!$N$33:$O$45,2,0)," ")</f>
        <v xml:space="preserve"> </v>
      </c>
      <c r="X764" s="54" t="str">
        <f t="shared" si="45"/>
        <v xml:space="preserve">_ </v>
      </c>
      <c r="Y764" s="54" t="str">
        <f t="shared" si="46"/>
        <v xml:space="preserve">-  _ </v>
      </c>
      <c r="Z764" s="132" t="str">
        <f t="shared" si="47"/>
        <v xml:space="preserve">   </v>
      </c>
      <c r="AA764" s="132" t="str">
        <f>IFERROR(VLOOKUP(Y764,TD!$K$46:$L$64,2,0)," ")</f>
        <v xml:space="preserve"> </v>
      </c>
      <c r="AB764" s="57"/>
      <c r="AC764" s="133"/>
    </row>
    <row r="765" spans="2:29" s="28" customFormat="1">
      <c r="B765" s="85"/>
      <c r="C765" s="53"/>
      <c r="D765" s="130"/>
      <c r="E765" s="54"/>
      <c r="F765" s="130"/>
      <c r="G765" s="130"/>
      <c r="H765" s="55"/>
      <c r="I765" s="135"/>
      <c r="J765" s="131"/>
      <c r="K765" s="56"/>
      <c r="L765" s="57"/>
      <c r="M765" s="130"/>
      <c r="N765" s="57"/>
      <c r="O765" s="54"/>
      <c r="P765" s="132" t="str">
        <f>IFERROR(VLOOKUP(C765,TD!$B$32:$F$36,2,0)," ")</f>
        <v xml:space="preserve"> </v>
      </c>
      <c r="Q765" s="132" t="str">
        <f>IFERROR(VLOOKUP(C765,TD!$B$32:$F$36,3,0)," ")</f>
        <v xml:space="preserve"> </v>
      </c>
      <c r="R765" s="132" t="str">
        <f>IFERROR(VLOOKUP(C765,TD!$B$32:$F$36,4,0)," ")</f>
        <v xml:space="preserve"> </v>
      </c>
      <c r="S765" s="54"/>
      <c r="T765" s="132" t="str">
        <f>IFERROR(VLOOKUP(S765,TD!$J$33:$K$43,2,0)," ")</f>
        <v xml:space="preserve"> </v>
      </c>
      <c r="U765" s="54" t="str">
        <f t="shared" si="44"/>
        <v xml:space="preserve">- </v>
      </c>
      <c r="V765" s="54"/>
      <c r="W765" s="132" t="str">
        <f>IFERROR(VLOOKUP(V765,TD!$N$33:$O$45,2,0)," ")</f>
        <v xml:space="preserve"> </v>
      </c>
      <c r="X765" s="54" t="str">
        <f t="shared" si="45"/>
        <v xml:space="preserve">_ </v>
      </c>
      <c r="Y765" s="54" t="str">
        <f t="shared" si="46"/>
        <v xml:space="preserve">-  _ </v>
      </c>
      <c r="Z765" s="132" t="str">
        <f t="shared" si="47"/>
        <v xml:space="preserve">   </v>
      </c>
      <c r="AA765" s="132" t="str">
        <f>IFERROR(VLOOKUP(Y765,TD!$K$46:$L$64,2,0)," ")</f>
        <v xml:space="preserve"> </v>
      </c>
      <c r="AB765" s="57"/>
      <c r="AC765" s="133"/>
    </row>
    <row r="766" spans="2:29" s="28" customFormat="1">
      <c r="B766" s="85"/>
      <c r="C766" s="53"/>
      <c r="D766" s="130"/>
      <c r="E766" s="54"/>
      <c r="F766" s="130"/>
      <c r="G766" s="130"/>
      <c r="H766" s="55"/>
      <c r="I766" s="135"/>
      <c r="J766" s="131"/>
      <c r="K766" s="56"/>
      <c r="L766" s="57"/>
      <c r="M766" s="130"/>
      <c r="N766" s="57"/>
      <c r="O766" s="54"/>
      <c r="P766" s="132" t="str">
        <f>IFERROR(VLOOKUP(C766,TD!$B$32:$F$36,2,0)," ")</f>
        <v xml:space="preserve"> </v>
      </c>
      <c r="Q766" s="132" t="str">
        <f>IFERROR(VLOOKUP(C766,TD!$B$32:$F$36,3,0)," ")</f>
        <v xml:space="preserve"> </v>
      </c>
      <c r="R766" s="132" t="str">
        <f>IFERROR(VLOOKUP(C766,TD!$B$32:$F$36,4,0)," ")</f>
        <v xml:space="preserve"> </v>
      </c>
      <c r="S766" s="54"/>
      <c r="T766" s="132" t="str">
        <f>IFERROR(VLOOKUP(S766,TD!$J$33:$K$43,2,0)," ")</f>
        <v xml:space="preserve"> </v>
      </c>
      <c r="U766" s="54" t="str">
        <f t="shared" si="44"/>
        <v xml:space="preserve">- </v>
      </c>
      <c r="V766" s="54"/>
      <c r="W766" s="132" t="str">
        <f>IFERROR(VLOOKUP(V766,TD!$N$33:$O$45,2,0)," ")</f>
        <v xml:space="preserve"> </v>
      </c>
      <c r="X766" s="54" t="str">
        <f t="shared" si="45"/>
        <v xml:space="preserve">_ </v>
      </c>
      <c r="Y766" s="54" t="str">
        <f t="shared" si="46"/>
        <v xml:space="preserve">-  _ </v>
      </c>
      <c r="Z766" s="132" t="str">
        <f t="shared" si="47"/>
        <v xml:space="preserve">   </v>
      </c>
      <c r="AA766" s="132" t="str">
        <f>IFERROR(VLOOKUP(Y766,TD!$K$46:$L$64,2,0)," ")</f>
        <v xml:space="preserve"> </v>
      </c>
      <c r="AB766" s="57"/>
      <c r="AC766" s="133"/>
    </row>
    <row r="767" spans="2:29" s="28" customFormat="1">
      <c r="B767" s="85"/>
      <c r="C767" s="53"/>
      <c r="D767" s="130"/>
      <c r="E767" s="54"/>
      <c r="F767" s="130"/>
      <c r="G767" s="130"/>
      <c r="H767" s="55"/>
      <c r="I767" s="135"/>
      <c r="J767" s="131"/>
      <c r="K767" s="56"/>
      <c r="L767" s="57"/>
      <c r="M767" s="130"/>
      <c r="N767" s="57"/>
      <c r="O767" s="54"/>
      <c r="P767" s="132" t="str">
        <f>IFERROR(VLOOKUP(C767,TD!$B$32:$F$36,2,0)," ")</f>
        <v xml:space="preserve"> </v>
      </c>
      <c r="Q767" s="132" t="str">
        <f>IFERROR(VLOOKUP(C767,TD!$B$32:$F$36,3,0)," ")</f>
        <v xml:space="preserve"> </v>
      </c>
      <c r="R767" s="132" t="str">
        <f>IFERROR(VLOOKUP(C767,TD!$B$32:$F$36,4,0)," ")</f>
        <v xml:space="preserve"> </v>
      </c>
      <c r="S767" s="54"/>
      <c r="T767" s="132" t="str">
        <f>IFERROR(VLOOKUP(S767,TD!$J$33:$K$43,2,0)," ")</f>
        <v xml:space="preserve"> </v>
      </c>
      <c r="U767" s="54" t="str">
        <f t="shared" si="44"/>
        <v xml:space="preserve">- </v>
      </c>
      <c r="V767" s="54"/>
      <c r="W767" s="132" t="str">
        <f>IFERROR(VLOOKUP(V767,TD!$N$33:$O$45,2,0)," ")</f>
        <v xml:space="preserve"> </v>
      </c>
      <c r="X767" s="54" t="str">
        <f t="shared" si="45"/>
        <v xml:space="preserve">_ </v>
      </c>
      <c r="Y767" s="54" t="str">
        <f t="shared" si="46"/>
        <v xml:space="preserve">-  _ </v>
      </c>
      <c r="Z767" s="132" t="str">
        <f t="shared" si="47"/>
        <v xml:space="preserve">   </v>
      </c>
      <c r="AA767" s="132" t="str">
        <f>IFERROR(VLOOKUP(Y767,TD!$K$46:$L$64,2,0)," ")</f>
        <v xml:space="preserve"> </v>
      </c>
      <c r="AB767" s="57"/>
      <c r="AC767" s="133"/>
    </row>
    <row r="768" spans="2:29" s="28" customFormat="1">
      <c r="B768" s="85"/>
      <c r="C768" s="53"/>
      <c r="D768" s="130"/>
      <c r="E768" s="54"/>
      <c r="F768" s="130"/>
      <c r="G768" s="130"/>
      <c r="H768" s="55"/>
      <c r="I768" s="135"/>
      <c r="J768" s="131"/>
      <c r="K768" s="56"/>
      <c r="L768" s="57"/>
      <c r="M768" s="130"/>
      <c r="N768" s="57"/>
      <c r="O768" s="54"/>
      <c r="P768" s="132" t="str">
        <f>IFERROR(VLOOKUP(C768,TD!$B$32:$F$36,2,0)," ")</f>
        <v xml:space="preserve"> </v>
      </c>
      <c r="Q768" s="132" t="str">
        <f>IFERROR(VLOOKUP(C768,TD!$B$32:$F$36,3,0)," ")</f>
        <v xml:space="preserve"> </v>
      </c>
      <c r="R768" s="132" t="str">
        <f>IFERROR(VLOOKUP(C768,TD!$B$32:$F$36,4,0)," ")</f>
        <v xml:space="preserve"> </v>
      </c>
      <c r="S768" s="54"/>
      <c r="T768" s="132" t="str">
        <f>IFERROR(VLOOKUP(S768,TD!$J$33:$K$43,2,0)," ")</f>
        <v xml:space="preserve"> </v>
      </c>
      <c r="U768" s="54" t="str">
        <f t="shared" si="44"/>
        <v xml:space="preserve">- </v>
      </c>
      <c r="V768" s="54"/>
      <c r="W768" s="132" t="str">
        <f>IFERROR(VLOOKUP(V768,TD!$N$33:$O$45,2,0)," ")</f>
        <v xml:space="preserve"> </v>
      </c>
      <c r="X768" s="54" t="str">
        <f t="shared" si="45"/>
        <v xml:space="preserve">_ </v>
      </c>
      <c r="Y768" s="54" t="str">
        <f t="shared" si="46"/>
        <v xml:space="preserve">-  _ </v>
      </c>
      <c r="Z768" s="132" t="str">
        <f t="shared" si="47"/>
        <v xml:space="preserve">   </v>
      </c>
      <c r="AA768" s="132" t="str">
        <f>IFERROR(VLOOKUP(Y768,TD!$K$46:$L$64,2,0)," ")</f>
        <v xml:space="preserve"> </v>
      </c>
      <c r="AB768" s="57"/>
      <c r="AC768" s="133"/>
    </row>
    <row r="769" spans="2:29" s="28" customFormat="1">
      <c r="B769" s="85"/>
      <c r="C769" s="53"/>
      <c r="D769" s="130"/>
      <c r="E769" s="54"/>
      <c r="F769" s="130"/>
      <c r="G769" s="130"/>
      <c r="H769" s="55"/>
      <c r="I769" s="135"/>
      <c r="J769" s="131"/>
      <c r="K769" s="56"/>
      <c r="L769" s="57"/>
      <c r="M769" s="130"/>
      <c r="N769" s="57"/>
      <c r="O769" s="54"/>
      <c r="P769" s="132" t="str">
        <f>IFERROR(VLOOKUP(C769,TD!$B$32:$F$36,2,0)," ")</f>
        <v xml:space="preserve"> </v>
      </c>
      <c r="Q769" s="132" t="str">
        <f>IFERROR(VLOOKUP(C769,TD!$B$32:$F$36,3,0)," ")</f>
        <v xml:space="preserve"> </v>
      </c>
      <c r="R769" s="132" t="str">
        <f>IFERROR(VLOOKUP(C769,TD!$B$32:$F$36,4,0)," ")</f>
        <v xml:space="preserve"> </v>
      </c>
      <c r="S769" s="54"/>
      <c r="T769" s="132" t="str">
        <f>IFERROR(VLOOKUP(S769,TD!$J$33:$K$43,2,0)," ")</f>
        <v xml:space="preserve"> </v>
      </c>
      <c r="U769" s="54" t="str">
        <f t="shared" si="44"/>
        <v xml:space="preserve">- </v>
      </c>
      <c r="V769" s="54"/>
      <c r="W769" s="132" t="str">
        <f>IFERROR(VLOOKUP(V769,TD!$N$33:$O$45,2,0)," ")</f>
        <v xml:space="preserve"> </v>
      </c>
      <c r="X769" s="54" t="str">
        <f t="shared" si="45"/>
        <v xml:space="preserve">_ </v>
      </c>
      <c r="Y769" s="54" t="str">
        <f t="shared" si="46"/>
        <v xml:space="preserve">-  _ </v>
      </c>
      <c r="Z769" s="132" t="str">
        <f t="shared" si="47"/>
        <v xml:space="preserve">   </v>
      </c>
      <c r="AA769" s="132" t="str">
        <f>IFERROR(VLOOKUP(Y769,TD!$K$46:$L$64,2,0)," ")</f>
        <v xml:space="preserve"> </v>
      </c>
      <c r="AB769" s="57"/>
      <c r="AC769" s="133"/>
    </row>
    <row r="770" spans="2:29" s="28" customFormat="1">
      <c r="B770" s="85"/>
      <c r="C770" s="53"/>
      <c r="D770" s="130"/>
      <c r="E770" s="54"/>
      <c r="F770" s="130"/>
      <c r="G770" s="130"/>
      <c r="H770" s="55"/>
      <c r="I770" s="135"/>
      <c r="J770" s="131"/>
      <c r="K770" s="56"/>
      <c r="L770" s="57"/>
      <c r="M770" s="130"/>
      <c r="N770" s="57"/>
      <c r="O770" s="54"/>
      <c r="P770" s="132" t="str">
        <f>IFERROR(VLOOKUP(C770,TD!$B$32:$F$36,2,0)," ")</f>
        <v xml:space="preserve"> </v>
      </c>
      <c r="Q770" s="132" t="str">
        <f>IFERROR(VLOOKUP(C770,TD!$B$32:$F$36,3,0)," ")</f>
        <v xml:space="preserve"> </v>
      </c>
      <c r="R770" s="132" t="str">
        <f>IFERROR(VLOOKUP(C770,TD!$B$32:$F$36,4,0)," ")</f>
        <v xml:space="preserve"> </v>
      </c>
      <c r="S770" s="54"/>
      <c r="T770" s="132" t="str">
        <f>IFERROR(VLOOKUP(S770,TD!$J$33:$K$43,2,0)," ")</f>
        <v xml:space="preserve"> </v>
      </c>
      <c r="U770" s="54" t="str">
        <f t="shared" si="44"/>
        <v xml:space="preserve">- </v>
      </c>
      <c r="V770" s="54"/>
      <c r="W770" s="132" t="str">
        <f>IFERROR(VLOOKUP(V770,TD!$N$33:$O$45,2,0)," ")</f>
        <v xml:space="preserve"> </v>
      </c>
      <c r="X770" s="54" t="str">
        <f t="shared" si="45"/>
        <v xml:space="preserve">_ </v>
      </c>
      <c r="Y770" s="54" t="str">
        <f t="shared" si="46"/>
        <v xml:space="preserve">-  _ </v>
      </c>
      <c r="Z770" s="132" t="str">
        <f t="shared" si="47"/>
        <v xml:space="preserve">   </v>
      </c>
      <c r="AA770" s="132" t="str">
        <f>IFERROR(VLOOKUP(Y770,TD!$K$46:$L$64,2,0)," ")</f>
        <v xml:space="preserve"> </v>
      </c>
      <c r="AB770" s="57"/>
      <c r="AC770" s="133"/>
    </row>
    <row r="771" spans="2:29" s="28" customFormat="1">
      <c r="B771" s="85"/>
      <c r="C771" s="53"/>
      <c r="D771" s="130"/>
      <c r="E771" s="54"/>
      <c r="F771" s="130"/>
      <c r="G771" s="130"/>
      <c r="H771" s="55"/>
      <c r="I771" s="135"/>
      <c r="J771" s="131"/>
      <c r="K771" s="56"/>
      <c r="L771" s="57"/>
      <c r="M771" s="130"/>
      <c r="N771" s="57"/>
      <c r="O771" s="54"/>
      <c r="P771" s="132" t="str">
        <f>IFERROR(VLOOKUP(C771,TD!$B$32:$F$36,2,0)," ")</f>
        <v xml:space="preserve"> </v>
      </c>
      <c r="Q771" s="132" t="str">
        <f>IFERROR(VLOOKUP(C771,TD!$B$32:$F$36,3,0)," ")</f>
        <v xml:space="preserve"> </v>
      </c>
      <c r="R771" s="132" t="str">
        <f>IFERROR(VLOOKUP(C771,TD!$B$32:$F$36,4,0)," ")</f>
        <v xml:space="preserve"> </v>
      </c>
      <c r="S771" s="54"/>
      <c r="T771" s="132" t="str">
        <f>IFERROR(VLOOKUP(S771,TD!$J$33:$K$43,2,0)," ")</f>
        <v xml:space="preserve"> </v>
      </c>
      <c r="U771" s="54" t="str">
        <f t="shared" si="44"/>
        <v xml:space="preserve">- </v>
      </c>
      <c r="V771" s="54"/>
      <c r="W771" s="132" t="str">
        <f>IFERROR(VLOOKUP(V771,TD!$N$33:$O$45,2,0)," ")</f>
        <v xml:space="preserve"> </v>
      </c>
      <c r="X771" s="54" t="str">
        <f t="shared" si="45"/>
        <v xml:space="preserve">_ </v>
      </c>
      <c r="Y771" s="54" t="str">
        <f t="shared" si="46"/>
        <v xml:space="preserve">-  _ </v>
      </c>
      <c r="Z771" s="132" t="str">
        <f t="shared" si="47"/>
        <v xml:space="preserve">   </v>
      </c>
      <c r="AA771" s="132" t="str">
        <f>IFERROR(VLOOKUP(Y771,TD!$K$46:$L$64,2,0)," ")</f>
        <v xml:space="preserve"> </v>
      </c>
      <c r="AB771" s="57"/>
      <c r="AC771" s="133"/>
    </row>
    <row r="772" spans="2:29" s="28" customFormat="1">
      <c r="B772" s="85"/>
      <c r="C772" s="53"/>
      <c r="D772" s="130"/>
      <c r="E772" s="54"/>
      <c r="F772" s="130"/>
      <c r="G772" s="130"/>
      <c r="H772" s="55"/>
      <c r="I772" s="135"/>
      <c r="J772" s="131"/>
      <c r="K772" s="56"/>
      <c r="L772" s="57"/>
      <c r="M772" s="130"/>
      <c r="N772" s="57"/>
      <c r="O772" s="54"/>
      <c r="P772" s="132" t="str">
        <f>IFERROR(VLOOKUP(C772,TD!$B$32:$F$36,2,0)," ")</f>
        <v xml:space="preserve"> </v>
      </c>
      <c r="Q772" s="132" t="str">
        <f>IFERROR(VLOOKUP(C772,TD!$B$32:$F$36,3,0)," ")</f>
        <v xml:space="preserve"> </v>
      </c>
      <c r="R772" s="132" t="str">
        <f>IFERROR(VLOOKUP(C772,TD!$B$32:$F$36,4,0)," ")</f>
        <v xml:space="preserve"> </v>
      </c>
      <c r="S772" s="54"/>
      <c r="T772" s="132" t="str">
        <f>IFERROR(VLOOKUP(S772,TD!$J$33:$K$43,2,0)," ")</f>
        <v xml:space="preserve"> </v>
      </c>
      <c r="U772" s="54" t="str">
        <f t="shared" si="44"/>
        <v xml:space="preserve">- </v>
      </c>
      <c r="V772" s="54"/>
      <c r="W772" s="132" t="str">
        <f>IFERROR(VLOOKUP(V772,TD!$N$33:$O$45,2,0)," ")</f>
        <v xml:space="preserve"> </v>
      </c>
      <c r="X772" s="54" t="str">
        <f t="shared" si="45"/>
        <v xml:space="preserve">_ </v>
      </c>
      <c r="Y772" s="54" t="str">
        <f t="shared" si="46"/>
        <v xml:space="preserve">-  _ </v>
      </c>
      <c r="Z772" s="132" t="str">
        <f t="shared" si="47"/>
        <v xml:space="preserve">   </v>
      </c>
      <c r="AA772" s="132" t="str">
        <f>IFERROR(VLOOKUP(Y772,TD!$K$46:$L$64,2,0)," ")</f>
        <v xml:space="preserve"> </v>
      </c>
      <c r="AB772" s="57"/>
      <c r="AC772" s="133"/>
    </row>
    <row r="773" spans="2:29" s="28" customFormat="1">
      <c r="B773" s="85"/>
      <c r="C773" s="53"/>
      <c r="D773" s="130"/>
      <c r="E773" s="54"/>
      <c r="F773" s="130"/>
      <c r="G773" s="130"/>
      <c r="H773" s="55"/>
      <c r="I773" s="135"/>
      <c r="J773" s="131"/>
      <c r="K773" s="56"/>
      <c r="L773" s="57"/>
      <c r="M773" s="130"/>
      <c r="N773" s="57"/>
      <c r="O773" s="54"/>
      <c r="P773" s="132" t="str">
        <f>IFERROR(VLOOKUP(C773,TD!$B$32:$F$36,2,0)," ")</f>
        <v xml:space="preserve"> </v>
      </c>
      <c r="Q773" s="132" t="str">
        <f>IFERROR(VLOOKUP(C773,TD!$B$32:$F$36,3,0)," ")</f>
        <v xml:space="preserve"> </v>
      </c>
      <c r="R773" s="132" t="str">
        <f>IFERROR(VLOOKUP(C773,TD!$B$32:$F$36,4,0)," ")</f>
        <v xml:space="preserve"> </v>
      </c>
      <c r="S773" s="54"/>
      <c r="T773" s="132" t="str">
        <f>IFERROR(VLOOKUP(S773,TD!$J$33:$K$43,2,0)," ")</f>
        <v xml:space="preserve"> </v>
      </c>
      <c r="U773" s="54" t="str">
        <f t="shared" si="44"/>
        <v xml:space="preserve">- </v>
      </c>
      <c r="V773" s="54"/>
      <c r="W773" s="132" t="str">
        <f>IFERROR(VLOOKUP(V773,TD!$N$33:$O$45,2,0)," ")</f>
        <v xml:space="preserve"> </v>
      </c>
      <c r="X773" s="54" t="str">
        <f t="shared" si="45"/>
        <v xml:space="preserve">_ </v>
      </c>
      <c r="Y773" s="54" t="str">
        <f t="shared" si="46"/>
        <v xml:space="preserve">-  _ </v>
      </c>
      <c r="Z773" s="132" t="str">
        <f t="shared" si="47"/>
        <v xml:space="preserve">   </v>
      </c>
      <c r="AA773" s="132" t="str">
        <f>IFERROR(VLOOKUP(Y773,TD!$K$46:$L$64,2,0)," ")</f>
        <v xml:space="preserve"> </v>
      </c>
      <c r="AB773" s="57"/>
      <c r="AC773" s="133"/>
    </row>
    <row r="774" spans="2:29" s="28" customFormat="1">
      <c r="B774" s="85"/>
      <c r="C774" s="53"/>
      <c r="D774" s="130"/>
      <c r="E774" s="54"/>
      <c r="F774" s="130"/>
      <c r="G774" s="130"/>
      <c r="H774" s="55"/>
      <c r="I774" s="135"/>
      <c r="J774" s="131"/>
      <c r="K774" s="56"/>
      <c r="L774" s="57"/>
      <c r="M774" s="130"/>
      <c r="N774" s="57"/>
      <c r="O774" s="54"/>
      <c r="P774" s="132" t="str">
        <f>IFERROR(VLOOKUP(C774,TD!$B$32:$F$36,2,0)," ")</f>
        <v xml:space="preserve"> </v>
      </c>
      <c r="Q774" s="132" t="str">
        <f>IFERROR(VLOOKUP(C774,TD!$B$32:$F$36,3,0)," ")</f>
        <v xml:space="preserve"> </v>
      </c>
      <c r="R774" s="132" t="str">
        <f>IFERROR(VLOOKUP(C774,TD!$B$32:$F$36,4,0)," ")</f>
        <v xml:space="preserve"> </v>
      </c>
      <c r="S774" s="54"/>
      <c r="T774" s="132" t="str">
        <f>IFERROR(VLOOKUP(S774,TD!$J$33:$K$43,2,0)," ")</f>
        <v xml:space="preserve"> </v>
      </c>
      <c r="U774" s="54" t="str">
        <f t="shared" si="44"/>
        <v xml:space="preserve">- </v>
      </c>
      <c r="V774" s="54"/>
      <c r="W774" s="132" t="str">
        <f>IFERROR(VLOOKUP(V774,TD!$N$33:$O$45,2,0)," ")</f>
        <v xml:space="preserve"> </v>
      </c>
      <c r="X774" s="54" t="str">
        <f t="shared" si="45"/>
        <v xml:space="preserve">_ </v>
      </c>
      <c r="Y774" s="54" t="str">
        <f t="shared" si="46"/>
        <v xml:space="preserve">-  _ </v>
      </c>
      <c r="Z774" s="132" t="str">
        <f t="shared" si="47"/>
        <v xml:space="preserve">   </v>
      </c>
      <c r="AA774" s="132" t="str">
        <f>IFERROR(VLOOKUP(Y774,TD!$K$46:$L$64,2,0)," ")</f>
        <v xml:space="preserve"> </v>
      </c>
      <c r="AB774" s="57"/>
      <c r="AC774" s="133"/>
    </row>
    <row r="775" spans="2:29" s="28" customFormat="1">
      <c r="B775" s="85"/>
      <c r="C775" s="53"/>
      <c r="D775" s="130"/>
      <c r="E775" s="54"/>
      <c r="F775" s="130"/>
      <c r="G775" s="130"/>
      <c r="H775" s="55"/>
      <c r="I775" s="135"/>
      <c r="J775" s="131"/>
      <c r="K775" s="56"/>
      <c r="L775" s="57"/>
      <c r="M775" s="130"/>
      <c r="N775" s="57"/>
      <c r="O775" s="54"/>
      <c r="P775" s="132" t="str">
        <f>IFERROR(VLOOKUP(C775,TD!$B$32:$F$36,2,0)," ")</f>
        <v xml:space="preserve"> </v>
      </c>
      <c r="Q775" s="132" t="str">
        <f>IFERROR(VLOOKUP(C775,TD!$B$32:$F$36,3,0)," ")</f>
        <v xml:space="preserve"> </v>
      </c>
      <c r="R775" s="132" t="str">
        <f>IFERROR(VLOOKUP(C775,TD!$B$32:$F$36,4,0)," ")</f>
        <v xml:space="preserve"> </v>
      </c>
      <c r="S775" s="54"/>
      <c r="T775" s="132" t="str">
        <f>IFERROR(VLOOKUP(S775,TD!$J$33:$K$43,2,0)," ")</f>
        <v xml:space="preserve"> </v>
      </c>
      <c r="U775" s="54" t="str">
        <f t="shared" si="44"/>
        <v xml:space="preserve">- </v>
      </c>
      <c r="V775" s="54"/>
      <c r="W775" s="132" t="str">
        <f>IFERROR(VLOOKUP(V775,TD!$N$33:$O$45,2,0)," ")</f>
        <v xml:space="preserve"> </v>
      </c>
      <c r="X775" s="54" t="str">
        <f t="shared" si="45"/>
        <v xml:space="preserve">_ </v>
      </c>
      <c r="Y775" s="54" t="str">
        <f t="shared" si="46"/>
        <v xml:space="preserve">-  _ </v>
      </c>
      <c r="Z775" s="132" t="str">
        <f t="shared" si="47"/>
        <v xml:space="preserve">   </v>
      </c>
      <c r="AA775" s="132" t="str">
        <f>IFERROR(VLOOKUP(Y775,TD!$K$46:$L$64,2,0)," ")</f>
        <v xml:space="preserve"> </v>
      </c>
      <c r="AB775" s="57"/>
      <c r="AC775" s="133"/>
    </row>
    <row r="776" spans="2:29" s="28" customFormat="1">
      <c r="B776" s="85"/>
      <c r="C776" s="53"/>
      <c r="D776" s="130"/>
      <c r="E776" s="54"/>
      <c r="F776" s="130"/>
      <c r="G776" s="130"/>
      <c r="H776" s="55"/>
      <c r="I776" s="135"/>
      <c r="J776" s="131"/>
      <c r="K776" s="56"/>
      <c r="L776" s="57"/>
      <c r="M776" s="130"/>
      <c r="N776" s="57"/>
      <c r="O776" s="54"/>
      <c r="P776" s="132" t="str">
        <f>IFERROR(VLOOKUP(C776,TD!$B$32:$F$36,2,0)," ")</f>
        <v xml:space="preserve"> </v>
      </c>
      <c r="Q776" s="132" t="str">
        <f>IFERROR(VLOOKUP(C776,TD!$B$32:$F$36,3,0)," ")</f>
        <v xml:space="preserve"> </v>
      </c>
      <c r="R776" s="132" t="str">
        <f>IFERROR(VLOOKUP(C776,TD!$B$32:$F$36,4,0)," ")</f>
        <v xml:space="preserve"> </v>
      </c>
      <c r="S776" s="54"/>
      <c r="T776" s="132" t="str">
        <f>IFERROR(VLOOKUP(S776,TD!$J$33:$K$43,2,0)," ")</f>
        <v xml:space="preserve"> </v>
      </c>
      <c r="U776" s="54" t="str">
        <f t="shared" si="44"/>
        <v xml:space="preserve">- </v>
      </c>
      <c r="V776" s="54"/>
      <c r="W776" s="132" t="str">
        <f>IFERROR(VLOOKUP(V776,TD!$N$33:$O$45,2,0)," ")</f>
        <v xml:space="preserve"> </v>
      </c>
      <c r="X776" s="54" t="str">
        <f t="shared" si="45"/>
        <v xml:space="preserve">_ </v>
      </c>
      <c r="Y776" s="54" t="str">
        <f t="shared" si="46"/>
        <v xml:space="preserve">-  _ </v>
      </c>
      <c r="Z776" s="132" t="str">
        <f t="shared" si="47"/>
        <v xml:space="preserve">   </v>
      </c>
      <c r="AA776" s="132" t="str">
        <f>IFERROR(VLOOKUP(Y776,TD!$K$46:$L$64,2,0)," ")</f>
        <v xml:space="preserve"> </v>
      </c>
      <c r="AB776" s="57"/>
      <c r="AC776" s="133"/>
    </row>
    <row r="777" spans="2:29" s="28" customFormat="1">
      <c r="B777" s="85"/>
      <c r="C777" s="53"/>
      <c r="D777" s="130"/>
      <c r="E777" s="54"/>
      <c r="F777" s="130"/>
      <c r="G777" s="130"/>
      <c r="H777" s="55"/>
      <c r="I777" s="135"/>
      <c r="J777" s="131"/>
      <c r="K777" s="56"/>
      <c r="L777" s="57"/>
      <c r="M777" s="130"/>
      <c r="N777" s="57"/>
      <c r="O777" s="54"/>
      <c r="P777" s="132" t="str">
        <f>IFERROR(VLOOKUP(C777,TD!$B$32:$F$36,2,0)," ")</f>
        <v xml:space="preserve"> </v>
      </c>
      <c r="Q777" s="132" t="str">
        <f>IFERROR(VLOOKUP(C777,TD!$B$32:$F$36,3,0)," ")</f>
        <v xml:space="preserve"> </v>
      </c>
      <c r="R777" s="132" t="str">
        <f>IFERROR(VLOOKUP(C777,TD!$B$32:$F$36,4,0)," ")</f>
        <v xml:space="preserve"> </v>
      </c>
      <c r="S777" s="54"/>
      <c r="T777" s="132" t="str">
        <f>IFERROR(VLOOKUP(S777,TD!$J$33:$K$43,2,0)," ")</f>
        <v xml:space="preserve"> </v>
      </c>
      <c r="U777" s="54" t="str">
        <f t="shared" si="44"/>
        <v xml:space="preserve">- </v>
      </c>
      <c r="V777" s="54"/>
      <c r="W777" s="132" t="str">
        <f>IFERROR(VLOOKUP(V777,TD!$N$33:$O$45,2,0)," ")</f>
        <v xml:space="preserve"> </v>
      </c>
      <c r="X777" s="54" t="str">
        <f t="shared" si="45"/>
        <v xml:space="preserve">_ </v>
      </c>
      <c r="Y777" s="54" t="str">
        <f t="shared" si="46"/>
        <v xml:space="preserve">-  _ </v>
      </c>
      <c r="Z777" s="132" t="str">
        <f t="shared" si="47"/>
        <v xml:space="preserve">   </v>
      </c>
      <c r="AA777" s="132" t="str">
        <f>IFERROR(VLOOKUP(Y777,TD!$K$46:$L$64,2,0)," ")</f>
        <v xml:space="preserve"> </v>
      </c>
      <c r="AB777" s="57"/>
      <c r="AC777" s="133"/>
    </row>
    <row r="778" spans="2:29" s="28" customFormat="1">
      <c r="B778" s="85"/>
      <c r="C778" s="53"/>
      <c r="D778" s="130"/>
      <c r="E778" s="54"/>
      <c r="F778" s="130"/>
      <c r="G778" s="130"/>
      <c r="H778" s="55"/>
      <c r="I778" s="135"/>
      <c r="J778" s="131"/>
      <c r="K778" s="56"/>
      <c r="L778" s="57"/>
      <c r="M778" s="130"/>
      <c r="N778" s="57"/>
      <c r="O778" s="54"/>
      <c r="P778" s="132" t="str">
        <f>IFERROR(VLOOKUP(C778,TD!$B$32:$F$36,2,0)," ")</f>
        <v xml:space="preserve"> </v>
      </c>
      <c r="Q778" s="132" t="str">
        <f>IFERROR(VLOOKUP(C778,TD!$B$32:$F$36,3,0)," ")</f>
        <v xml:space="preserve"> </v>
      </c>
      <c r="R778" s="132" t="str">
        <f>IFERROR(VLOOKUP(C778,TD!$B$32:$F$36,4,0)," ")</f>
        <v xml:space="preserve"> </v>
      </c>
      <c r="S778" s="54"/>
      <c r="T778" s="132" t="str">
        <f>IFERROR(VLOOKUP(S778,TD!$J$33:$K$43,2,0)," ")</f>
        <v xml:space="preserve"> </v>
      </c>
      <c r="U778" s="54" t="str">
        <f t="shared" si="44"/>
        <v xml:space="preserve">- </v>
      </c>
      <c r="V778" s="54"/>
      <c r="W778" s="132" t="str">
        <f>IFERROR(VLOOKUP(V778,TD!$N$33:$O$45,2,0)," ")</f>
        <v xml:space="preserve"> </v>
      </c>
      <c r="X778" s="54" t="str">
        <f t="shared" si="45"/>
        <v xml:space="preserve">_ </v>
      </c>
      <c r="Y778" s="54" t="str">
        <f t="shared" si="46"/>
        <v xml:space="preserve">-  _ </v>
      </c>
      <c r="Z778" s="132" t="str">
        <f t="shared" si="47"/>
        <v xml:space="preserve">   </v>
      </c>
      <c r="AA778" s="132" t="str">
        <f>IFERROR(VLOOKUP(Y778,TD!$K$46:$L$64,2,0)," ")</f>
        <v xml:space="preserve"> </v>
      </c>
      <c r="AB778" s="57"/>
      <c r="AC778" s="133"/>
    </row>
    <row r="779" spans="2:29" s="28" customFormat="1">
      <c r="B779" s="85"/>
      <c r="C779" s="53"/>
      <c r="D779" s="130"/>
      <c r="E779" s="54"/>
      <c r="F779" s="130"/>
      <c r="G779" s="130"/>
      <c r="H779" s="55"/>
      <c r="I779" s="135"/>
      <c r="J779" s="131"/>
      <c r="K779" s="56"/>
      <c r="L779" s="57"/>
      <c r="M779" s="130"/>
      <c r="N779" s="57"/>
      <c r="O779" s="54"/>
      <c r="P779" s="132" t="str">
        <f>IFERROR(VLOOKUP(C779,TD!$B$32:$F$36,2,0)," ")</f>
        <v xml:space="preserve"> </v>
      </c>
      <c r="Q779" s="132" t="str">
        <f>IFERROR(VLOOKUP(C779,TD!$B$32:$F$36,3,0)," ")</f>
        <v xml:space="preserve"> </v>
      </c>
      <c r="R779" s="132" t="str">
        <f>IFERROR(VLOOKUP(C779,TD!$B$32:$F$36,4,0)," ")</f>
        <v xml:space="preserve"> </v>
      </c>
      <c r="S779" s="54"/>
      <c r="T779" s="132" t="str">
        <f>IFERROR(VLOOKUP(S779,TD!$J$33:$K$43,2,0)," ")</f>
        <v xml:space="preserve"> </v>
      </c>
      <c r="U779" s="54" t="str">
        <f t="shared" ref="U779:U842" si="48">CONCATENATE(S779,"-",T779)</f>
        <v xml:space="preserve">- </v>
      </c>
      <c r="V779" s="54"/>
      <c r="W779" s="132" t="str">
        <f>IFERROR(VLOOKUP(V779,TD!$N$33:$O$45,2,0)," ")</f>
        <v xml:space="preserve"> </v>
      </c>
      <c r="X779" s="54" t="str">
        <f t="shared" ref="X779:X842" si="49">CONCATENATE(V779,"_",W779)</f>
        <v xml:space="preserve">_ </v>
      </c>
      <c r="Y779" s="54" t="str">
        <f t="shared" ref="Y779:Y842" si="50">CONCATENATE(U779," ",X779)</f>
        <v xml:space="preserve">-  _ </v>
      </c>
      <c r="Z779" s="132" t="str">
        <f t="shared" ref="Z779:Z842" si="51">CONCATENATE(P779,Q779,R779,S779,V779)</f>
        <v xml:space="preserve">   </v>
      </c>
      <c r="AA779" s="132" t="str">
        <f>IFERROR(VLOOKUP(Y779,TD!$K$46:$L$64,2,0)," ")</f>
        <v xml:space="preserve"> </v>
      </c>
      <c r="AB779" s="57"/>
      <c r="AC779" s="133"/>
    </row>
    <row r="780" spans="2:29" s="28" customFormat="1">
      <c r="B780" s="85"/>
      <c r="C780" s="53"/>
      <c r="D780" s="130"/>
      <c r="E780" s="54"/>
      <c r="F780" s="130"/>
      <c r="G780" s="130"/>
      <c r="H780" s="55"/>
      <c r="I780" s="135"/>
      <c r="J780" s="131"/>
      <c r="K780" s="56"/>
      <c r="L780" s="57"/>
      <c r="M780" s="130"/>
      <c r="N780" s="57"/>
      <c r="O780" s="54"/>
      <c r="P780" s="132" t="str">
        <f>IFERROR(VLOOKUP(C780,TD!$B$32:$F$36,2,0)," ")</f>
        <v xml:space="preserve"> </v>
      </c>
      <c r="Q780" s="132" t="str">
        <f>IFERROR(VLOOKUP(C780,TD!$B$32:$F$36,3,0)," ")</f>
        <v xml:space="preserve"> </v>
      </c>
      <c r="R780" s="132" t="str">
        <f>IFERROR(VLOOKUP(C780,TD!$B$32:$F$36,4,0)," ")</f>
        <v xml:space="preserve"> </v>
      </c>
      <c r="S780" s="54"/>
      <c r="T780" s="132" t="str">
        <f>IFERROR(VLOOKUP(S780,TD!$J$33:$K$43,2,0)," ")</f>
        <v xml:space="preserve"> </v>
      </c>
      <c r="U780" s="54" t="str">
        <f t="shared" si="48"/>
        <v xml:space="preserve">- </v>
      </c>
      <c r="V780" s="54"/>
      <c r="W780" s="132" t="str">
        <f>IFERROR(VLOOKUP(V780,TD!$N$33:$O$45,2,0)," ")</f>
        <v xml:space="preserve"> </v>
      </c>
      <c r="X780" s="54" t="str">
        <f t="shared" si="49"/>
        <v xml:space="preserve">_ </v>
      </c>
      <c r="Y780" s="54" t="str">
        <f t="shared" si="50"/>
        <v xml:space="preserve">-  _ </v>
      </c>
      <c r="Z780" s="132" t="str">
        <f t="shared" si="51"/>
        <v xml:space="preserve">   </v>
      </c>
      <c r="AA780" s="132" t="str">
        <f>IFERROR(VLOOKUP(Y780,TD!$K$46:$L$64,2,0)," ")</f>
        <v xml:space="preserve"> </v>
      </c>
      <c r="AB780" s="57"/>
      <c r="AC780" s="133"/>
    </row>
    <row r="781" spans="2:29" s="28" customFormat="1">
      <c r="B781" s="85"/>
      <c r="C781" s="53"/>
      <c r="D781" s="130"/>
      <c r="E781" s="54"/>
      <c r="F781" s="130"/>
      <c r="G781" s="130"/>
      <c r="H781" s="55"/>
      <c r="I781" s="135"/>
      <c r="J781" s="131"/>
      <c r="K781" s="56"/>
      <c r="L781" s="57"/>
      <c r="M781" s="130"/>
      <c r="N781" s="57"/>
      <c r="O781" s="54"/>
      <c r="P781" s="132" t="str">
        <f>IFERROR(VLOOKUP(C781,TD!$B$32:$F$36,2,0)," ")</f>
        <v xml:space="preserve"> </v>
      </c>
      <c r="Q781" s="132" t="str">
        <f>IFERROR(VLOOKUP(C781,TD!$B$32:$F$36,3,0)," ")</f>
        <v xml:space="preserve"> </v>
      </c>
      <c r="R781" s="132" t="str">
        <f>IFERROR(VLOOKUP(C781,TD!$B$32:$F$36,4,0)," ")</f>
        <v xml:space="preserve"> </v>
      </c>
      <c r="S781" s="54"/>
      <c r="T781" s="132" t="str">
        <f>IFERROR(VLOOKUP(S781,TD!$J$33:$K$43,2,0)," ")</f>
        <v xml:space="preserve"> </v>
      </c>
      <c r="U781" s="54" t="str">
        <f t="shared" si="48"/>
        <v xml:space="preserve">- </v>
      </c>
      <c r="V781" s="54"/>
      <c r="W781" s="132" t="str">
        <f>IFERROR(VLOOKUP(V781,TD!$N$33:$O$45,2,0)," ")</f>
        <v xml:space="preserve"> </v>
      </c>
      <c r="X781" s="54" t="str">
        <f t="shared" si="49"/>
        <v xml:space="preserve">_ </v>
      </c>
      <c r="Y781" s="54" t="str">
        <f t="shared" si="50"/>
        <v xml:space="preserve">-  _ </v>
      </c>
      <c r="Z781" s="132" t="str">
        <f t="shared" si="51"/>
        <v xml:space="preserve">   </v>
      </c>
      <c r="AA781" s="132" t="str">
        <f>IFERROR(VLOOKUP(Y781,TD!$K$46:$L$64,2,0)," ")</f>
        <v xml:space="preserve"> </v>
      </c>
      <c r="AB781" s="57"/>
      <c r="AC781" s="133"/>
    </row>
    <row r="782" spans="2:29" s="28" customFormat="1">
      <c r="B782" s="85"/>
      <c r="C782" s="53"/>
      <c r="D782" s="130"/>
      <c r="E782" s="54"/>
      <c r="F782" s="130"/>
      <c r="G782" s="130"/>
      <c r="H782" s="55"/>
      <c r="I782" s="135"/>
      <c r="J782" s="131"/>
      <c r="K782" s="56"/>
      <c r="L782" s="57"/>
      <c r="M782" s="130"/>
      <c r="N782" s="57"/>
      <c r="O782" s="54"/>
      <c r="P782" s="132" t="str">
        <f>IFERROR(VLOOKUP(C782,TD!$B$32:$F$36,2,0)," ")</f>
        <v xml:space="preserve"> </v>
      </c>
      <c r="Q782" s="132" t="str">
        <f>IFERROR(VLOOKUP(C782,TD!$B$32:$F$36,3,0)," ")</f>
        <v xml:space="preserve"> </v>
      </c>
      <c r="R782" s="132" t="str">
        <f>IFERROR(VLOOKUP(C782,TD!$B$32:$F$36,4,0)," ")</f>
        <v xml:space="preserve"> </v>
      </c>
      <c r="S782" s="54"/>
      <c r="T782" s="132" t="str">
        <f>IFERROR(VLOOKUP(S782,TD!$J$33:$K$43,2,0)," ")</f>
        <v xml:space="preserve"> </v>
      </c>
      <c r="U782" s="54" t="str">
        <f t="shared" si="48"/>
        <v xml:space="preserve">- </v>
      </c>
      <c r="V782" s="54"/>
      <c r="W782" s="132" t="str">
        <f>IFERROR(VLOOKUP(V782,TD!$N$33:$O$45,2,0)," ")</f>
        <v xml:space="preserve"> </v>
      </c>
      <c r="X782" s="54" t="str">
        <f t="shared" si="49"/>
        <v xml:space="preserve">_ </v>
      </c>
      <c r="Y782" s="54" t="str">
        <f t="shared" si="50"/>
        <v xml:space="preserve">-  _ </v>
      </c>
      <c r="Z782" s="132" t="str">
        <f t="shared" si="51"/>
        <v xml:space="preserve">   </v>
      </c>
      <c r="AA782" s="132" t="str">
        <f>IFERROR(VLOOKUP(Y782,TD!$K$46:$L$64,2,0)," ")</f>
        <v xml:space="preserve"> </v>
      </c>
      <c r="AB782" s="57"/>
      <c r="AC782" s="133"/>
    </row>
    <row r="783" spans="2:29" s="28" customFormat="1">
      <c r="B783" s="85"/>
      <c r="C783" s="53"/>
      <c r="D783" s="130"/>
      <c r="E783" s="54"/>
      <c r="F783" s="130"/>
      <c r="G783" s="130"/>
      <c r="H783" s="55"/>
      <c r="I783" s="135"/>
      <c r="J783" s="131"/>
      <c r="K783" s="56"/>
      <c r="L783" s="57"/>
      <c r="M783" s="130"/>
      <c r="N783" s="57"/>
      <c r="O783" s="54"/>
      <c r="P783" s="132" t="str">
        <f>IFERROR(VLOOKUP(C783,TD!$B$32:$F$36,2,0)," ")</f>
        <v xml:space="preserve"> </v>
      </c>
      <c r="Q783" s="132" t="str">
        <f>IFERROR(VLOOKUP(C783,TD!$B$32:$F$36,3,0)," ")</f>
        <v xml:space="preserve"> </v>
      </c>
      <c r="R783" s="132" t="str">
        <f>IFERROR(VLOOKUP(C783,TD!$B$32:$F$36,4,0)," ")</f>
        <v xml:space="preserve"> </v>
      </c>
      <c r="S783" s="54"/>
      <c r="T783" s="132" t="str">
        <f>IFERROR(VLOOKUP(S783,TD!$J$33:$K$43,2,0)," ")</f>
        <v xml:space="preserve"> </v>
      </c>
      <c r="U783" s="54" t="str">
        <f t="shared" si="48"/>
        <v xml:space="preserve">- </v>
      </c>
      <c r="V783" s="54"/>
      <c r="W783" s="132" t="str">
        <f>IFERROR(VLOOKUP(V783,TD!$N$33:$O$45,2,0)," ")</f>
        <v xml:space="preserve"> </v>
      </c>
      <c r="X783" s="54" t="str">
        <f t="shared" si="49"/>
        <v xml:space="preserve">_ </v>
      </c>
      <c r="Y783" s="54" t="str">
        <f t="shared" si="50"/>
        <v xml:space="preserve">-  _ </v>
      </c>
      <c r="Z783" s="132" t="str">
        <f t="shared" si="51"/>
        <v xml:space="preserve">   </v>
      </c>
      <c r="AA783" s="132" t="str">
        <f>IFERROR(VLOOKUP(Y783,TD!$K$46:$L$64,2,0)," ")</f>
        <v xml:space="preserve"> </v>
      </c>
      <c r="AB783" s="57"/>
      <c r="AC783" s="133"/>
    </row>
    <row r="784" spans="2:29" s="28" customFormat="1">
      <c r="B784" s="85"/>
      <c r="C784" s="53"/>
      <c r="D784" s="130"/>
      <c r="E784" s="54"/>
      <c r="F784" s="130"/>
      <c r="G784" s="130"/>
      <c r="H784" s="55"/>
      <c r="I784" s="135"/>
      <c r="J784" s="131"/>
      <c r="K784" s="56"/>
      <c r="L784" s="57"/>
      <c r="M784" s="130"/>
      <c r="N784" s="57"/>
      <c r="O784" s="54"/>
      <c r="P784" s="132" t="str">
        <f>IFERROR(VLOOKUP(C784,TD!$B$32:$F$36,2,0)," ")</f>
        <v xml:space="preserve"> </v>
      </c>
      <c r="Q784" s="132" t="str">
        <f>IFERROR(VLOOKUP(C784,TD!$B$32:$F$36,3,0)," ")</f>
        <v xml:space="preserve"> </v>
      </c>
      <c r="R784" s="132" t="str">
        <f>IFERROR(VLOOKUP(C784,TD!$B$32:$F$36,4,0)," ")</f>
        <v xml:space="preserve"> </v>
      </c>
      <c r="S784" s="54"/>
      <c r="T784" s="132" t="str">
        <f>IFERROR(VLOOKUP(S784,TD!$J$33:$K$43,2,0)," ")</f>
        <v xml:space="preserve"> </v>
      </c>
      <c r="U784" s="54" t="str">
        <f t="shared" si="48"/>
        <v xml:space="preserve">- </v>
      </c>
      <c r="V784" s="54"/>
      <c r="W784" s="132" t="str">
        <f>IFERROR(VLOOKUP(V784,TD!$N$33:$O$45,2,0)," ")</f>
        <v xml:space="preserve"> </v>
      </c>
      <c r="X784" s="54" t="str">
        <f t="shared" si="49"/>
        <v xml:space="preserve">_ </v>
      </c>
      <c r="Y784" s="54" t="str">
        <f t="shared" si="50"/>
        <v xml:space="preserve">-  _ </v>
      </c>
      <c r="Z784" s="132" t="str">
        <f t="shared" si="51"/>
        <v xml:space="preserve">   </v>
      </c>
      <c r="AA784" s="132" t="str">
        <f>IFERROR(VLOOKUP(Y784,TD!$K$46:$L$64,2,0)," ")</f>
        <v xml:space="preserve"> </v>
      </c>
      <c r="AB784" s="57"/>
      <c r="AC784" s="133"/>
    </row>
    <row r="785" spans="2:29" s="28" customFormat="1">
      <c r="B785" s="85"/>
      <c r="C785" s="53"/>
      <c r="D785" s="130"/>
      <c r="E785" s="54"/>
      <c r="F785" s="130"/>
      <c r="G785" s="130"/>
      <c r="H785" s="55"/>
      <c r="I785" s="135"/>
      <c r="J785" s="131"/>
      <c r="K785" s="56"/>
      <c r="L785" s="57"/>
      <c r="M785" s="130"/>
      <c r="N785" s="57"/>
      <c r="O785" s="54"/>
      <c r="P785" s="132" t="str">
        <f>IFERROR(VLOOKUP(C785,TD!$B$32:$F$36,2,0)," ")</f>
        <v xml:space="preserve"> </v>
      </c>
      <c r="Q785" s="132" t="str">
        <f>IFERROR(VLOOKUP(C785,TD!$B$32:$F$36,3,0)," ")</f>
        <v xml:space="preserve"> </v>
      </c>
      <c r="R785" s="132" t="str">
        <f>IFERROR(VLOOKUP(C785,TD!$B$32:$F$36,4,0)," ")</f>
        <v xml:space="preserve"> </v>
      </c>
      <c r="S785" s="54"/>
      <c r="T785" s="132" t="str">
        <f>IFERROR(VLOOKUP(S785,TD!$J$33:$K$43,2,0)," ")</f>
        <v xml:space="preserve"> </v>
      </c>
      <c r="U785" s="54" t="str">
        <f t="shared" si="48"/>
        <v xml:space="preserve">- </v>
      </c>
      <c r="V785" s="54"/>
      <c r="W785" s="132" t="str">
        <f>IFERROR(VLOOKUP(V785,TD!$N$33:$O$45,2,0)," ")</f>
        <v xml:space="preserve"> </v>
      </c>
      <c r="X785" s="54" t="str">
        <f t="shared" si="49"/>
        <v xml:space="preserve">_ </v>
      </c>
      <c r="Y785" s="54" t="str">
        <f t="shared" si="50"/>
        <v xml:space="preserve">-  _ </v>
      </c>
      <c r="Z785" s="132" t="str">
        <f t="shared" si="51"/>
        <v xml:space="preserve">   </v>
      </c>
      <c r="AA785" s="132" t="str">
        <f>IFERROR(VLOOKUP(Y785,TD!$K$46:$L$64,2,0)," ")</f>
        <v xml:space="preserve"> </v>
      </c>
      <c r="AB785" s="57"/>
      <c r="AC785" s="133"/>
    </row>
    <row r="786" spans="2:29" s="28" customFormat="1">
      <c r="B786" s="85"/>
      <c r="C786" s="53"/>
      <c r="D786" s="130"/>
      <c r="E786" s="54"/>
      <c r="F786" s="130"/>
      <c r="G786" s="130"/>
      <c r="H786" s="55"/>
      <c r="I786" s="135"/>
      <c r="J786" s="131"/>
      <c r="K786" s="56"/>
      <c r="L786" s="57"/>
      <c r="M786" s="130"/>
      <c r="N786" s="57"/>
      <c r="O786" s="54"/>
      <c r="P786" s="132" t="str">
        <f>IFERROR(VLOOKUP(C786,TD!$B$32:$F$36,2,0)," ")</f>
        <v xml:space="preserve"> </v>
      </c>
      <c r="Q786" s="132" t="str">
        <f>IFERROR(VLOOKUP(C786,TD!$B$32:$F$36,3,0)," ")</f>
        <v xml:space="preserve"> </v>
      </c>
      <c r="R786" s="132" t="str">
        <f>IFERROR(VLOOKUP(C786,TD!$B$32:$F$36,4,0)," ")</f>
        <v xml:space="preserve"> </v>
      </c>
      <c r="S786" s="54"/>
      <c r="T786" s="132" t="str">
        <f>IFERROR(VLOOKUP(S786,TD!$J$33:$K$43,2,0)," ")</f>
        <v xml:space="preserve"> </v>
      </c>
      <c r="U786" s="54" t="str">
        <f t="shared" si="48"/>
        <v xml:space="preserve">- </v>
      </c>
      <c r="V786" s="54"/>
      <c r="W786" s="132" t="str">
        <f>IFERROR(VLOOKUP(V786,TD!$N$33:$O$45,2,0)," ")</f>
        <v xml:space="preserve"> </v>
      </c>
      <c r="X786" s="54" t="str">
        <f t="shared" si="49"/>
        <v xml:space="preserve">_ </v>
      </c>
      <c r="Y786" s="54" t="str">
        <f t="shared" si="50"/>
        <v xml:space="preserve">-  _ </v>
      </c>
      <c r="Z786" s="132" t="str">
        <f t="shared" si="51"/>
        <v xml:space="preserve">   </v>
      </c>
      <c r="AA786" s="132" t="str">
        <f>IFERROR(VLOOKUP(Y786,TD!$K$46:$L$64,2,0)," ")</f>
        <v xml:space="preserve"> </v>
      </c>
      <c r="AB786" s="57"/>
      <c r="AC786" s="133"/>
    </row>
    <row r="787" spans="2:29" s="28" customFormat="1">
      <c r="B787" s="85"/>
      <c r="C787" s="53"/>
      <c r="D787" s="130"/>
      <c r="E787" s="54"/>
      <c r="F787" s="130"/>
      <c r="G787" s="130"/>
      <c r="H787" s="55"/>
      <c r="I787" s="135"/>
      <c r="J787" s="131"/>
      <c r="K787" s="56"/>
      <c r="L787" s="57"/>
      <c r="M787" s="130"/>
      <c r="N787" s="57"/>
      <c r="O787" s="54"/>
      <c r="P787" s="132" t="str">
        <f>IFERROR(VLOOKUP(C787,TD!$B$32:$F$36,2,0)," ")</f>
        <v xml:space="preserve"> </v>
      </c>
      <c r="Q787" s="132" t="str">
        <f>IFERROR(VLOOKUP(C787,TD!$B$32:$F$36,3,0)," ")</f>
        <v xml:space="preserve"> </v>
      </c>
      <c r="R787" s="132" t="str">
        <f>IFERROR(VLOOKUP(C787,TD!$B$32:$F$36,4,0)," ")</f>
        <v xml:space="preserve"> </v>
      </c>
      <c r="S787" s="54"/>
      <c r="T787" s="132" t="str">
        <f>IFERROR(VLOOKUP(S787,TD!$J$33:$K$43,2,0)," ")</f>
        <v xml:space="preserve"> </v>
      </c>
      <c r="U787" s="54" t="str">
        <f t="shared" si="48"/>
        <v xml:space="preserve">- </v>
      </c>
      <c r="V787" s="54"/>
      <c r="W787" s="132" t="str">
        <f>IFERROR(VLOOKUP(V787,TD!$N$33:$O$45,2,0)," ")</f>
        <v xml:space="preserve"> </v>
      </c>
      <c r="X787" s="54" t="str">
        <f t="shared" si="49"/>
        <v xml:space="preserve">_ </v>
      </c>
      <c r="Y787" s="54" t="str">
        <f t="shared" si="50"/>
        <v xml:space="preserve">-  _ </v>
      </c>
      <c r="Z787" s="132" t="str">
        <f t="shared" si="51"/>
        <v xml:space="preserve">   </v>
      </c>
      <c r="AA787" s="132" t="str">
        <f>IFERROR(VLOOKUP(Y787,TD!$K$46:$L$64,2,0)," ")</f>
        <v xml:space="preserve"> </v>
      </c>
      <c r="AB787" s="57"/>
      <c r="AC787" s="133"/>
    </row>
    <row r="788" spans="2:29" s="28" customFormat="1">
      <c r="B788" s="85"/>
      <c r="C788" s="53"/>
      <c r="D788" s="130"/>
      <c r="E788" s="54"/>
      <c r="F788" s="130"/>
      <c r="G788" s="130"/>
      <c r="H788" s="55"/>
      <c r="I788" s="135"/>
      <c r="J788" s="131"/>
      <c r="K788" s="56"/>
      <c r="L788" s="57"/>
      <c r="M788" s="130"/>
      <c r="N788" s="57"/>
      <c r="O788" s="54"/>
      <c r="P788" s="132" t="str">
        <f>IFERROR(VLOOKUP(C788,TD!$B$32:$F$36,2,0)," ")</f>
        <v xml:space="preserve"> </v>
      </c>
      <c r="Q788" s="132" t="str">
        <f>IFERROR(VLOOKUP(C788,TD!$B$32:$F$36,3,0)," ")</f>
        <v xml:space="preserve"> </v>
      </c>
      <c r="R788" s="132" t="str">
        <f>IFERROR(VLOOKUP(C788,TD!$B$32:$F$36,4,0)," ")</f>
        <v xml:space="preserve"> </v>
      </c>
      <c r="S788" s="54"/>
      <c r="T788" s="132" t="str">
        <f>IFERROR(VLOOKUP(S788,TD!$J$33:$K$43,2,0)," ")</f>
        <v xml:space="preserve"> </v>
      </c>
      <c r="U788" s="54" t="str">
        <f t="shared" si="48"/>
        <v xml:space="preserve">- </v>
      </c>
      <c r="V788" s="54"/>
      <c r="W788" s="132" t="str">
        <f>IFERROR(VLOOKUP(V788,TD!$N$33:$O$45,2,0)," ")</f>
        <v xml:space="preserve"> </v>
      </c>
      <c r="X788" s="54" t="str">
        <f t="shared" si="49"/>
        <v xml:space="preserve">_ </v>
      </c>
      <c r="Y788" s="54" t="str">
        <f t="shared" si="50"/>
        <v xml:space="preserve">-  _ </v>
      </c>
      <c r="Z788" s="132" t="str">
        <f t="shared" si="51"/>
        <v xml:space="preserve">   </v>
      </c>
      <c r="AA788" s="132" t="str">
        <f>IFERROR(VLOOKUP(Y788,TD!$K$46:$L$64,2,0)," ")</f>
        <v xml:space="preserve"> </v>
      </c>
      <c r="AB788" s="57"/>
      <c r="AC788" s="133"/>
    </row>
    <row r="789" spans="2:29" s="28" customFormat="1">
      <c r="B789" s="85"/>
      <c r="C789" s="53"/>
      <c r="D789" s="130"/>
      <c r="E789" s="54"/>
      <c r="F789" s="130"/>
      <c r="G789" s="130"/>
      <c r="H789" s="55"/>
      <c r="I789" s="135"/>
      <c r="J789" s="131"/>
      <c r="K789" s="56"/>
      <c r="L789" s="57"/>
      <c r="M789" s="130"/>
      <c r="N789" s="57"/>
      <c r="O789" s="54"/>
      <c r="P789" s="132" t="str">
        <f>IFERROR(VLOOKUP(C789,TD!$B$32:$F$36,2,0)," ")</f>
        <v xml:space="preserve"> </v>
      </c>
      <c r="Q789" s="132" t="str">
        <f>IFERROR(VLOOKUP(C789,TD!$B$32:$F$36,3,0)," ")</f>
        <v xml:space="preserve"> </v>
      </c>
      <c r="R789" s="132" t="str">
        <f>IFERROR(VLOOKUP(C789,TD!$B$32:$F$36,4,0)," ")</f>
        <v xml:space="preserve"> </v>
      </c>
      <c r="S789" s="54"/>
      <c r="T789" s="132" t="str">
        <f>IFERROR(VLOOKUP(S789,TD!$J$33:$K$43,2,0)," ")</f>
        <v xml:space="preserve"> </v>
      </c>
      <c r="U789" s="54" t="str">
        <f t="shared" si="48"/>
        <v xml:space="preserve">- </v>
      </c>
      <c r="V789" s="54"/>
      <c r="W789" s="132" t="str">
        <f>IFERROR(VLOOKUP(V789,TD!$N$33:$O$45,2,0)," ")</f>
        <v xml:space="preserve"> </v>
      </c>
      <c r="X789" s="54" t="str">
        <f t="shared" si="49"/>
        <v xml:space="preserve">_ </v>
      </c>
      <c r="Y789" s="54" t="str">
        <f t="shared" si="50"/>
        <v xml:space="preserve">-  _ </v>
      </c>
      <c r="Z789" s="132" t="str">
        <f t="shared" si="51"/>
        <v xml:space="preserve">   </v>
      </c>
      <c r="AA789" s="132" t="str">
        <f>IFERROR(VLOOKUP(Y789,TD!$K$46:$L$64,2,0)," ")</f>
        <v xml:space="preserve"> </v>
      </c>
      <c r="AB789" s="57"/>
      <c r="AC789" s="133"/>
    </row>
    <row r="790" spans="2:29" s="28" customFormat="1">
      <c r="B790" s="85"/>
      <c r="C790" s="53"/>
      <c r="D790" s="130"/>
      <c r="E790" s="54"/>
      <c r="F790" s="130"/>
      <c r="G790" s="130"/>
      <c r="H790" s="55"/>
      <c r="I790" s="135"/>
      <c r="J790" s="131"/>
      <c r="K790" s="56"/>
      <c r="L790" s="57"/>
      <c r="M790" s="130"/>
      <c r="N790" s="57"/>
      <c r="O790" s="54"/>
      <c r="P790" s="132" t="str">
        <f>IFERROR(VLOOKUP(C790,TD!$B$32:$F$36,2,0)," ")</f>
        <v xml:space="preserve"> </v>
      </c>
      <c r="Q790" s="132" t="str">
        <f>IFERROR(VLOOKUP(C790,TD!$B$32:$F$36,3,0)," ")</f>
        <v xml:space="preserve"> </v>
      </c>
      <c r="R790" s="132" t="str">
        <f>IFERROR(VLOOKUP(C790,TD!$B$32:$F$36,4,0)," ")</f>
        <v xml:space="preserve"> </v>
      </c>
      <c r="S790" s="54"/>
      <c r="T790" s="132" t="str">
        <f>IFERROR(VLOOKUP(S790,TD!$J$33:$K$43,2,0)," ")</f>
        <v xml:space="preserve"> </v>
      </c>
      <c r="U790" s="54" t="str">
        <f t="shared" si="48"/>
        <v xml:space="preserve">- </v>
      </c>
      <c r="V790" s="54"/>
      <c r="W790" s="132" t="str">
        <f>IFERROR(VLOOKUP(V790,TD!$N$33:$O$45,2,0)," ")</f>
        <v xml:space="preserve"> </v>
      </c>
      <c r="X790" s="54" t="str">
        <f t="shared" si="49"/>
        <v xml:space="preserve">_ </v>
      </c>
      <c r="Y790" s="54" t="str">
        <f t="shared" si="50"/>
        <v xml:space="preserve">-  _ </v>
      </c>
      <c r="Z790" s="132" t="str">
        <f t="shared" si="51"/>
        <v xml:space="preserve">   </v>
      </c>
      <c r="AA790" s="132" t="str">
        <f>IFERROR(VLOOKUP(Y790,TD!$K$46:$L$64,2,0)," ")</f>
        <v xml:space="preserve"> </v>
      </c>
      <c r="AB790" s="57"/>
      <c r="AC790" s="133"/>
    </row>
    <row r="791" spans="2:29" s="28" customFormat="1">
      <c r="B791" s="85"/>
      <c r="C791" s="53"/>
      <c r="D791" s="130"/>
      <c r="E791" s="54"/>
      <c r="F791" s="130"/>
      <c r="G791" s="130"/>
      <c r="H791" s="55"/>
      <c r="I791" s="135"/>
      <c r="J791" s="131"/>
      <c r="K791" s="56"/>
      <c r="L791" s="57"/>
      <c r="M791" s="130"/>
      <c r="N791" s="57"/>
      <c r="O791" s="54"/>
      <c r="P791" s="132" t="str">
        <f>IFERROR(VLOOKUP(C791,TD!$B$32:$F$36,2,0)," ")</f>
        <v xml:space="preserve"> </v>
      </c>
      <c r="Q791" s="132" t="str">
        <f>IFERROR(VLOOKUP(C791,TD!$B$32:$F$36,3,0)," ")</f>
        <v xml:space="preserve"> </v>
      </c>
      <c r="R791" s="132" t="str">
        <f>IFERROR(VLOOKUP(C791,TD!$B$32:$F$36,4,0)," ")</f>
        <v xml:space="preserve"> </v>
      </c>
      <c r="S791" s="54"/>
      <c r="T791" s="132" t="str">
        <f>IFERROR(VLOOKUP(S791,TD!$J$33:$K$43,2,0)," ")</f>
        <v xml:space="preserve"> </v>
      </c>
      <c r="U791" s="54" t="str">
        <f t="shared" si="48"/>
        <v xml:space="preserve">- </v>
      </c>
      <c r="V791" s="54"/>
      <c r="W791" s="132" t="str">
        <f>IFERROR(VLOOKUP(V791,TD!$N$33:$O$45,2,0)," ")</f>
        <v xml:space="preserve"> </v>
      </c>
      <c r="X791" s="54" t="str">
        <f t="shared" si="49"/>
        <v xml:space="preserve">_ </v>
      </c>
      <c r="Y791" s="54" t="str">
        <f t="shared" si="50"/>
        <v xml:space="preserve">-  _ </v>
      </c>
      <c r="Z791" s="132" t="str">
        <f t="shared" si="51"/>
        <v xml:space="preserve">   </v>
      </c>
      <c r="AA791" s="132" t="str">
        <f>IFERROR(VLOOKUP(Y791,TD!$K$46:$L$64,2,0)," ")</f>
        <v xml:space="preserve"> </v>
      </c>
      <c r="AB791" s="57"/>
      <c r="AC791" s="133"/>
    </row>
    <row r="792" spans="2:29" s="28" customFormat="1">
      <c r="B792" s="85"/>
      <c r="C792" s="53"/>
      <c r="D792" s="130"/>
      <c r="E792" s="54"/>
      <c r="F792" s="130"/>
      <c r="G792" s="130"/>
      <c r="H792" s="55"/>
      <c r="I792" s="135"/>
      <c r="J792" s="131"/>
      <c r="K792" s="56"/>
      <c r="L792" s="57"/>
      <c r="M792" s="130"/>
      <c r="N792" s="57"/>
      <c r="O792" s="54"/>
      <c r="P792" s="132" t="str">
        <f>IFERROR(VLOOKUP(C792,TD!$B$32:$F$36,2,0)," ")</f>
        <v xml:space="preserve"> </v>
      </c>
      <c r="Q792" s="132" t="str">
        <f>IFERROR(VLOOKUP(C792,TD!$B$32:$F$36,3,0)," ")</f>
        <v xml:space="preserve"> </v>
      </c>
      <c r="R792" s="132" t="str">
        <f>IFERROR(VLOOKUP(C792,TD!$B$32:$F$36,4,0)," ")</f>
        <v xml:space="preserve"> </v>
      </c>
      <c r="S792" s="54"/>
      <c r="T792" s="132" t="str">
        <f>IFERROR(VLOOKUP(S792,TD!$J$33:$K$43,2,0)," ")</f>
        <v xml:space="preserve"> </v>
      </c>
      <c r="U792" s="54" t="str">
        <f t="shared" si="48"/>
        <v xml:space="preserve">- </v>
      </c>
      <c r="V792" s="54"/>
      <c r="W792" s="132" t="str">
        <f>IFERROR(VLOOKUP(V792,TD!$N$33:$O$45,2,0)," ")</f>
        <v xml:space="preserve"> </v>
      </c>
      <c r="X792" s="54" t="str">
        <f t="shared" si="49"/>
        <v xml:space="preserve">_ </v>
      </c>
      <c r="Y792" s="54" t="str">
        <f t="shared" si="50"/>
        <v xml:space="preserve">-  _ </v>
      </c>
      <c r="Z792" s="132" t="str">
        <f t="shared" si="51"/>
        <v xml:space="preserve">   </v>
      </c>
      <c r="AA792" s="132" t="str">
        <f>IFERROR(VLOOKUP(Y792,TD!$K$46:$L$64,2,0)," ")</f>
        <v xml:space="preserve"> </v>
      </c>
      <c r="AB792" s="57"/>
      <c r="AC792" s="133"/>
    </row>
    <row r="793" spans="2:29" s="28" customFormat="1">
      <c r="B793" s="85"/>
      <c r="C793" s="53"/>
      <c r="D793" s="130"/>
      <c r="E793" s="54"/>
      <c r="F793" s="130"/>
      <c r="G793" s="130"/>
      <c r="H793" s="55"/>
      <c r="I793" s="135"/>
      <c r="J793" s="131"/>
      <c r="K793" s="56"/>
      <c r="L793" s="57"/>
      <c r="M793" s="130"/>
      <c r="N793" s="57"/>
      <c r="O793" s="54"/>
      <c r="P793" s="132" t="str">
        <f>IFERROR(VLOOKUP(C793,TD!$B$32:$F$36,2,0)," ")</f>
        <v xml:space="preserve"> </v>
      </c>
      <c r="Q793" s="132" t="str">
        <f>IFERROR(VLOOKUP(C793,TD!$B$32:$F$36,3,0)," ")</f>
        <v xml:space="preserve"> </v>
      </c>
      <c r="R793" s="132" t="str">
        <f>IFERROR(VLOOKUP(C793,TD!$B$32:$F$36,4,0)," ")</f>
        <v xml:space="preserve"> </v>
      </c>
      <c r="S793" s="54"/>
      <c r="T793" s="132" t="str">
        <f>IFERROR(VLOOKUP(S793,TD!$J$33:$K$43,2,0)," ")</f>
        <v xml:space="preserve"> </v>
      </c>
      <c r="U793" s="54" t="str">
        <f t="shared" si="48"/>
        <v xml:space="preserve">- </v>
      </c>
      <c r="V793" s="54"/>
      <c r="W793" s="132" t="str">
        <f>IFERROR(VLOOKUP(V793,TD!$N$33:$O$45,2,0)," ")</f>
        <v xml:space="preserve"> </v>
      </c>
      <c r="X793" s="54" t="str">
        <f t="shared" si="49"/>
        <v xml:space="preserve">_ </v>
      </c>
      <c r="Y793" s="54" t="str">
        <f t="shared" si="50"/>
        <v xml:space="preserve">-  _ </v>
      </c>
      <c r="Z793" s="132" t="str">
        <f t="shared" si="51"/>
        <v xml:space="preserve">   </v>
      </c>
      <c r="AA793" s="132" t="str">
        <f>IFERROR(VLOOKUP(Y793,TD!$K$46:$L$64,2,0)," ")</f>
        <v xml:space="preserve"> </v>
      </c>
      <c r="AB793" s="57"/>
      <c r="AC793" s="133"/>
    </row>
    <row r="794" spans="2:29" s="28" customFormat="1">
      <c r="B794" s="85"/>
      <c r="C794" s="53"/>
      <c r="D794" s="130"/>
      <c r="E794" s="54"/>
      <c r="F794" s="130"/>
      <c r="G794" s="130"/>
      <c r="H794" s="55"/>
      <c r="I794" s="135"/>
      <c r="J794" s="131"/>
      <c r="K794" s="56"/>
      <c r="L794" s="57"/>
      <c r="M794" s="130"/>
      <c r="N794" s="57"/>
      <c r="O794" s="54"/>
      <c r="P794" s="132" t="str">
        <f>IFERROR(VLOOKUP(C794,TD!$B$32:$F$36,2,0)," ")</f>
        <v xml:space="preserve"> </v>
      </c>
      <c r="Q794" s="132" t="str">
        <f>IFERROR(VLOOKUP(C794,TD!$B$32:$F$36,3,0)," ")</f>
        <v xml:space="preserve"> </v>
      </c>
      <c r="R794" s="132" t="str">
        <f>IFERROR(VLOOKUP(C794,TD!$B$32:$F$36,4,0)," ")</f>
        <v xml:space="preserve"> </v>
      </c>
      <c r="S794" s="54"/>
      <c r="T794" s="132" t="str">
        <f>IFERROR(VLOOKUP(S794,TD!$J$33:$K$43,2,0)," ")</f>
        <v xml:space="preserve"> </v>
      </c>
      <c r="U794" s="54" t="str">
        <f t="shared" si="48"/>
        <v xml:space="preserve">- </v>
      </c>
      <c r="V794" s="54"/>
      <c r="W794" s="132" t="str">
        <f>IFERROR(VLOOKUP(V794,TD!$N$33:$O$45,2,0)," ")</f>
        <v xml:space="preserve"> </v>
      </c>
      <c r="X794" s="54" t="str">
        <f t="shared" si="49"/>
        <v xml:space="preserve">_ </v>
      </c>
      <c r="Y794" s="54" t="str">
        <f t="shared" si="50"/>
        <v xml:space="preserve">-  _ </v>
      </c>
      <c r="Z794" s="132" t="str">
        <f t="shared" si="51"/>
        <v xml:space="preserve">   </v>
      </c>
      <c r="AA794" s="132" t="str">
        <f>IFERROR(VLOOKUP(Y794,TD!$K$46:$L$64,2,0)," ")</f>
        <v xml:space="preserve"> </v>
      </c>
      <c r="AB794" s="57"/>
      <c r="AC794" s="133"/>
    </row>
    <row r="795" spans="2:29" s="28" customFormat="1">
      <c r="B795" s="85"/>
      <c r="C795" s="53"/>
      <c r="D795" s="130"/>
      <c r="E795" s="54"/>
      <c r="F795" s="130"/>
      <c r="G795" s="130"/>
      <c r="H795" s="55"/>
      <c r="I795" s="135"/>
      <c r="J795" s="131"/>
      <c r="K795" s="56"/>
      <c r="L795" s="57"/>
      <c r="M795" s="130"/>
      <c r="N795" s="57"/>
      <c r="O795" s="54"/>
      <c r="P795" s="132" t="str">
        <f>IFERROR(VLOOKUP(C795,TD!$B$32:$F$36,2,0)," ")</f>
        <v xml:space="preserve"> </v>
      </c>
      <c r="Q795" s="132" t="str">
        <f>IFERROR(VLOOKUP(C795,TD!$B$32:$F$36,3,0)," ")</f>
        <v xml:space="preserve"> </v>
      </c>
      <c r="R795" s="132" t="str">
        <f>IFERROR(VLOOKUP(C795,TD!$B$32:$F$36,4,0)," ")</f>
        <v xml:space="preserve"> </v>
      </c>
      <c r="S795" s="54"/>
      <c r="T795" s="132" t="str">
        <f>IFERROR(VLOOKUP(S795,TD!$J$33:$K$43,2,0)," ")</f>
        <v xml:space="preserve"> </v>
      </c>
      <c r="U795" s="54" t="str">
        <f t="shared" si="48"/>
        <v xml:space="preserve">- </v>
      </c>
      <c r="V795" s="54"/>
      <c r="W795" s="132" t="str">
        <f>IFERROR(VLOOKUP(V795,TD!$N$33:$O$45,2,0)," ")</f>
        <v xml:space="preserve"> </v>
      </c>
      <c r="X795" s="54" t="str">
        <f t="shared" si="49"/>
        <v xml:space="preserve">_ </v>
      </c>
      <c r="Y795" s="54" t="str">
        <f t="shared" si="50"/>
        <v xml:space="preserve">-  _ </v>
      </c>
      <c r="Z795" s="132" t="str">
        <f t="shared" si="51"/>
        <v xml:space="preserve">   </v>
      </c>
      <c r="AA795" s="132" t="str">
        <f>IFERROR(VLOOKUP(Y795,TD!$K$46:$L$64,2,0)," ")</f>
        <v xml:space="preserve"> </v>
      </c>
      <c r="AB795" s="57"/>
      <c r="AC795" s="133"/>
    </row>
    <row r="796" spans="2:29" s="28" customFormat="1">
      <c r="B796" s="85"/>
      <c r="C796" s="53"/>
      <c r="D796" s="130"/>
      <c r="E796" s="54"/>
      <c r="F796" s="130"/>
      <c r="G796" s="130"/>
      <c r="H796" s="55"/>
      <c r="I796" s="135"/>
      <c r="J796" s="131"/>
      <c r="K796" s="56"/>
      <c r="L796" s="57"/>
      <c r="M796" s="130"/>
      <c r="N796" s="57"/>
      <c r="O796" s="54"/>
      <c r="P796" s="132" t="str">
        <f>IFERROR(VLOOKUP(C796,TD!$B$32:$F$36,2,0)," ")</f>
        <v xml:space="preserve"> </v>
      </c>
      <c r="Q796" s="132" t="str">
        <f>IFERROR(VLOOKUP(C796,TD!$B$32:$F$36,3,0)," ")</f>
        <v xml:space="preserve"> </v>
      </c>
      <c r="R796" s="132" t="str">
        <f>IFERROR(VLOOKUP(C796,TD!$B$32:$F$36,4,0)," ")</f>
        <v xml:space="preserve"> </v>
      </c>
      <c r="S796" s="54"/>
      <c r="T796" s="132" t="str">
        <f>IFERROR(VLOOKUP(S796,TD!$J$33:$K$43,2,0)," ")</f>
        <v xml:space="preserve"> </v>
      </c>
      <c r="U796" s="54" t="str">
        <f t="shared" si="48"/>
        <v xml:space="preserve">- </v>
      </c>
      <c r="V796" s="54"/>
      <c r="W796" s="132" t="str">
        <f>IFERROR(VLOOKUP(V796,TD!$N$33:$O$45,2,0)," ")</f>
        <v xml:space="preserve"> </v>
      </c>
      <c r="X796" s="54" t="str">
        <f t="shared" si="49"/>
        <v xml:space="preserve">_ </v>
      </c>
      <c r="Y796" s="54" t="str">
        <f t="shared" si="50"/>
        <v xml:space="preserve">-  _ </v>
      </c>
      <c r="Z796" s="132" t="str">
        <f t="shared" si="51"/>
        <v xml:space="preserve">   </v>
      </c>
      <c r="AA796" s="132" t="str">
        <f>IFERROR(VLOOKUP(Y796,TD!$K$46:$L$64,2,0)," ")</f>
        <v xml:space="preserve"> </v>
      </c>
      <c r="AB796" s="57"/>
      <c r="AC796" s="133"/>
    </row>
    <row r="797" spans="2:29" s="28" customFormat="1">
      <c r="B797" s="85"/>
      <c r="C797" s="53"/>
      <c r="D797" s="130"/>
      <c r="E797" s="54"/>
      <c r="F797" s="130"/>
      <c r="G797" s="130"/>
      <c r="H797" s="55"/>
      <c r="I797" s="135"/>
      <c r="J797" s="131"/>
      <c r="K797" s="56"/>
      <c r="L797" s="57"/>
      <c r="M797" s="130"/>
      <c r="N797" s="57"/>
      <c r="O797" s="54"/>
      <c r="P797" s="132" t="str">
        <f>IFERROR(VLOOKUP(C797,TD!$B$32:$F$36,2,0)," ")</f>
        <v xml:space="preserve"> </v>
      </c>
      <c r="Q797" s="132" t="str">
        <f>IFERROR(VLOOKUP(C797,TD!$B$32:$F$36,3,0)," ")</f>
        <v xml:space="preserve"> </v>
      </c>
      <c r="R797" s="132" t="str">
        <f>IFERROR(VLOOKUP(C797,TD!$B$32:$F$36,4,0)," ")</f>
        <v xml:space="preserve"> </v>
      </c>
      <c r="S797" s="54"/>
      <c r="T797" s="132" t="str">
        <f>IFERROR(VLOOKUP(S797,TD!$J$33:$K$43,2,0)," ")</f>
        <v xml:space="preserve"> </v>
      </c>
      <c r="U797" s="54" t="str">
        <f t="shared" si="48"/>
        <v xml:space="preserve">- </v>
      </c>
      <c r="V797" s="54"/>
      <c r="W797" s="132" t="str">
        <f>IFERROR(VLOOKUP(V797,TD!$N$33:$O$45,2,0)," ")</f>
        <v xml:space="preserve"> </v>
      </c>
      <c r="X797" s="54" t="str">
        <f t="shared" si="49"/>
        <v xml:space="preserve">_ </v>
      </c>
      <c r="Y797" s="54" t="str">
        <f t="shared" si="50"/>
        <v xml:space="preserve">-  _ </v>
      </c>
      <c r="Z797" s="132" t="str">
        <f t="shared" si="51"/>
        <v xml:space="preserve">   </v>
      </c>
      <c r="AA797" s="132" t="str">
        <f>IFERROR(VLOOKUP(Y797,TD!$K$46:$L$64,2,0)," ")</f>
        <v xml:space="preserve"> </v>
      </c>
      <c r="AB797" s="57"/>
      <c r="AC797" s="133"/>
    </row>
    <row r="798" spans="2:29" s="28" customFormat="1">
      <c r="B798" s="85"/>
      <c r="C798" s="53"/>
      <c r="D798" s="130"/>
      <c r="E798" s="54"/>
      <c r="F798" s="130"/>
      <c r="G798" s="130"/>
      <c r="H798" s="55"/>
      <c r="I798" s="135"/>
      <c r="J798" s="131"/>
      <c r="K798" s="56"/>
      <c r="L798" s="57"/>
      <c r="M798" s="130"/>
      <c r="N798" s="57"/>
      <c r="O798" s="54"/>
      <c r="P798" s="132" t="str">
        <f>IFERROR(VLOOKUP(C798,TD!$B$32:$F$36,2,0)," ")</f>
        <v xml:space="preserve"> </v>
      </c>
      <c r="Q798" s="132" t="str">
        <f>IFERROR(VLOOKUP(C798,TD!$B$32:$F$36,3,0)," ")</f>
        <v xml:space="preserve"> </v>
      </c>
      <c r="R798" s="132" t="str">
        <f>IFERROR(VLOOKUP(C798,TD!$B$32:$F$36,4,0)," ")</f>
        <v xml:space="preserve"> </v>
      </c>
      <c r="S798" s="54"/>
      <c r="T798" s="132" t="str">
        <f>IFERROR(VLOOKUP(S798,TD!$J$33:$K$43,2,0)," ")</f>
        <v xml:space="preserve"> </v>
      </c>
      <c r="U798" s="54" t="str">
        <f t="shared" si="48"/>
        <v xml:space="preserve">- </v>
      </c>
      <c r="V798" s="54"/>
      <c r="W798" s="132" t="str">
        <f>IFERROR(VLOOKUP(V798,TD!$N$33:$O$45,2,0)," ")</f>
        <v xml:space="preserve"> </v>
      </c>
      <c r="X798" s="54" t="str">
        <f t="shared" si="49"/>
        <v xml:space="preserve">_ </v>
      </c>
      <c r="Y798" s="54" t="str">
        <f t="shared" si="50"/>
        <v xml:space="preserve">-  _ </v>
      </c>
      <c r="Z798" s="132" t="str">
        <f t="shared" si="51"/>
        <v xml:space="preserve">   </v>
      </c>
      <c r="AA798" s="132" t="str">
        <f>IFERROR(VLOOKUP(Y798,TD!$K$46:$L$64,2,0)," ")</f>
        <v xml:space="preserve"> </v>
      </c>
      <c r="AB798" s="57"/>
      <c r="AC798" s="133"/>
    </row>
    <row r="799" spans="2:29" s="28" customFormat="1">
      <c r="B799" s="85"/>
      <c r="C799" s="53"/>
      <c r="D799" s="130"/>
      <c r="E799" s="54"/>
      <c r="F799" s="130"/>
      <c r="G799" s="130"/>
      <c r="H799" s="55"/>
      <c r="I799" s="135"/>
      <c r="J799" s="131"/>
      <c r="K799" s="56"/>
      <c r="L799" s="57"/>
      <c r="M799" s="130"/>
      <c r="N799" s="57"/>
      <c r="O799" s="54"/>
      <c r="P799" s="132" t="str">
        <f>IFERROR(VLOOKUP(C799,TD!$B$32:$F$36,2,0)," ")</f>
        <v xml:space="preserve"> </v>
      </c>
      <c r="Q799" s="132" t="str">
        <f>IFERROR(VLOOKUP(C799,TD!$B$32:$F$36,3,0)," ")</f>
        <v xml:space="preserve"> </v>
      </c>
      <c r="R799" s="132" t="str">
        <f>IFERROR(VLOOKUP(C799,TD!$B$32:$F$36,4,0)," ")</f>
        <v xml:space="preserve"> </v>
      </c>
      <c r="S799" s="54"/>
      <c r="T799" s="132" t="str">
        <f>IFERROR(VLOOKUP(S799,TD!$J$33:$K$43,2,0)," ")</f>
        <v xml:space="preserve"> </v>
      </c>
      <c r="U799" s="54" t="str">
        <f t="shared" si="48"/>
        <v xml:space="preserve">- </v>
      </c>
      <c r="V799" s="54"/>
      <c r="W799" s="132" t="str">
        <f>IFERROR(VLOOKUP(V799,TD!$N$33:$O$45,2,0)," ")</f>
        <v xml:space="preserve"> </v>
      </c>
      <c r="X799" s="54" t="str">
        <f t="shared" si="49"/>
        <v xml:space="preserve">_ </v>
      </c>
      <c r="Y799" s="54" t="str">
        <f t="shared" si="50"/>
        <v xml:space="preserve">-  _ </v>
      </c>
      <c r="Z799" s="132" t="str">
        <f t="shared" si="51"/>
        <v xml:space="preserve">   </v>
      </c>
      <c r="AA799" s="132" t="str">
        <f>IFERROR(VLOOKUP(Y799,TD!$K$46:$L$64,2,0)," ")</f>
        <v xml:space="preserve"> </v>
      </c>
      <c r="AB799" s="57"/>
      <c r="AC799" s="133"/>
    </row>
    <row r="800" spans="2:29" s="28" customFormat="1">
      <c r="B800" s="85"/>
      <c r="C800" s="53"/>
      <c r="D800" s="130"/>
      <c r="E800" s="54"/>
      <c r="F800" s="130"/>
      <c r="G800" s="130"/>
      <c r="H800" s="55"/>
      <c r="I800" s="135"/>
      <c r="J800" s="131"/>
      <c r="K800" s="56"/>
      <c r="L800" s="57"/>
      <c r="M800" s="130"/>
      <c r="N800" s="57"/>
      <c r="O800" s="54"/>
      <c r="P800" s="132" t="str">
        <f>IFERROR(VLOOKUP(C800,TD!$B$32:$F$36,2,0)," ")</f>
        <v xml:space="preserve"> </v>
      </c>
      <c r="Q800" s="132" t="str">
        <f>IFERROR(VLOOKUP(C800,TD!$B$32:$F$36,3,0)," ")</f>
        <v xml:space="preserve"> </v>
      </c>
      <c r="R800" s="132" t="str">
        <f>IFERROR(VLOOKUP(C800,TD!$B$32:$F$36,4,0)," ")</f>
        <v xml:space="preserve"> </v>
      </c>
      <c r="S800" s="54"/>
      <c r="T800" s="132" t="str">
        <f>IFERROR(VLOOKUP(S800,TD!$J$33:$K$43,2,0)," ")</f>
        <v xml:space="preserve"> </v>
      </c>
      <c r="U800" s="54" t="str">
        <f t="shared" si="48"/>
        <v xml:space="preserve">- </v>
      </c>
      <c r="V800" s="54"/>
      <c r="W800" s="132" t="str">
        <f>IFERROR(VLOOKUP(V800,TD!$N$33:$O$45,2,0)," ")</f>
        <v xml:space="preserve"> </v>
      </c>
      <c r="X800" s="54" t="str">
        <f t="shared" si="49"/>
        <v xml:space="preserve">_ </v>
      </c>
      <c r="Y800" s="54" t="str">
        <f t="shared" si="50"/>
        <v xml:space="preserve">-  _ </v>
      </c>
      <c r="Z800" s="132" t="str">
        <f t="shared" si="51"/>
        <v xml:space="preserve">   </v>
      </c>
      <c r="AA800" s="132" t="str">
        <f>IFERROR(VLOOKUP(Y800,TD!$K$46:$L$64,2,0)," ")</f>
        <v xml:space="preserve"> </v>
      </c>
      <c r="AB800" s="57"/>
      <c r="AC800" s="133"/>
    </row>
    <row r="801" spans="2:29" s="28" customFormat="1">
      <c r="B801" s="85"/>
      <c r="C801" s="53"/>
      <c r="D801" s="130"/>
      <c r="E801" s="54"/>
      <c r="F801" s="130"/>
      <c r="G801" s="130"/>
      <c r="H801" s="55"/>
      <c r="I801" s="135"/>
      <c r="J801" s="131"/>
      <c r="K801" s="56"/>
      <c r="L801" s="57"/>
      <c r="M801" s="130"/>
      <c r="N801" s="57"/>
      <c r="O801" s="54"/>
      <c r="P801" s="132" t="str">
        <f>IFERROR(VLOOKUP(C801,TD!$B$32:$F$36,2,0)," ")</f>
        <v xml:space="preserve"> </v>
      </c>
      <c r="Q801" s="132" t="str">
        <f>IFERROR(VLOOKUP(C801,TD!$B$32:$F$36,3,0)," ")</f>
        <v xml:space="preserve"> </v>
      </c>
      <c r="R801" s="132" t="str">
        <f>IFERROR(VLOOKUP(C801,TD!$B$32:$F$36,4,0)," ")</f>
        <v xml:space="preserve"> </v>
      </c>
      <c r="S801" s="54"/>
      <c r="T801" s="132" t="str">
        <f>IFERROR(VLOOKUP(S801,TD!$J$33:$K$43,2,0)," ")</f>
        <v xml:space="preserve"> </v>
      </c>
      <c r="U801" s="54" t="str">
        <f t="shared" si="48"/>
        <v xml:space="preserve">- </v>
      </c>
      <c r="V801" s="54"/>
      <c r="W801" s="132" t="str">
        <f>IFERROR(VLOOKUP(V801,TD!$N$33:$O$45,2,0)," ")</f>
        <v xml:space="preserve"> </v>
      </c>
      <c r="X801" s="54" t="str">
        <f t="shared" si="49"/>
        <v xml:space="preserve">_ </v>
      </c>
      <c r="Y801" s="54" t="str">
        <f t="shared" si="50"/>
        <v xml:space="preserve">-  _ </v>
      </c>
      <c r="Z801" s="132" t="str">
        <f t="shared" si="51"/>
        <v xml:space="preserve">   </v>
      </c>
      <c r="AA801" s="132" t="str">
        <f>IFERROR(VLOOKUP(Y801,TD!$K$46:$L$64,2,0)," ")</f>
        <v xml:space="preserve"> </v>
      </c>
      <c r="AB801" s="57"/>
      <c r="AC801" s="133"/>
    </row>
    <row r="802" spans="2:29" s="28" customFormat="1">
      <c r="B802" s="85"/>
      <c r="C802" s="53"/>
      <c r="D802" s="130"/>
      <c r="E802" s="54"/>
      <c r="F802" s="130"/>
      <c r="G802" s="130"/>
      <c r="H802" s="55"/>
      <c r="I802" s="135"/>
      <c r="J802" s="131"/>
      <c r="K802" s="56"/>
      <c r="L802" s="57"/>
      <c r="M802" s="130"/>
      <c r="N802" s="57"/>
      <c r="O802" s="54"/>
      <c r="P802" s="132" t="str">
        <f>IFERROR(VLOOKUP(C802,TD!$B$32:$F$36,2,0)," ")</f>
        <v xml:space="preserve"> </v>
      </c>
      <c r="Q802" s="132" t="str">
        <f>IFERROR(VLOOKUP(C802,TD!$B$32:$F$36,3,0)," ")</f>
        <v xml:space="preserve"> </v>
      </c>
      <c r="R802" s="132" t="str">
        <f>IFERROR(VLOOKUP(C802,TD!$B$32:$F$36,4,0)," ")</f>
        <v xml:space="preserve"> </v>
      </c>
      <c r="S802" s="54"/>
      <c r="T802" s="132" t="str">
        <f>IFERROR(VLOOKUP(S802,TD!$J$33:$K$43,2,0)," ")</f>
        <v xml:space="preserve"> </v>
      </c>
      <c r="U802" s="54" t="str">
        <f t="shared" si="48"/>
        <v xml:space="preserve">- </v>
      </c>
      <c r="V802" s="54"/>
      <c r="W802" s="132" t="str">
        <f>IFERROR(VLOOKUP(V802,TD!$N$33:$O$45,2,0)," ")</f>
        <v xml:space="preserve"> </v>
      </c>
      <c r="X802" s="54" t="str">
        <f t="shared" si="49"/>
        <v xml:space="preserve">_ </v>
      </c>
      <c r="Y802" s="54" t="str">
        <f t="shared" si="50"/>
        <v xml:space="preserve">-  _ </v>
      </c>
      <c r="Z802" s="132" t="str">
        <f t="shared" si="51"/>
        <v xml:space="preserve">   </v>
      </c>
      <c r="AA802" s="132" t="str">
        <f>IFERROR(VLOOKUP(Y802,TD!$K$46:$L$64,2,0)," ")</f>
        <v xml:space="preserve"> </v>
      </c>
      <c r="AB802" s="57"/>
      <c r="AC802" s="133"/>
    </row>
    <row r="803" spans="2:29" s="28" customFormat="1">
      <c r="B803" s="85"/>
      <c r="C803" s="53"/>
      <c r="D803" s="130"/>
      <c r="E803" s="54"/>
      <c r="F803" s="130"/>
      <c r="G803" s="130"/>
      <c r="H803" s="55"/>
      <c r="I803" s="135"/>
      <c r="J803" s="131"/>
      <c r="K803" s="56"/>
      <c r="L803" s="57"/>
      <c r="M803" s="130"/>
      <c r="N803" s="57"/>
      <c r="O803" s="54"/>
      <c r="P803" s="132" t="str">
        <f>IFERROR(VLOOKUP(C803,TD!$B$32:$F$36,2,0)," ")</f>
        <v xml:space="preserve"> </v>
      </c>
      <c r="Q803" s="132" t="str">
        <f>IFERROR(VLOOKUP(C803,TD!$B$32:$F$36,3,0)," ")</f>
        <v xml:space="preserve"> </v>
      </c>
      <c r="R803" s="132" t="str">
        <f>IFERROR(VLOOKUP(C803,TD!$B$32:$F$36,4,0)," ")</f>
        <v xml:space="preserve"> </v>
      </c>
      <c r="S803" s="54"/>
      <c r="T803" s="132" t="str">
        <f>IFERROR(VLOOKUP(S803,TD!$J$33:$K$43,2,0)," ")</f>
        <v xml:space="preserve"> </v>
      </c>
      <c r="U803" s="54" t="str">
        <f t="shared" si="48"/>
        <v xml:space="preserve">- </v>
      </c>
      <c r="V803" s="54"/>
      <c r="W803" s="132" t="str">
        <f>IFERROR(VLOOKUP(V803,TD!$N$33:$O$45,2,0)," ")</f>
        <v xml:space="preserve"> </v>
      </c>
      <c r="X803" s="54" t="str">
        <f t="shared" si="49"/>
        <v xml:space="preserve">_ </v>
      </c>
      <c r="Y803" s="54" t="str">
        <f t="shared" si="50"/>
        <v xml:space="preserve">-  _ </v>
      </c>
      <c r="Z803" s="132" t="str">
        <f t="shared" si="51"/>
        <v xml:space="preserve">   </v>
      </c>
      <c r="AA803" s="132" t="str">
        <f>IFERROR(VLOOKUP(Y803,TD!$K$46:$L$64,2,0)," ")</f>
        <v xml:space="preserve"> </v>
      </c>
      <c r="AB803" s="57"/>
      <c r="AC803" s="133"/>
    </row>
    <row r="804" spans="2:29" s="28" customFormat="1">
      <c r="B804" s="85"/>
      <c r="C804" s="53"/>
      <c r="D804" s="130"/>
      <c r="E804" s="54"/>
      <c r="F804" s="130"/>
      <c r="G804" s="130"/>
      <c r="H804" s="55"/>
      <c r="I804" s="135"/>
      <c r="J804" s="131"/>
      <c r="K804" s="56"/>
      <c r="L804" s="57"/>
      <c r="M804" s="130"/>
      <c r="N804" s="57"/>
      <c r="O804" s="54"/>
      <c r="P804" s="132" t="str">
        <f>IFERROR(VLOOKUP(C804,TD!$B$32:$F$36,2,0)," ")</f>
        <v xml:space="preserve"> </v>
      </c>
      <c r="Q804" s="132" t="str">
        <f>IFERROR(VLOOKUP(C804,TD!$B$32:$F$36,3,0)," ")</f>
        <v xml:space="preserve"> </v>
      </c>
      <c r="R804" s="132" t="str">
        <f>IFERROR(VLOOKUP(C804,TD!$B$32:$F$36,4,0)," ")</f>
        <v xml:space="preserve"> </v>
      </c>
      <c r="S804" s="54"/>
      <c r="T804" s="132" t="str">
        <f>IFERROR(VLOOKUP(S804,TD!$J$33:$K$43,2,0)," ")</f>
        <v xml:space="preserve"> </v>
      </c>
      <c r="U804" s="54" t="str">
        <f t="shared" si="48"/>
        <v xml:space="preserve">- </v>
      </c>
      <c r="V804" s="54"/>
      <c r="W804" s="132" t="str">
        <f>IFERROR(VLOOKUP(V804,TD!$N$33:$O$45,2,0)," ")</f>
        <v xml:space="preserve"> </v>
      </c>
      <c r="X804" s="54" t="str">
        <f t="shared" si="49"/>
        <v xml:space="preserve">_ </v>
      </c>
      <c r="Y804" s="54" t="str">
        <f t="shared" si="50"/>
        <v xml:space="preserve">-  _ </v>
      </c>
      <c r="Z804" s="132" t="str">
        <f t="shared" si="51"/>
        <v xml:space="preserve">   </v>
      </c>
      <c r="AA804" s="132" t="str">
        <f>IFERROR(VLOOKUP(Y804,TD!$K$46:$L$64,2,0)," ")</f>
        <v xml:space="preserve"> </v>
      </c>
      <c r="AB804" s="57"/>
      <c r="AC804" s="133"/>
    </row>
    <row r="805" spans="2:29" s="28" customFormat="1">
      <c r="B805" s="85"/>
      <c r="C805" s="53"/>
      <c r="D805" s="130"/>
      <c r="E805" s="54"/>
      <c r="F805" s="130"/>
      <c r="G805" s="130"/>
      <c r="H805" s="55"/>
      <c r="I805" s="135"/>
      <c r="J805" s="131"/>
      <c r="K805" s="56"/>
      <c r="L805" s="57"/>
      <c r="M805" s="130"/>
      <c r="N805" s="57"/>
      <c r="O805" s="54"/>
      <c r="P805" s="132" t="str">
        <f>IFERROR(VLOOKUP(C805,TD!$B$32:$F$36,2,0)," ")</f>
        <v xml:space="preserve"> </v>
      </c>
      <c r="Q805" s="132" t="str">
        <f>IFERROR(VLOOKUP(C805,TD!$B$32:$F$36,3,0)," ")</f>
        <v xml:space="preserve"> </v>
      </c>
      <c r="R805" s="132" t="str">
        <f>IFERROR(VLOOKUP(C805,TD!$B$32:$F$36,4,0)," ")</f>
        <v xml:space="preserve"> </v>
      </c>
      <c r="S805" s="54"/>
      <c r="T805" s="132" t="str">
        <f>IFERROR(VLOOKUP(S805,TD!$J$33:$K$43,2,0)," ")</f>
        <v xml:space="preserve"> </v>
      </c>
      <c r="U805" s="54" t="str">
        <f t="shared" si="48"/>
        <v xml:space="preserve">- </v>
      </c>
      <c r="V805" s="54"/>
      <c r="W805" s="132" t="str">
        <f>IFERROR(VLOOKUP(V805,TD!$N$33:$O$45,2,0)," ")</f>
        <v xml:space="preserve"> </v>
      </c>
      <c r="X805" s="54" t="str">
        <f t="shared" si="49"/>
        <v xml:space="preserve">_ </v>
      </c>
      <c r="Y805" s="54" t="str">
        <f t="shared" si="50"/>
        <v xml:space="preserve">-  _ </v>
      </c>
      <c r="Z805" s="132" t="str">
        <f t="shared" si="51"/>
        <v xml:space="preserve">   </v>
      </c>
      <c r="AA805" s="132" t="str">
        <f>IFERROR(VLOOKUP(Y805,TD!$K$46:$L$64,2,0)," ")</f>
        <v xml:space="preserve"> </v>
      </c>
      <c r="AB805" s="57"/>
      <c r="AC805" s="133"/>
    </row>
    <row r="806" spans="2:29" s="28" customFormat="1">
      <c r="B806" s="85"/>
      <c r="C806" s="53"/>
      <c r="D806" s="130"/>
      <c r="E806" s="54"/>
      <c r="F806" s="130"/>
      <c r="G806" s="130"/>
      <c r="H806" s="55"/>
      <c r="I806" s="135"/>
      <c r="J806" s="131"/>
      <c r="K806" s="56"/>
      <c r="L806" s="57"/>
      <c r="M806" s="130"/>
      <c r="N806" s="57"/>
      <c r="O806" s="54"/>
      <c r="P806" s="132" t="str">
        <f>IFERROR(VLOOKUP(C806,TD!$B$32:$F$36,2,0)," ")</f>
        <v xml:space="preserve"> </v>
      </c>
      <c r="Q806" s="132" t="str">
        <f>IFERROR(VLOOKUP(C806,TD!$B$32:$F$36,3,0)," ")</f>
        <v xml:space="preserve"> </v>
      </c>
      <c r="R806" s="132" t="str">
        <f>IFERROR(VLOOKUP(C806,TD!$B$32:$F$36,4,0)," ")</f>
        <v xml:space="preserve"> </v>
      </c>
      <c r="S806" s="54"/>
      <c r="T806" s="132" t="str">
        <f>IFERROR(VLOOKUP(S806,TD!$J$33:$K$43,2,0)," ")</f>
        <v xml:space="preserve"> </v>
      </c>
      <c r="U806" s="54" t="str">
        <f t="shared" si="48"/>
        <v xml:space="preserve">- </v>
      </c>
      <c r="V806" s="54"/>
      <c r="W806" s="132" t="str">
        <f>IFERROR(VLOOKUP(V806,TD!$N$33:$O$45,2,0)," ")</f>
        <v xml:space="preserve"> </v>
      </c>
      <c r="X806" s="54" t="str">
        <f t="shared" si="49"/>
        <v xml:space="preserve">_ </v>
      </c>
      <c r="Y806" s="54" t="str">
        <f t="shared" si="50"/>
        <v xml:space="preserve">-  _ </v>
      </c>
      <c r="Z806" s="132" t="str">
        <f t="shared" si="51"/>
        <v xml:space="preserve">   </v>
      </c>
      <c r="AA806" s="132" t="str">
        <f>IFERROR(VLOOKUP(Y806,TD!$K$46:$L$64,2,0)," ")</f>
        <v xml:space="preserve"> </v>
      </c>
      <c r="AB806" s="57"/>
      <c r="AC806" s="133"/>
    </row>
    <row r="807" spans="2:29" s="28" customFormat="1">
      <c r="B807" s="85"/>
      <c r="C807" s="53"/>
      <c r="D807" s="130"/>
      <c r="E807" s="54"/>
      <c r="F807" s="130"/>
      <c r="G807" s="130"/>
      <c r="H807" s="55"/>
      <c r="I807" s="135"/>
      <c r="J807" s="131"/>
      <c r="K807" s="56"/>
      <c r="L807" s="57"/>
      <c r="M807" s="130"/>
      <c r="N807" s="57"/>
      <c r="O807" s="54"/>
      <c r="P807" s="132" t="str">
        <f>IFERROR(VLOOKUP(C807,TD!$B$32:$F$36,2,0)," ")</f>
        <v xml:space="preserve"> </v>
      </c>
      <c r="Q807" s="132" t="str">
        <f>IFERROR(VLOOKUP(C807,TD!$B$32:$F$36,3,0)," ")</f>
        <v xml:space="preserve"> </v>
      </c>
      <c r="R807" s="132" t="str">
        <f>IFERROR(VLOOKUP(C807,TD!$B$32:$F$36,4,0)," ")</f>
        <v xml:space="preserve"> </v>
      </c>
      <c r="S807" s="54"/>
      <c r="T807" s="132" t="str">
        <f>IFERROR(VLOOKUP(S807,TD!$J$33:$K$43,2,0)," ")</f>
        <v xml:space="preserve"> </v>
      </c>
      <c r="U807" s="54" t="str">
        <f t="shared" si="48"/>
        <v xml:space="preserve">- </v>
      </c>
      <c r="V807" s="54"/>
      <c r="W807" s="132" t="str">
        <f>IFERROR(VLOOKUP(V807,TD!$N$33:$O$45,2,0)," ")</f>
        <v xml:space="preserve"> </v>
      </c>
      <c r="X807" s="54" t="str">
        <f t="shared" si="49"/>
        <v xml:space="preserve">_ </v>
      </c>
      <c r="Y807" s="54" t="str">
        <f t="shared" si="50"/>
        <v xml:space="preserve">-  _ </v>
      </c>
      <c r="Z807" s="132" t="str">
        <f t="shared" si="51"/>
        <v xml:space="preserve">   </v>
      </c>
      <c r="AA807" s="132" t="str">
        <f>IFERROR(VLOOKUP(Y807,TD!$K$46:$L$64,2,0)," ")</f>
        <v xml:space="preserve"> </v>
      </c>
      <c r="AB807" s="57"/>
      <c r="AC807" s="133"/>
    </row>
    <row r="808" spans="2:29" s="28" customFormat="1">
      <c r="B808" s="85"/>
      <c r="C808" s="53"/>
      <c r="D808" s="130"/>
      <c r="E808" s="54"/>
      <c r="F808" s="130"/>
      <c r="G808" s="130"/>
      <c r="H808" s="55"/>
      <c r="I808" s="135"/>
      <c r="J808" s="131"/>
      <c r="K808" s="56"/>
      <c r="L808" s="57"/>
      <c r="M808" s="130"/>
      <c r="N808" s="57"/>
      <c r="O808" s="54"/>
      <c r="P808" s="132" t="str">
        <f>IFERROR(VLOOKUP(C808,TD!$B$32:$F$36,2,0)," ")</f>
        <v xml:space="preserve"> </v>
      </c>
      <c r="Q808" s="132" t="str">
        <f>IFERROR(VLOOKUP(C808,TD!$B$32:$F$36,3,0)," ")</f>
        <v xml:space="preserve"> </v>
      </c>
      <c r="R808" s="132" t="str">
        <f>IFERROR(VLOOKUP(C808,TD!$B$32:$F$36,4,0)," ")</f>
        <v xml:space="preserve"> </v>
      </c>
      <c r="S808" s="54"/>
      <c r="T808" s="132" t="str">
        <f>IFERROR(VLOOKUP(S808,TD!$J$33:$K$43,2,0)," ")</f>
        <v xml:space="preserve"> </v>
      </c>
      <c r="U808" s="54" t="str">
        <f t="shared" si="48"/>
        <v xml:space="preserve">- </v>
      </c>
      <c r="V808" s="54"/>
      <c r="W808" s="132" t="str">
        <f>IFERROR(VLOOKUP(V808,TD!$N$33:$O$45,2,0)," ")</f>
        <v xml:space="preserve"> </v>
      </c>
      <c r="X808" s="54" t="str">
        <f t="shared" si="49"/>
        <v xml:space="preserve">_ </v>
      </c>
      <c r="Y808" s="54" t="str">
        <f t="shared" si="50"/>
        <v xml:space="preserve">-  _ </v>
      </c>
      <c r="Z808" s="132" t="str">
        <f t="shared" si="51"/>
        <v xml:space="preserve">   </v>
      </c>
      <c r="AA808" s="132" t="str">
        <f>IFERROR(VLOOKUP(Y808,TD!$K$46:$L$64,2,0)," ")</f>
        <v xml:space="preserve"> </v>
      </c>
      <c r="AB808" s="57"/>
      <c r="AC808" s="133"/>
    </row>
    <row r="809" spans="2:29" s="28" customFormat="1">
      <c r="B809" s="85"/>
      <c r="C809" s="53"/>
      <c r="D809" s="130"/>
      <c r="E809" s="54"/>
      <c r="F809" s="130"/>
      <c r="G809" s="130"/>
      <c r="H809" s="55"/>
      <c r="I809" s="135"/>
      <c r="J809" s="131"/>
      <c r="K809" s="56"/>
      <c r="L809" s="57"/>
      <c r="M809" s="130"/>
      <c r="N809" s="57"/>
      <c r="O809" s="54"/>
      <c r="P809" s="132" t="str">
        <f>IFERROR(VLOOKUP(C809,TD!$B$32:$F$36,2,0)," ")</f>
        <v xml:space="preserve"> </v>
      </c>
      <c r="Q809" s="132" t="str">
        <f>IFERROR(VLOOKUP(C809,TD!$B$32:$F$36,3,0)," ")</f>
        <v xml:space="preserve"> </v>
      </c>
      <c r="R809" s="132" t="str">
        <f>IFERROR(VLOOKUP(C809,TD!$B$32:$F$36,4,0)," ")</f>
        <v xml:space="preserve"> </v>
      </c>
      <c r="S809" s="54"/>
      <c r="T809" s="132" t="str">
        <f>IFERROR(VLOOKUP(S809,TD!$J$33:$K$43,2,0)," ")</f>
        <v xml:space="preserve"> </v>
      </c>
      <c r="U809" s="54" t="str">
        <f t="shared" si="48"/>
        <v xml:space="preserve">- </v>
      </c>
      <c r="V809" s="54"/>
      <c r="W809" s="132" t="str">
        <f>IFERROR(VLOOKUP(V809,TD!$N$33:$O$45,2,0)," ")</f>
        <v xml:space="preserve"> </v>
      </c>
      <c r="X809" s="54" t="str">
        <f t="shared" si="49"/>
        <v xml:space="preserve">_ </v>
      </c>
      <c r="Y809" s="54" t="str">
        <f t="shared" si="50"/>
        <v xml:space="preserve">-  _ </v>
      </c>
      <c r="Z809" s="132" t="str">
        <f t="shared" si="51"/>
        <v xml:space="preserve">   </v>
      </c>
      <c r="AA809" s="132" t="str">
        <f>IFERROR(VLOOKUP(Y809,TD!$K$46:$L$64,2,0)," ")</f>
        <v xml:space="preserve"> </v>
      </c>
      <c r="AB809" s="57"/>
      <c r="AC809" s="133"/>
    </row>
    <row r="810" spans="2:29" s="28" customFormat="1">
      <c r="B810" s="85"/>
      <c r="C810" s="53"/>
      <c r="D810" s="130"/>
      <c r="E810" s="54"/>
      <c r="F810" s="130"/>
      <c r="G810" s="130"/>
      <c r="H810" s="55"/>
      <c r="I810" s="135"/>
      <c r="J810" s="131"/>
      <c r="K810" s="56"/>
      <c r="L810" s="57"/>
      <c r="M810" s="130"/>
      <c r="N810" s="57"/>
      <c r="O810" s="54"/>
      <c r="P810" s="132" t="str">
        <f>IFERROR(VLOOKUP(C810,TD!$B$32:$F$36,2,0)," ")</f>
        <v xml:space="preserve"> </v>
      </c>
      <c r="Q810" s="132" t="str">
        <f>IFERROR(VLOOKUP(C810,TD!$B$32:$F$36,3,0)," ")</f>
        <v xml:space="preserve"> </v>
      </c>
      <c r="R810" s="132" t="str">
        <f>IFERROR(VLOOKUP(C810,TD!$B$32:$F$36,4,0)," ")</f>
        <v xml:space="preserve"> </v>
      </c>
      <c r="S810" s="54"/>
      <c r="T810" s="132" t="str">
        <f>IFERROR(VLOOKUP(S810,TD!$J$33:$K$43,2,0)," ")</f>
        <v xml:space="preserve"> </v>
      </c>
      <c r="U810" s="54" t="str">
        <f t="shared" si="48"/>
        <v xml:space="preserve">- </v>
      </c>
      <c r="V810" s="54"/>
      <c r="W810" s="132" t="str">
        <f>IFERROR(VLOOKUP(V810,TD!$N$33:$O$45,2,0)," ")</f>
        <v xml:space="preserve"> </v>
      </c>
      <c r="X810" s="54" t="str">
        <f t="shared" si="49"/>
        <v xml:space="preserve">_ </v>
      </c>
      <c r="Y810" s="54" t="str">
        <f t="shared" si="50"/>
        <v xml:space="preserve">-  _ </v>
      </c>
      <c r="Z810" s="132" t="str">
        <f t="shared" si="51"/>
        <v xml:space="preserve">   </v>
      </c>
      <c r="AA810" s="132" t="str">
        <f>IFERROR(VLOOKUP(Y810,TD!$K$46:$L$64,2,0)," ")</f>
        <v xml:space="preserve"> </v>
      </c>
      <c r="AB810" s="57"/>
      <c r="AC810" s="133"/>
    </row>
    <row r="811" spans="2:29" s="28" customFormat="1">
      <c r="B811" s="85"/>
      <c r="C811" s="53"/>
      <c r="D811" s="130"/>
      <c r="E811" s="54"/>
      <c r="F811" s="130"/>
      <c r="G811" s="130"/>
      <c r="H811" s="55"/>
      <c r="I811" s="135"/>
      <c r="J811" s="131"/>
      <c r="K811" s="56"/>
      <c r="L811" s="57"/>
      <c r="M811" s="130"/>
      <c r="N811" s="57"/>
      <c r="O811" s="54"/>
      <c r="P811" s="132" t="str">
        <f>IFERROR(VLOOKUP(C811,TD!$B$32:$F$36,2,0)," ")</f>
        <v xml:space="preserve"> </v>
      </c>
      <c r="Q811" s="132" t="str">
        <f>IFERROR(VLOOKUP(C811,TD!$B$32:$F$36,3,0)," ")</f>
        <v xml:space="preserve"> </v>
      </c>
      <c r="R811" s="132" t="str">
        <f>IFERROR(VLOOKUP(C811,TD!$B$32:$F$36,4,0)," ")</f>
        <v xml:space="preserve"> </v>
      </c>
      <c r="S811" s="54"/>
      <c r="T811" s="132" t="str">
        <f>IFERROR(VLOOKUP(S811,TD!$J$33:$K$43,2,0)," ")</f>
        <v xml:space="preserve"> </v>
      </c>
      <c r="U811" s="54" t="str">
        <f t="shared" si="48"/>
        <v xml:space="preserve">- </v>
      </c>
      <c r="V811" s="54"/>
      <c r="W811" s="132" t="str">
        <f>IFERROR(VLOOKUP(V811,TD!$N$33:$O$45,2,0)," ")</f>
        <v xml:space="preserve"> </v>
      </c>
      <c r="X811" s="54" t="str">
        <f t="shared" si="49"/>
        <v xml:space="preserve">_ </v>
      </c>
      <c r="Y811" s="54" t="str">
        <f t="shared" si="50"/>
        <v xml:space="preserve">-  _ </v>
      </c>
      <c r="Z811" s="132" t="str">
        <f t="shared" si="51"/>
        <v xml:space="preserve">   </v>
      </c>
      <c r="AA811" s="132" t="str">
        <f>IFERROR(VLOOKUP(Y811,TD!$K$46:$L$64,2,0)," ")</f>
        <v xml:space="preserve"> </v>
      </c>
      <c r="AB811" s="57"/>
      <c r="AC811" s="133"/>
    </row>
    <row r="812" spans="2:29" s="28" customFormat="1">
      <c r="B812" s="85"/>
      <c r="C812" s="53"/>
      <c r="D812" s="130"/>
      <c r="E812" s="54"/>
      <c r="F812" s="130"/>
      <c r="G812" s="130"/>
      <c r="H812" s="55"/>
      <c r="I812" s="135"/>
      <c r="J812" s="131"/>
      <c r="K812" s="56"/>
      <c r="L812" s="57"/>
      <c r="M812" s="130"/>
      <c r="N812" s="57"/>
      <c r="O812" s="54"/>
      <c r="P812" s="132" t="str">
        <f>IFERROR(VLOOKUP(C812,TD!$B$32:$F$36,2,0)," ")</f>
        <v xml:space="preserve"> </v>
      </c>
      <c r="Q812" s="132" t="str">
        <f>IFERROR(VLOOKUP(C812,TD!$B$32:$F$36,3,0)," ")</f>
        <v xml:space="preserve"> </v>
      </c>
      <c r="R812" s="132" t="str">
        <f>IFERROR(VLOOKUP(C812,TD!$B$32:$F$36,4,0)," ")</f>
        <v xml:space="preserve"> </v>
      </c>
      <c r="S812" s="54"/>
      <c r="T812" s="132" t="str">
        <f>IFERROR(VLOOKUP(S812,TD!$J$33:$K$43,2,0)," ")</f>
        <v xml:space="preserve"> </v>
      </c>
      <c r="U812" s="54" t="str">
        <f t="shared" si="48"/>
        <v xml:space="preserve">- </v>
      </c>
      <c r="V812" s="54"/>
      <c r="W812" s="132" t="str">
        <f>IFERROR(VLOOKUP(V812,TD!$N$33:$O$45,2,0)," ")</f>
        <v xml:space="preserve"> </v>
      </c>
      <c r="X812" s="54" t="str">
        <f t="shared" si="49"/>
        <v xml:space="preserve">_ </v>
      </c>
      <c r="Y812" s="54" t="str">
        <f t="shared" si="50"/>
        <v xml:space="preserve">-  _ </v>
      </c>
      <c r="Z812" s="132" t="str">
        <f t="shared" si="51"/>
        <v xml:space="preserve">   </v>
      </c>
      <c r="AA812" s="132" t="str">
        <f>IFERROR(VLOOKUP(Y812,TD!$K$46:$L$64,2,0)," ")</f>
        <v xml:space="preserve"> </v>
      </c>
      <c r="AB812" s="57"/>
      <c r="AC812" s="133"/>
    </row>
    <row r="813" spans="2:29" s="28" customFormat="1">
      <c r="B813" s="85"/>
      <c r="C813" s="53"/>
      <c r="D813" s="130"/>
      <c r="E813" s="54"/>
      <c r="F813" s="130"/>
      <c r="G813" s="130"/>
      <c r="H813" s="55"/>
      <c r="I813" s="135"/>
      <c r="J813" s="131"/>
      <c r="K813" s="56"/>
      <c r="L813" s="57"/>
      <c r="M813" s="130"/>
      <c r="N813" s="57"/>
      <c r="O813" s="54"/>
      <c r="P813" s="132" t="str">
        <f>IFERROR(VLOOKUP(C813,TD!$B$32:$F$36,2,0)," ")</f>
        <v xml:space="preserve"> </v>
      </c>
      <c r="Q813" s="132" t="str">
        <f>IFERROR(VLOOKUP(C813,TD!$B$32:$F$36,3,0)," ")</f>
        <v xml:space="preserve"> </v>
      </c>
      <c r="R813" s="132" t="str">
        <f>IFERROR(VLOOKUP(C813,TD!$B$32:$F$36,4,0)," ")</f>
        <v xml:space="preserve"> </v>
      </c>
      <c r="S813" s="54"/>
      <c r="T813" s="132" t="str">
        <f>IFERROR(VLOOKUP(S813,TD!$J$33:$K$43,2,0)," ")</f>
        <v xml:space="preserve"> </v>
      </c>
      <c r="U813" s="54" t="str">
        <f t="shared" si="48"/>
        <v xml:space="preserve">- </v>
      </c>
      <c r="V813" s="54"/>
      <c r="W813" s="132" t="str">
        <f>IFERROR(VLOOKUP(V813,TD!$N$33:$O$45,2,0)," ")</f>
        <v xml:space="preserve"> </v>
      </c>
      <c r="X813" s="54" t="str">
        <f t="shared" si="49"/>
        <v xml:space="preserve">_ </v>
      </c>
      <c r="Y813" s="54" t="str">
        <f t="shared" si="50"/>
        <v xml:space="preserve">-  _ </v>
      </c>
      <c r="Z813" s="132" t="str">
        <f t="shared" si="51"/>
        <v xml:space="preserve">   </v>
      </c>
      <c r="AA813" s="132" t="str">
        <f>IFERROR(VLOOKUP(Y813,TD!$K$46:$L$64,2,0)," ")</f>
        <v xml:space="preserve"> </v>
      </c>
      <c r="AB813" s="57"/>
      <c r="AC813" s="133"/>
    </row>
    <row r="814" spans="2:29" s="28" customFormat="1">
      <c r="B814" s="85"/>
      <c r="C814" s="53"/>
      <c r="D814" s="130"/>
      <c r="E814" s="54"/>
      <c r="F814" s="130"/>
      <c r="G814" s="130"/>
      <c r="H814" s="55"/>
      <c r="I814" s="135"/>
      <c r="J814" s="131"/>
      <c r="K814" s="56"/>
      <c r="L814" s="57"/>
      <c r="M814" s="130"/>
      <c r="N814" s="57"/>
      <c r="O814" s="54"/>
      <c r="P814" s="132" t="str">
        <f>IFERROR(VLOOKUP(C814,TD!$B$32:$F$36,2,0)," ")</f>
        <v xml:space="preserve"> </v>
      </c>
      <c r="Q814" s="132" t="str">
        <f>IFERROR(VLOOKUP(C814,TD!$B$32:$F$36,3,0)," ")</f>
        <v xml:space="preserve"> </v>
      </c>
      <c r="R814" s="132" t="str">
        <f>IFERROR(VLOOKUP(C814,TD!$B$32:$F$36,4,0)," ")</f>
        <v xml:space="preserve"> </v>
      </c>
      <c r="S814" s="54"/>
      <c r="T814" s="132" t="str">
        <f>IFERROR(VLOOKUP(S814,TD!$J$33:$K$43,2,0)," ")</f>
        <v xml:space="preserve"> </v>
      </c>
      <c r="U814" s="54" t="str">
        <f t="shared" si="48"/>
        <v xml:space="preserve">- </v>
      </c>
      <c r="V814" s="54"/>
      <c r="W814" s="132" t="str">
        <f>IFERROR(VLOOKUP(V814,TD!$N$33:$O$45,2,0)," ")</f>
        <v xml:space="preserve"> </v>
      </c>
      <c r="X814" s="54" t="str">
        <f t="shared" si="49"/>
        <v xml:space="preserve">_ </v>
      </c>
      <c r="Y814" s="54" t="str">
        <f t="shared" si="50"/>
        <v xml:space="preserve">-  _ </v>
      </c>
      <c r="Z814" s="132" t="str">
        <f t="shared" si="51"/>
        <v xml:space="preserve">   </v>
      </c>
      <c r="AA814" s="132" t="str">
        <f>IFERROR(VLOOKUP(Y814,TD!$K$46:$L$64,2,0)," ")</f>
        <v xml:space="preserve"> </v>
      </c>
      <c r="AB814" s="57"/>
      <c r="AC814" s="133"/>
    </row>
    <row r="815" spans="2:29" s="28" customFormat="1">
      <c r="B815" s="85"/>
      <c r="C815" s="53"/>
      <c r="D815" s="130"/>
      <c r="E815" s="54"/>
      <c r="F815" s="130"/>
      <c r="G815" s="130"/>
      <c r="H815" s="55"/>
      <c r="I815" s="135"/>
      <c r="J815" s="131"/>
      <c r="K815" s="56"/>
      <c r="L815" s="57"/>
      <c r="M815" s="130"/>
      <c r="N815" s="57"/>
      <c r="O815" s="54"/>
      <c r="P815" s="132" t="str">
        <f>IFERROR(VLOOKUP(C815,TD!$B$32:$F$36,2,0)," ")</f>
        <v xml:space="preserve"> </v>
      </c>
      <c r="Q815" s="132" t="str">
        <f>IFERROR(VLOOKUP(C815,TD!$B$32:$F$36,3,0)," ")</f>
        <v xml:space="preserve"> </v>
      </c>
      <c r="R815" s="132" t="str">
        <f>IFERROR(VLOOKUP(C815,TD!$B$32:$F$36,4,0)," ")</f>
        <v xml:space="preserve"> </v>
      </c>
      <c r="S815" s="54"/>
      <c r="T815" s="132" t="str">
        <f>IFERROR(VLOOKUP(S815,TD!$J$33:$K$43,2,0)," ")</f>
        <v xml:space="preserve"> </v>
      </c>
      <c r="U815" s="54" t="str">
        <f t="shared" si="48"/>
        <v xml:space="preserve">- </v>
      </c>
      <c r="V815" s="54"/>
      <c r="W815" s="132" t="str">
        <f>IFERROR(VLOOKUP(V815,TD!$N$33:$O$45,2,0)," ")</f>
        <v xml:space="preserve"> </v>
      </c>
      <c r="X815" s="54" t="str">
        <f t="shared" si="49"/>
        <v xml:space="preserve">_ </v>
      </c>
      <c r="Y815" s="54" t="str">
        <f t="shared" si="50"/>
        <v xml:space="preserve">-  _ </v>
      </c>
      <c r="Z815" s="132" t="str">
        <f t="shared" si="51"/>
        <v xml:space="preserve">   </v>
      </c>
      <c r="AA815" s="132" t="str">
        <f>IFERROR(VLOOKUP(Y815,TD!$K$46:$L$64,2,0)," ")</f>
        <v xml:space="preserve"> </v>
      </c>
      <c r="AB815" s="57"/>
      <c r="AC815" s="133"/>
    </row>
    <row r="816" spans="2:29" s="28" customFormat="1">
      <c r="B816" s="85"/>
      <c r="C816" s="53"/>
      <c r="D816" s="130"/>
      <c r="E816" s="54"/>
      <c r="F816" s="130"/>
      <c r="G816" s="130"/>
      <c r="H816" s="55"/>
      <c r="I816" s="135"/>
      <c r="J816" s="131"/>
      <c r="K816" s="56"/>
      <c r="L816" s="57"/>
      <c r="M816" s="130"/>
      <c r="N816" s="57"/>
      <c r="O816" s="54"/>
      <c r="P816" s="132" t="str">
        <f>IFERROR(VLOOKUP(C816,TD!$B$32:$F$36,2,0)," ")</f>
        <v xml:space="preserve"> </v>
      </c>
      <c r="Q816" s="132" t="str">
        <f>IFERROR(VLOOKUP(C816,TD!$B$32:$F$36,3,0)," ")</f>
        <v xml:space="preserve"> </v>
      </c>
      <c r="R816" s="132" t="str">
        <f>IFERROR(VLOOKUP(C816,TD!$B$32:$F$36,4,0)," ")</f>
        <v xml:space="preserve"> </v>
      </c>
      <c r="S816" s="54"/>
      <c r="T816" s="132" t="str">
        <f>IFERROR(VLOOKUP(S816,TD!$J$33:$K$43,2,0)," ")</f>
        <v xml:space="preserve"> </v>
      </c>
      <c r="U816" s="54" t="str">
        <f t="shared" si="48"/>
        <v xml:space="preserve">- </v>
      </c>
      <c r="V816" s="54"/>
      <c r="W816" s="132" t="str">
        <f>IFERROR(VLOOKUP(V816,TD!$N$33:$O$45,2,0)," ")</f>
        <v xml:space="preserve"> </v>
      </c>
      <c r="X816" s="54" t="str">
        <f t="shared" si="49"/>
        <v xml:space="preserve">_ </v>
      </c>
      <c r="Y816" s="54" t="str">
        <f t="shared" si="50"/>
        <v xml:space="preserve">-  _ </v>
      </c>
      <c r="Z816" s="132" t="str">
        <f t="shared" si="51"/>
        <v xml:space="preserve">   </v>
      </c>
      <c r="AA816" s="132" t="str">
        <f>IFERROR(VLOOKUP(Y816,TD!$K$46:$L$64,2,0)," ")</f>
        <v xml:space="preserve"> </v>
      </c>
      <c r="AB816" s="57"/>
      <c r="AC816" s="133"/>
    </row>
    <row r="817" spans="2:29" s="28" customFormat="1">
      <c r="B817" s="85"/>
      <c r="C817" s="53"/>
      <c r="D817" s="130"/>
      <c r="E817" s="54"/>
      <c r="F817" s="130"/>
      <c r="G817" s="130"/>
      <c r="H817" s="55"/>
      <c r="I817" s="135"/>
      <c r="J817" s="131"/>
      <c r="K817" s="56"/>
      <c r="L817" s="57"/>
      <c r="M817" s="130"/>
      <c r="N817" s="57"/>
      <c r="O817" s="54"/>
      <c r="P817" s="132" t="str">
        <f>IFERROR(VLOOKUP(C817,TD!$B$32:$F$36,2,0)," ")</f>
        <v xml:space="preserve"> </v>
      </c>
      <c r="Q817" s="132" t="str">
        <f>IFERROR(VLOOKUP(C817,TD!$B$32:$F$36,3,0)," ")</f>
        <v xml:space="preserve"> </v>
      </c>
      <c r="R817" s="132" t="str">
        <f>IFERROR(VLOOKUP(C817,TD!$B$32:$F$36,4,0)," ")</f>
        <v xml:space="preserve"> </v>
      </c>
      <c r="S817" s="54"/>
      <c r="T817" s="132" t="str">
        <f>IFERROR(VLOOKUP(S817,TD!$J$33:$K$43,2,0)," ")</f>
        <v xml:space="preserve"> </v>
      </c>
      <c r="U817" s="54" t="str">
        <f t="shared" si="48"/>
        <v xml:space="preserve">- </v>
      </c>
      <c r="V817" s="54"/>
      <c r="W817" s="132" t="str">
        <f>IFERROR(VLOOKUP(V817,TD!$N$33:$O$45,2,0)," ")</f>
        <v xml:space="preserve"> </v>
      </c>
      <c r="X817" s="54" t="str">
        <f t="shared" si="49"/>
        <v xml:space="preserve">_ </v>
      </c>
      <c r="Y817" s="54" t="str">
        <f t="shared" si="50"/>
        <v xml:space="preserve">-  _ </v>
      </c>
      <c r="Z817" s="132" t="str">
        <f t="shared" si="51"/>
        <v xml:space="preserve">   </v>
      </c>
      <c r="AA817" s="132" t="str">
        <f>IFERROR(VLOOKUP(Y817,TD!$K$46:$L$64,2,0)," ")</f>
        <v xml:space="preserve"> </v>
      </c>
      <c r="AB817" s="57"/>
      <c r="AC817" s="133"/>
    </row>
    <row r="818" spans="2:29" s="28" customFormat="1">
      <c r="B818" s="85"/>
      <c r="C818" s="53"/>
      <c r="D818" s="130"/>
      <c r="E818" s="54"/>
      <c r="F818" s="130"/>
      <c r="G818" s="130"/>
      <c r="H818" s="55"/>
      <c r="I818" s="135"/>
      <c r="J818" s="131"/>
      <c r="K818" s="56"/>
      <c r="L818" s="57"/>
      <c r="M818" s="130"/>
      <c r="N818" s="57"/>
      <c r="O818" s="54"/>
      <c r="P818" s="132" t="str">
        <f>IFERROR(VLOOKUP(C818,TD!$B$32:$F$36,2,0)," ")</f>
        <v xml:space="preserve"> </v>
      </c>
      <c r="Q818" s="132" t="str">
        <f>IFERROR(VLOOKUP(C818,TD!$B$32:$F$36,3,0)," ")</f>
        <v xml:space="preserve"> </v>
      </c>
      <c r="R818" s="132" t="str">
        <f>IFERROR(VLOOKUP(C818,TD!$B$32:$F$36,4,0)," ")</f>
        <v xml:space="preserve"> </v>
      </c>
      <c r="S818" s="54"/>
      <c r="T818" s="132" t="str">
        <f>IFERROR(VLOOKUP(S818,TD!$J$33:$K$43,2,0)," ")</f>
        <v xml:space="preserve"> </v>
      </c>
      <c r="U818" s="54" t="str">
        <f t="shared" si="48"/>
        <v xml:space="preserve">- </v>
      </c>
      <c r="V818" s="54"/>
      <c r="W818" s="132" t="str">
        <f>IFERROR(VLOOKUP(V818,TD!$N$33:$O$45,2,0)," ")</f>
        <v xml:space="preserve"> </v>
      </c>
      <c r="X818" s="54" t="str">
        <f t="shared" si="49"/>
        <v xml:space="preserve">_ </v>
      </c>
      <c r="Y818" s="54" t="str">
        <f t="shared" si="50"/>
        <v xml:space="preserve">-  _ </v>
      </c>
      <c r="Z818" s="132" t="str">
        <f t="shared" si="51"/>
        <v xml:space="preserve">   </v>
      </c>
      <c r="AA818" s="132" t="str">
        <f>IFERROR(VLOOKUP(Y818,TD!$K$46:$L$64,2,0)," ")</f>
        <v xml:space="preserve"> </v>
      </c>
      <c r="AB818" s="57"/>
      <c r="AC818" s="133"/>
    </row>
    <row r="819" spans="2:29" s="28" customFormat="1">
      <c r="B819" s="85"/>
      <c r="C819" s="53"/>
      <c r="D819" s="130"/>
      <c r="E819" s="54"/>
      <c r="F819" s="130"/>
      <c r="G819" s="130"/>
      <c r="H819" s="55"/>
      <c r="I819" s="135"/>
      <c r="J819" s="131"/>
      <c r="K819" s="56"/>
      <c r="L819" s="57"/>
      <c r="M819" s="130"/>
      <c r="N819" s="57"/>
      <c r="O819" s="54"/>
      <c r="P819" s="132" t="str">
        <f>IFERROR(VLOOKUP(C819,TD!$B$32:$F$36,2,0)," ")</f>
        <v xml:space="preserve"> </v>
      </c>
      <c r="Q819" s="132" t="str">
        <f>IFERROR(VLOOKUP(C819,TD!$B$32:$F$36,3,0)," ")</f>
        <v xml:space="preserve"> </v>
      </c>
      <c r="R819" s="132" t="str">
        <f>IFERROR(VLOOKUP(C819,TD!$B$32:$F$36,4,0)," ")</f>
        <v xml:space="preserve"> </v>
      </c>
      <c r="S819" s="54"/>
      <c r="T819" s="132" t="str">
        <f>IFERROR(VLOOKUP(S819,TD!$J$33:$K$43,2,0)," ")</f>
        <v xml:space="preserve"> </v>
      </c>
      <c r="U819" s="54" t="str">
        <f t="shared" si="48"/>
        <v xml:space="preserve">- </v>
      </c>
      <c r="V819" s="54"/>
      <c r="W819" s="132" t="str">
        <f>IFERROR(VLOOKUP(V819,TD!$N$33:$O$45,2,0)," ")</f>
        <v xml:space="preserve"> </v>
      </c>
      <c r="X819" s="54" t="str">
        <f t="shared" si="49"/>
        <v xml:space="preserve">_ </v>
      </c>
      <c r="Y819" s="54" t="str">
        <f t="shared" si="50"/>
        <v xml:space="preserve">-  _ </v>
      </c>
      <c r="Z819" s="132" t="str">
        <f t="shared" si="51"/>
        <v xml:space="preserve">   </v>
      </c>
      <c r="AA819" s="132" t="str">
        <f>IFERROR(VLOOKUP(Y819,TD!$K$46:$L$64,2,0)," ")</f>
        <v xml:space="preserve"> </v>
      </c>
      <c r="AB819" s="57"/>
      <c r="AC819" s="133"/>
    </row>
    <row r="820" spans="2:29" s="28" customFormat="1">
      <c r="B820" s="85"/>
      <c r="C820" s="53"/>
      <c r="D820" s="130"/>
      <c r="E820" s="54"/>
      <c r="F820" s="130"/>
      <c r="G820" s="130"/>
      <c r="H820" s="55"/>
      <c r="I820" s="135"/>
      <c r="J820" s="131"/>
      <c r="K820" s="56"/>
      <c r="L820" s="57"/>
      <c r="M820" s="130"/>
      <c r="N820" s="57"/>
      <c r="O820" s="54"/>
      <c r="P820" s="132" t="str">
        <f>IFERROR(VLOOKUP(C820,TD!$B$32:$F$36,2,0)," ")</f>
        <v xml:space="preserve"> </v>
      </c>
      <c r="Q820" s="132" t="str">
        <f>IFERROR(VLOOKUP(C820,TD!$B$32:$F$36,3,0)," ")</f>
        <v xml:space="preserve"> </v>
      </c>
      <c r="R820" s="132" t="str">
        <f>IFERROR(VLOOKUP(C820,TD!$B$32:$F$36,4,0)," ")</f>
        <v xml:space="preserve"> </v>
      </c>
      <c r="S820" s="54"/>
      <c r="T820" s="132" t="str">
        <f>IFERROR(VLOOKUP(S820,TD!$J$33:$K$43,2,0)," ")</f>
        <v xml:space="preserve"> </v>
      </c>
      <c r="U820" s="54" t="str">
        <f t="shared" si="48"/>
        <v xml:space="preserve">- </v>
      </c>
      <c r="V820" s="54"/>
      <c r="W820" s="132" t="str">
        <f>IFERROR(VLOOKUP(V820,TD!$N$33:$O$45,2,0)," ")</f>
        <v xml:space="preserve"> </v>
      </c>
      <c r="X820" s="54" t="str">
        <f t="shared" si="49"/>
        <v xml:space="preserve">_ </v>
      </c>
      <c r="Y820" s="54" t="str">
        <f t="shared" si="50"/>
        <v xml:space="preserve">-  _ </v>
      </c>
      <c r="Z820" s="132" t="str">
        <f t="shared" si="51"/>
        <v xml:space="preserve">   </v>
      </c>
      <c r="AA820" s="132" t="str">
        <f>IFERROR(VLOOKUP(Y820,TD!$K$46:$L$64,2,0)," ")</f>
        <v xml:space="preserve"> </v>
      </c>
      <c r="AB820" s="57"/>
      <c r="AC820" s="133"/>
    </row>
    <row r="821" spans="2:29" s="28" customFormat="1">
      <c r="B821" s="85"/>
      <c r="C821" s="53"/>
      <c r="D821" s="130"/>
      <c r="E821" s="54"/>
      <c r="F821" s="130"/>
      <c r="G821" s="130"/>
      <c r="H821" s="55"/>
      <c r="I821" s="135"/>
      <c r="J821" s="131"/>
      <c r="K821" s="56"/>
      <c r="L821" s="57"/>
      <c r="M821" s="130"/>
      <c r="N821" s="57"/>
      <c r="O821" s="54"/>
      <c r="P821" s="132" t="str">
        <f>IFERROR(VLOOKUP(C821,TD!$B$32:$F$36,2,0)," ")</f>
        <v xml:space="preserve"> </v>
      </c>
      <c r="Q821" s="132" t="str">
        <f>IFERROR(VLOOKUP(C821,TD!$B$32:$F$36,3,0)," ")</f>
        <v xml:space="preserve"> </v>
      </c>
      <c r="R821" s="132" t="str">
        <f>IFERROR(VLOOKUP(C821,TD!$B$32:$F$36,4,0)," ")</f>
        <v xml:space="preserve"> </v>
      </c>
      <c r="S821" s="54"/>
      <c r="T821" s="132" t="str">
        <f>IFERROR(VLOOKUP(S821,TD!$J$33:$K$43,2,0)," ")</f>
        <v xml:space="preserve"> </v>
      </c>
      <c r="U821" s="54" t="str">
        <f t="shared" si="48"/>
        <v xml:space="preserve">- </v>
      </c>
      <c r="V821" s="54"/>
      <c r="W821" s="132" t="str">
        <f>IFERROR(VLOOKUP(V821,TD!$N$33:$O$45,2,0)," ")</f>
        <v xml:space="preserve"> </v>
      </c>
      <c r="X821" s="54" t="str">
        <f t="shared" si="49"/>
        <v xml:space="preserve">_ </v>
      </c>
      <c r="Y821" s="54" t="str">
        <f t="shared" si="50"/>
        <v xml:space="preserve">-  _ </v>
      </c>
      <c r="Z821" s="132" t="str">
        <f t="shared" si="51"/>
        <v xml:space="preserve">   </v>
      </c>
      <c r="AA821" s="132" t="str">
        <f>IFERROR(VLOOKUP(Y821,TD!$K$46:$L$64,2,0)," ")</f>
        <v xml:space="preserve"> </v>
      </c>
      <c r="AB821" s="57"/>
      <c r="AC821" s="133"/>
    </row>
    <row r="822" spans="2:29" s="28" customFormat="1">
      <c r="B822" s="85"/>
      <c r="C822" s="53"/>
      <c r="D822" s="130"/>
      <c r="E822" s="54"/>
      <c r="F822" s="130"/>
      <c r="G822" s="130"/>
      <c r="H822" s="55"/>
      <c r="I822" s="135"/>
      <c r="J822" s="131"/>
      <c r="K822" s="56"/>
      <c r="L822" s="57"/>
      <c r="M822" s="130"/>
      <c r="N822" s="57"/>
      <c r="O822" s="54"/>
      <c r="P822" s="132" t="str">
        <f>IFERROR(VLOOKUP(C822,TD!$B$32:$F$36,2,0)," ")</f>
        <v xml:space="preserve"> </v>
      </c>
      <c r="Q822" s="132" t="str">
        <f>IFERROR(VLOOKUP(C822,TD!$B$32:$F$36,3,0)," ")</f>
        <v xml:space="preserve"> </v>
      </c>
      <c r="R822" s="132" t="str">
        <f>IFERROR(VLOOKUP(C822,TD!$B$32:$F$36,4,0)," ")</f>
        <v xml:space="preserve"> </v>
      </c>
      <c r="S822" s="54"/>
      <c r="T822" s="132" t="str">
        <f>IFERROR(VLOOKUP(S822,TD!$J$33:$K$43,2,0)," ")</f>
        <v xml:space="preserve"> </v>
      </c>
      <c r="U822" s="54" t="str">
        <f t="shared" si="48"/>
        <v xml:space="preserve">- </v>
      </c>
      <c r="V822" s="54"/>
      <c r="W822" s="132" t="str">
        <f>IFERROR(VLOOKUP(V822,TD!$N$33:$O$45,2,0)," ")</f>
        <v xml:space="preserve"> </v>
      </c>
      <c r="X822" s="54" t="str">
        <f t="shared" si="49"/>
        <v xml:space="preserve">_ </v>
      </c>
      <c r="Y822" s="54" t="str">
        <f t="shared" si="50"/>
        <v xml:space="preserve">-  _ </v>
      </c>
      <c r="Z822" s="132" t="str">
        <f t="shared" si="51"/>
        <v xml:space="preserve">   </v>
      </c>
      <c r="AA822" s="132" t="str">
        <f>IFERROR(VLOOKUP(Y822,TD!$K$46:$L$64,2,0)," ")</f>
        <v xml:space="preserve"> </v>
      </c>
      <c r="AB822" s="57"/>
      <c r="AC822" s="133"/>
    </row>
    <row r="823" spans="2:29" s="28" customFormat="1">
      <c r="B823" s="85"/>
      <c r="C823" s="53"/>
      <c r="D823" s="130"/>
      <c r="E823" s="54"/>
      <c r="F823" s="130"/>
      <c r="G823" s="130"/>
      <c r="H823" s="55"/>
      <c r="I823" s="135"/>
      <c r="J823" s="131"/>
      <c r="K823" s="56"/>
      <c r="L823" s="57"/>
      <c r="M823" s="130"/>
      <c r="N823" s="57"/>
      <c r="O823" s="54"/>
      <c r="P823" s="132" t="str">
        <f>IFERROR(VLOOKUP(C823,TD!$B$32:$F$36,2,0)," ")</f>
        <v xml:space="preserve"> </v>
      </c>
      <c r="Q823" s="132" t="str">
        <f>IFERROR(VLOOKUP(C823,TD!$B$32:$F$36,3,0)," ")</f>
        <v xml:space="preserve"> </v>
      </c>
      <c r="R823" s="132" t="str">
        <f>IFERROR(VLOOKUP(C823,TD!$B$32:$F$36,4,0)," ")</f>
        <v xml:space="preserve"> </v>
      </c>
      <c r="S823" s="54"/>
      <c r="T823" s="132" t="str">
        <f>IFERROR(VLOOKUP(S823,TD!$J$33:$K$43,2,0)," ")</f>
        <v xml:space="preserve"> </v>
      </c>
      <c r="U823" s="54" t="str">
        <f t="shared" si="48"/>
        <v xml:space="preserve">- </v>
      </c>
      <c r="V823" s="54"/>
      <c r="W823" s="132" t="str">
        <f>IFERROR(VLOOKUP(V823,TD!$N$33:$O$45,2,0)," ")</f>
        <v xml:space="preserve"> </v>
      </c>
      <c r="X823" s="54" t="str">
        <f t="shared" si="49"/>
        <v xml:space="preserve">_ </v>
      </c>
      <c r="Y823" s="54" t="str">
        <f t="shared" si="50"/>
        <v xml:space="preserve">-  _ </v>
      </c>
      <c r="Z823" s="132" t="str">
        <f t="shared" si="51"/>
        <v xml:space="preserve">   </v>
      </c>
      <c r="AA823" s="132" t="str">
        <f>IFERROR(VLOOKUP(Y823,TD!$K$46:$L$64,2,0)," ")</f>
        <v xml:space="preserve"> </v>
      </c>
      <c r="AB823" s="57"/>
      <c r="AC823" s="133"/>
    </row>
    <row r="824" spans="2:29" s="28" customFormat="1">
      <c r="B824" s="85"/>
      <c r="C824" s="53"/>
      <c r="D824" s="130"/>
      <c r="E824" s="54"/>
      <c r="F824" s="130"/>
      <c r="G824" s="130"/>
      <c r="H824" s="55"/>
      <c r="I824" s="135"/>
      <c r="J824" s="131"/>
      <c r="K824" s="56"/>
      <c r="L824" s="57"/>
      <c r="M824" s="130"/>
      <c r="N824" s="57"/>
      <c r="O824" s="54"/>
      <c r="P824" s="132" t="str">
        <f>IFERROR(VLOOKUP(C824,TD!$B$32:$F$36,2,0)," ")</f>
        <v xml:space="preserve"> </v>
      </c>
      <c r="Q824" s="132" t="str">
        <f>IFERROR(VLOOKUP(C824,TD!$B$32:$F$36,3,0)," ")</f>
        <v xml:space="preserve"> </v>
      </c>
      <c r="R824" s="132" t="str">
        <f>IFERROR(VLOOKUP(C824,TD!$B$32:$F$36,4,0)," ")</f>
        <v xml:space="preserve"> </v>
      </c>
      <c r="S824" s="54"/>
      <c r="T824" s="132" t="str">
        <f>IFERROR(VLOOKUP(S824,TD!$J$33:$K$43,2,0)," ")</f>
        <v xml:space="preserve"> </v>
      </c>
      <c r="U824" s="54" t="str">
        <f t="shared" si="48"/>
        <v xml:space="preserve">- </v>
      </c>
      <c r="V824" s="54"/>
      <c r="W824" s="132" t="str">
        <f>IFERROR(VLOOKUP(V824,TD!$N$33:$O$45,2,0)," ")</f>
        <v xml:space="preserve"> </v>
      </c>
      <c r="X824" s="54" t="str">
        <f t="shared" si="49"/>
        <v xml:space="preserve">_ </v>
      </c>
      <c r="Y824" s="54" t="str">
        <f t="shared" si="50"/>
        <v xml:space="preserve">-  _ </v>
      </c>
      <c r="Z824" s="132" t="str">
        <f t="shared" si="51"/>
        <v xml:space="preserve">   </v>
      </c>
      <c r="AA824" s="132" t="str">
        <f>IFERROR(VLOOKUP(Y824,TD!$K$46:$L$64,2,0)," ")</f>
        <v xml:space="preserve"> </v>
      </c>
      <c r="AB824" s="57"/>
      <c r="AC824" s="133"/>
    </row>
    <row r="825" spans="2:29" s="28" customFormat="1">
      <c r="B825" s="85"/>
      <c r="C825" s="53"/>
      <c r="D825" s="130"/>
      <c r="E825" s="54"/>
      <c r="F825" s="130"/>
      <c r="G825" s="130"/>
      <c r="H825" s="55"/>
      <c r="I825" s="135"/>
      <c r="J825" s="131"/>
      <c r="K825" s="56"/>
      <c r="L825" s="57"/>
      <c r="M825" s="130"/>
      <c r="N825" s="57"/>
      <c r="O825" s="54"/>
      <c r="P825" s="132" t="str">
        <f>IFERROR(VLOOKUP(C825,TD!$B$32:$F$36,2,0)," ")</f>
        <v xml:space="preserve"> </v>
      </c>
      <c r="Q825" s="132" t="str">
        <f>IFERROR(VLOOKUP(C825,TD!$B$32:$F$36,3,0)," ")</f>
        <v xml:space="preserve"> </v>
      </c>
      <c r="R825" s="132" t="str">
        <f>IFERROR(VLOOKUP(C825,TD!$B$32:$F$36,4,0)," ")</f>
        <v xml:space="preserve"> </v>
      </c>
      <c r="S825" s="54"/>
      <c r="T825" s="132" t="str">
        <f>IFERROR(VLOOKUP(S825,TD!$J$33:$K$43,2,0)," ")</f>
        <v xml:space="preserve"> </v>
      </c>
      <c r="U825" s="54" t="str">
        <f t="shared" si="48"/>
        <v xml:space="preserve">- </v>
      </c>
      <c r="V825" s="54"/>
      <c r="W825" s="132" t="str">
        <f>IFERROR(VLOOKUP(V825,TD!$N$33:$O$45,2,0)," ")</f>
        <v xml:space="preserve"> </v>
      </c>
      <c r="X825" s="54" t="str">
        <f t="shared" si="49"/>
        <v xml:space="preserve">_ </v>
      </c>
      <c r="Y825" s="54" t="str">
        <f t="shared" si="50"/>
        <v xml:space="preserve">-  _ </v>
      </c>
      <c r="Z825" s="132" t="str">
        <f t="shared" si="51"/>
        <v xml:space="preserve">   </v>
      </c>
      <c r="AA825" s="132" t="str">
        <f>IFERROR(VLOOKUP(Y825,TD!$K$46:$L$64,2,0)," ")</f>
        <v xml:space="preserve"> </v>
      </c>
      <c r="AB825" s="57"/>
      <c r="AC825" s="133"/>
    </row>
    <row r="826" spans="2:29" s="28" customFormat="1">
      <c r="B826" s="85"/>
      <c r="C826" s="53"/>
      <c r="D826" s="130"/>
      <c r="E826" s="54"/>
      <c r="F826" s="130"/>
      <c r="G826" s="130"/>
      <c r="H826" s="55"/>
      <c r="I826" s="135"/>
      <c r="J826" s="131"/>
      <c r="K826" s="56"/>
      <c r="L826" s="57"/>
      <c r="M826" s="130"/>
      <c r="N826" s="57"/>
      <c r="O826" s="54"/>
      <c r="P826" s="132" t="str">
        <f>IFERROR(VLOOKUP(C826,TD!$B$32:$F$36,2,0)," ")</f>
        <v xml:space="preserve"> </v>
      </c>
      <c r="Q826" s="132" t="str">
        <f>IFERROR(VLOOKUP(C826,TD!$B$32:$F$36,3,0)," ")</f>
        <v xml:space="preserve"> </v>
      </c>
      <c r="R826" s="132" t="str">
        <f>IFERROR(VLOOKUP(C826,TD!$B$32:$F$36,4,0)," ")</f>
        <v xml:space="preserve"> </v>
      </c>
      <c r="S826" s="54"/>
      <c r="T826" s="132" t="str">
        <f>IFERROR(VLOOKUP(S826,TD!$J$33:$K$43,2,0)," ")</f>
        <v xml:space="preserve"> </v>
      </c>
      <c r="U826" s="54" t="str">
        <f t="shared" si="48"/>
        <v xml:space="preserve">- </v>
      </c>
      <c r="V826" s="54"/>
      <c r="W826" s="132" t="str">
        <f>IFERROR(VLOOKUP(V826,TD!$N$33:$O$45,2,0)," ")</f>
        <v xml:space="preserve"> </v>
      </c>
      <c r="X826" s="54" t="str">
        <f t="shared" si="49"/>
        <v xml:space="preserve">_ </v>
      </c>
      <c r="Y826" s="54" t="str">
        <f t="shared" si="50"/>
        <v xml:space="preserve">-  _ </v>
      </c>
      <c r="Z826" s="132" t="str">
        <f t="shared" si="51"/>
        <v xml:space="preserve">   </v>
      </c>
      <c r="AA826" s="132" t="str">
        <f>IFERROR(VLOOKUP(Y826,TD!$K$46:$L$64,2,0)," ")</f>
        <v xml:space="preserve"> </v>
      </c>
      <c r="AB826" s="57"/>
      <c r="AC826" s="133"/>
    </row>
    <row r="827" spans="2:29" s="28" customFormat="1">
      <c r="B827" s="85"/>
      <c r="C827" s="53"/>
      <c r="D827" s="130"/>
      <c r="E827" s="54"/>
      <c r="F827" s="130"/>
      <c r="G827" s="130"/>
      <c r="H827" s="55"/>
      <c r="I827" s="135"/>
      <c r="J827" s="131"/>
      <c r="K827" s="56"/>
      <c r="L827" s="57"/>
      <c r="M827" s="130"/>
      <c r="N827" s="57"/>
      <c r="O827" s="54"/>
      <c r="P827" s="132" t="str">
        <f>IFERROR(VLOOKUP(C827,TD!$B$32:$F$36,2,0)," ")</f>
        <v xml:space="preserve"> </v>
      </c>
      <c r="Q827" s="132" t="str">
        <f>IFERROR(VLOOKUP(C827,TD!$B$32:$F$36,3,0)," ")</f>
        <v xml:space="preserve"> </v>
      </c>
      <c r="R827" s="132" t="str">
        <f>IFERROR(VLOOKUP(C827,TD!$B$32:$F$36,4,0)," ")</f>
        <v xml:space="preserve"> </v>
      </c>
      <c r="S827" s="54"/>
      <c r="T827" s="132" t="str">
        <f>IFERROR(VLOOKUP(S827,TD!$J$33:$K$43,2,0)," ")</f>
        <v xml:space="preserve"> </v>
      </c>
      <c r="U827" s="54" t="str">
        <f t="shared" si="48"/>
        <v xml:space="preserve">- </v>
      </c>
      <c r="V827" s="54"/>
      <c r="W827" s="132" t="str">
        <f>IFERROR(VLOOKUP(V827,TD!$N$33:$O$45,2,0)," ")</f>
        <v xml:space="preserve"> </v>
      </c>
      <c r="X827" s="54" t="str">
        <f t="shared" si="49"/>
        <v xml:space="preserve">_ </v>
      </c>
      <c r="Y827" s="54" t="str">
        <f t="shared" si="50"/>
        <v xml:space="preserve">-  _ </v>
      </c>
      <c r="Z827" s="132" t="str">
        <f t="shared" si="51"/>
        <v xml:space="preserve">   </v>
      </c>
      <c r="AA827" s="132" t="str">
        <f>IFERROR(VLOOKUP(Y827,TD!$K$46:$L$64,2,0)," ")</f>
        <v xml:space="preserve"> </v>
      </c>
      <c r="AB827" s="57"/>
      <c r="AC827" s="133"/>
    </row>
    <row r="828" spans="2:29" s="28" customFormat="1">
      <c r="B828" s="85"/>
      <c r="C828" s="53"/>
      <c r="D828" s="130"/>
      <c r="E828" s="54"/>
      <c r="F828" s="130"/>
      <c r="G828" s="130"/>
      <c r="H828" s="55"/>
      <c r="I828" s="135"/>
      <c r="J828" s="131"/>
      <c r="K828" s="56"/>
      <c r="L828" s="57"/>
      <c r="M828" s="130"/>
      <c r="N828" s="57"/>
      <c r="O828" s="54"/>
      <c r="P828" s="132" t="str">
        <f>IFERROR(VLOOKUP(C828,TD!$B$32:$F$36,2,0)," ")</f>
        <v xml:space="preserve"> </v>
      </c>
      <c r="Q828" s="132" t="str">
        <f>IFERROR(VLOOKUP(C828,TD!$B$32:$F$36,3,0)," ")</f>
        <v xml:space="preserve"> </v>
      </c>
      <c r="R828" s="132" t="str">
        <f>IFERROR(VLOOKUP(C828,TD!$B$32:$F$36,4,0)," ")</f>
        <v xml:space="preserve"> </v>
      </c>
      <c r="S828" s="54"/>
      <c r="T828" s="132" t="str">
        <f>IFERROR(VLOOKUP(S828,TD!$J$33:$K$43,2,0)," ")</f>
        <v xml:space="preserve"> </v>
      </c>
      <c r="U828" s="54" t="str">
        <f t="shared" si="48"/>
        <v xml:space="preserve">- </v>
      </c>
      <c r="V828" s="54"/>
      <c r="W828" s="132" t="str">
        <f>IFERROR(VLOOKUP(V828,TD!$N$33:$O$45,2,0)," ")</f>
        <v xml:space="preserve"> </v>
      </c>
      <c r="X828" s="54" t="str">
        <f t="shared" si="49"/>
        <v xml:space="preserve">_ </v>
      </c>
      <c r="Y828" s="54" t="str">
        <f t="shared" si="50"/>
        <v xml:space="preserve">-  _ </v>
      </c>
      <c r="Z828" s="132" t="str">
        <f t="shared" si="51"/>
        <v xml:space="preserve">   </v>
      </c>
      <c r="AA828" s="132" t="str">
        <f>IFERROR(VLOOKUP(Y828,TD!$K$46:$L$64,2,0)," ")</f>
        <v xml:space="preserve"> </v>
      </c>
      <c r="AB828" s="57"/>
      <c r="AC828" s="133"/>
    </row>
    <row r="829" spans="2:29" s="28" customFormat="1">
      <c r="B829" s="85"/>
      <c r="C829" s="53"/>
      <c r="D829" s="130"/>
      <c r="E829" s="54"/>
      <c r="F829" s="130"/>
      <c r="G829" s="130"/>
      <c r="H829" s="55"/>
      <c r="I829" s="135"/>
      <c r="J829" s="131"/>
      <c r="K829" s="56"/>
      <c r="L829" s="57"/>
      <c r="M829" s="130"/>
      <c r="N829" s="57"/>
      <c r="O829" s="54"/>
      <c r="P829" s="132" t="str">
        <f>IFERROR(VLOOKUP(C829,TD!$B$32:$F$36,2,0)," ")</f>
        <v xml:space="preserve"> </v>
      </c>
      <c r="Q829" s="132" t="str">
        <f>IFERROR(VLOOKUP(C829,TD!$B$32:$F$36,3,0)," ")</f>
        <v xml:space="preserve"> </v>
      </c>
      <c r="R829" s="132" t="str">
        <f>IFERROR(VLOOKUP(C829,TD!$B$32:$F$36,4,0)," ")</f>
        <v xml:space="preserve"> </v>
      </c>
      <c r="S829" s="54"/>
      <c r="T829" s="132" t="str">
        <f>IFERROR(VLOOKUP(S829,TD!$J$33:$K$43,2,0)," ")</f>
        <v xml:space="preserve"> </v>
      </c>
      <c r="U829" s="54" t="str">
        <f t="shared" si="48"/>
        <v xml:space="preserve">- </v>
      </c>
      <c r="V829" s="54"/>
      <c r="W829" s="132" t="str">
        <f>IFERROR(VLOOKUP(V829,TD!$N$33:$O$45,2,0)," ")</f>
        <v xml:space="preserve"> </v>
      </c>
      <c r="X829" s="54" t="str">
        <f t="shared" si="49"/>
        <v xml:space="preserve">_ </v>
      </c>
      <c r="Y829" s="54" t="str">
        <f t="shared" si="50"/>
        <v xml:space="preserve">-  _ </v>
      </c>
      <c r="Z829" s="132" t="str">
        <f t="shared" si="51"/>
        <v xml:space="preserve">   </v>
      </c>
      <c r="AA829" s="132" t="str">
        <f>IFERROR(VLOOKUP(Y829,TD!$K$46:$L$64,2,0)," ")</f>
        <v xml:space="preserve"> </v>
      </c>
      <c r="AB829" s="57"/>
      <c r="AC829" s="133"/>
    </row>
    <row r="830" spans="2:29" s="28" customFormat="1">
      <c r="B830" s="85"/>
      <c r="C830" s="53"/>
      <c r="D830" s="130"/>
      <c r="E830" s="54"/>
      <c r="F830" s="130"/>
      <c r="G830" s="130"/>
      <c r="H830" s="55"/>
      <c r="I830" s="135"/>
      <c r="J830" s="131"/>
      <c r="K830" s="56"/>
      <c r="L830" s="57"/>
      <c r="M830" s="130"/>
      <c r="N830" s="57"/>
      <c r="O830" s="54"/>
      <c r="P830" s="132" t="str">
        <f>IFERROR(VLOOKUP(C830,TD!$B$32:$F$36,2,0)," ")</f>
        <v xml:space="preserve"> </v>
      </c>
      <c r="Q830" s="132" t="str">
        <f>IFERROR(VLOOKUP(C830,TD!$B$32:$F$36,3,0)," ")</f>
        <v xml:space="preserve"> </v>
      </c>
      <c r="R830" s="132" t="str">
        <f>IFERROR(VLOOKUP(C830,TD!$B$32:$F$36,4,0)," ")</f>
        <v xml:space="preserve"> </v>
      </c>
      <c r="S830" s="54"/>
      <c r="T830" s="132" t="str">
        <f>IFERROR(VLOOKUP(S830,TD!$J$33:$K$43,2,0)," ")</f>
        <v xml:space="preserve"> </v>
      </c>
      <c r="U830" s="54" t="str">
        <f t="shared" si="48"/>
        <v xml:space="preserve">- </v>
      </c>
      <c r="V830" s="54"/>
      <c r="W830" s="132" t="str">
        <f>IFERROR(VLOOKUP(V830,TD!$N$33:$O$45,2,0)," ")</f>
        <v xml:space="preserve"> </v>
      </c>
      <c r="X830" s="54" t="str">
        <f t="shared" si="49"/>
        <v xml:space="preserve">_ </v>
      </c>
      <c r="Y830" s="54" t="str">
        <f t="shared" si="50"/>
        <v xml:space="preserve">-  _ </v>
      </c>
      <c r="Z830" s="132" t="str">
        <f t="shared" si="51"/>
        <v xml:space="preserve">   </v>
      </c>
      <c r="AA830" s="132" t="str">
        <f>IFERROR(VLOOKUP(Y830,TD!$K$46:$L$64,2,0)," ")</f>
        <v xml:space="preserve"> </v>
      </c>
      <c r="AB830" s="57"/>
      <c r="AC830" s="133"/>
    </row>
    <row r="831" spans="2:29" s="28" customFormat="1">
      <c r="B831" s="85"/>
      <c r="C831" s="53"/>
      <c r="D831" s="130"/>
      <c r="E831" s="54"/>
      <c r="F831" s="130"/>
      <c r="G831" s="130"/>
      <c r="H831" s="55"/>
      <c r="I831" s="135"/>
      <c r="J831" s="131"/>
      <c r="K831" s="56"/>
      <c r="L831" s="57"/>
      <c r="M831" s="130"/>
      <c r="N831" s="57"/>
      <c r="O831" s="54"/>
      <c r="P831" s="132" t="str">
        <f>IFERROR(VLOOKUP(C831,TD!$B$32:$F$36,2,0)," ")</f>
        <v xml:space="preserve"> </v>
      </c>
      <c r="Q831" s="132" t="str">
        <f>IFERROR(VLOOKUP(C831,TD!$B$32:$F$36,3,0)," ")</f>
        <v xml:space="preserve"> </v>
      </c>
      <c r="R831" s="132" t="str">
        <f>IFERROR(VLOOKUP(C831,TD!$B$32:$F$36,4,0)," ")</f>
        <v xml:space="preserve"> </v>
      </c>
      <c r="S831" s="54"/>
      <c r="T831" s="132" t="str">
        <f>IFERROR(VLOOKUP(S831,TD!$J$33:$K$43,2,0)," ")</f>
        <v xml:space="preserve"> </v>
      </c>
      <c r="U831" s="54" t="str">
        <f t="shared" si="48"/>
        <v xml:space="preserve">- </v>
      </c>
      <c r="V831" s="54"/>
      <c r="W831" s="132" t="str">
        <f>IFERROR(VLOOKUP(V831,TD!$N$33:$O$45,2,0)," ")</f>
        <v xml:space="preserve"> </v>
      </c>
      <c r="X831" s="54" t="str">
        <f t="shared" si="49"/>
        <v xml:space="preserve">_ </v>
      </c>
      <c r="Y831" s="54" t="str">
        <f t="shared" si="50"/>
        <v xml:space="preserve">-  _ </v>
      </c>
      <c r="Z831" s="132" t="str">
        <f t="shared" si="51"/>
        <v xml:space="preserve">   </v>
      </c>
      <c r="AA831" s="132" t="str">
        <f>IFERROR(VLOOKUP(Y831,TD!$K$46:$L$64,2,0)," ")</f>
        <v xml:space="preserve"> </v>
      </c>
      <c r="AB831" s="57"/>
      <c r="AC831" s="133"/>
    </row>
    <row r="832" spans="2:29" s="28" customFormat="1">
      <c r="B832" s="85"/>
      <c r="C832" s="53"/>
      <c r="D832" s="130"/>
      <c r="E832" s="54"/>
      <c r="F832" s="130"/>
      <c r="G832" s="130"/>
      <c r="H832" s="55"/>
      <c r="I832" s="135"/>
      <c r="J832" s="131"/>
      <c r="K832" s="56"/>
      <c r="L832" s="57"/>
      <c r="M832" s="130"/>
      <c r="N832" s="57"/>
      <c r="O832" s="54"/>
      <c r="P832" s="132" t="str">
        <f>IFERROR(VLOOKUP(C832,TD!$B$32:$F$36,2,0)," ")</f>
        <v xml:space="preserve"> </v>
      </c>
      <c r="Q832" s="132" t="str">
        <f>IFERROR(VLOOKUP(C832,TD!$B$32:$F$36,3,0)," ")</f>
        <v xml:space="preserve"> </v>
      </c>
      <c r="R832" s="132" t="str">
        <f>IFERROR(VLOOKUP(C832,TD!$B$32:$F$36,4,0)," ")</f>
        <v xml:space="preserve"> </v>
      </c>
      <c r="S832" s="54"/>
      <c r="T832" s="132" t="str">
        <f>IFERROR(VLOOKUP(S832,TD!$J$33:$K$43,2,0)," ")</f>
        <v xml:space="preserve"> </v>
      </c>
      <c r="U832" s="54" t="str">
        <f t="shared" si="48"/>
        <v xml:space="preserve">- </v>
      </c>
      <c r="V832" s="54"/>
      <c r="W832" s="132" t="str">
        <f>IFERROR(VLOOKUP(V832,TD!$N$33:$O$45,2,0)," ")</f>
        <v xml:space="preserve"> </v>
      </c>
      <c r="X832" s="54" t="str">
        <f t="shared" si="49"/>
        <v xml:space="preserve">_ </v>
      </c>
      <c r="Y832" s="54" t="str">
        <f t="shared" si="50"/>
        <v xml:space="preserve">-  _ </v>
      </c>
      <c r="Z832" s="132" t="str">
        <f t="shared" si="51"/>
        <v xml:space="preserve">   </v>
      </c>
      <c r="AA832" s="132" t="str">
        <f>IFERROR(VLOOKUP(Y832,TD!$K$46:$L$64,2,0)," ")</f>
        <v xml:space="preserve"> </v>
      </c>
      <c r="AB832" s="57"/>
      <c r="AC832" s="133"/>
    </row>
    <row r="833" spans="2:29" s="28" customFormat="1">
      <c r="B833" s="85"/>
      <c r="C833" s="53"/>
      <c r="D833" s="130"/>
      <c r="E833" s="54"/>
      <c r="F833" s="130"/>
      <c r="G833" s="130"/>
      <c r="H833" s="55"/>
      <c r="I833" s="135"/>
      <c r="J833" s="131"/>
      <c r="K833" s="56"/>
      <c r="L833" s="57"/>
      <c r="M833" s="130"/>
      <c r="N833" s="57"/>
      <c r="O833" s="54"/>
      <c r="P833" s="132" t="str">
        <f>IFERROR(VLOOKUP(C833,TD!$B$32:$F$36,2,0)," ")</f>
        <v xml:space="preserve"> </v>
      </c>
      <c r="Q833" s="132" t="str">
        <f>IFERROR(VLOOKUP(C833,TD!$B$32:$F$36,3,0)," ")</f>
        <v xml:space="preserve"> </v>
      </c>
      <c r="R833" s="132" t="str">
        <f>IFERROR(VLOOKUP(C833,TD!$B$32:$F$36,4,0)," ")</f>
        <v xml:space="preserve"> </v>
      </c>
      <c r="S833" s="54"/>
      <c r="T833" s="132" t="str">
        <f>IFERROR(VLOOKUP(S833,TD!$J$33:$K$43,2,0)," ")</f>
        <v xml:space="preserve"> </v>
      </c>
      <c r="U833" s="54" t="str">
        <f t="shared" si="48"/>
        <v xml:space="preserve">- </v>
      </c>
      <c r="V833" s="54"/>
      <c r="W833" s="132" t="str">
        <f>IFERROR(VLOOKUP(V833,TD!$N$33:$O$45,2,0)," ")</f>
        <v xml:space="preserve"> </v>
      </c>
      <c r="X833" s="54" t="str">
        <f t="shared" si="49"/>
        <v xml:space="preserve">_ </v>
      </c>
      <c r="Y833" s="54" t="str">
        <f t="shared" si="50"/>
        <v xml:space="preserve">-  _ </v>
      </c>
      <c r="Z833" s="132" t="str">
        <f t="shared" si="51"/>
        <v xml:space="preserve">   </v>
      </c>
      <c r="AA833" s="132" t="str">
        <f>IFERROR(VLOOKUP(Y833,TD!$K$46:$L$64,2,0)," ")</f>
        <v xml:space="preserve"> </v>
      </c>
      <c r="AB833" s="57"/>
      <c r="AC833" s="133"/>
    </row>
    <row r="834" spans="2:29" s="28" customFormat="1">
      <c r="B834" s="85"/>
      <c r="C834" s="53"/>
      <c r="D834" s="130"/>
      <c r="E834" s="54"/>
      <c r="F834" s="130"/>
      <c r="G834" s="130"/>
      <c r="H834" s="55"/>
      <c r="I834" s="135"/>
      <c r="J834" s="131"/>
      <c r="K834" s="56"/>
      <c r="L834" s="57"/>
      <c r="M834" s="130"/>
      <c r="N834" s="57"/>
      <c r="O834" s="54"/>
      <c r="P834" s="132" t="str">
        <f>IFERROR(VLOOKUP(C834,TD!$B$32:$F$36,2,0)," ")</f>
        <v xml:space="preserve"> </v>
      </c>
      <c r="Q834" s="132" t="str">
        <f>IFERROR(VLOOKUP(C834,TD!$B$32:$F$36,3,0)," ")</f>
        <v xml:space="preserve"> </v>
      </c>
      <c r="R834" s="132" t="str">
        <f>IFERROR(VLOOKUP(C834,TD!$B$32:$F$36,4,0)," ")</f>
        <v xml:space="preserve"> </v>
      </c>
      <c r="S834" s="54"/>
      <c r="T834" s="132" t="str">
        <f>IFERROR(VLOOKUP(S834,TD!$J$33:$K$43,2,0)," ")</f>
        <v xml:space="preserve"> </v>
      </c>
      <c r="U834" s="54" t="str">
        <f t="shared" si="48"/>
        <v xml:space="preserve">- </v>
      </c>
      <c r="V834" s="54"/>
      <c r="W834" s="132" t="str">
        <f>IFERROR(VLOOKUP(V834,TD!$N$33:$O$45,2,0)," ")</f>
        <v xml:space="preserve"> </v>
      </c>
      <c r="X834" s="54" t="str">
        <f t="shared" si="49"/>
        <v xml:space="preserve">_ </v>
      </c>
      <c r="Y834" s="54" t="str">
        <f t="shared" si="50"/>
        <v xml:space="preserve">-  _ </v>
      </c>
      <c r="Z834" s="132" t="str">
        <f t="shared" si="51"/>
        <v xml:space="preserve">   </v>
      </c>
      <c r="AA834" s="132" t="str">
        <f>IFERROR(VLOOKUP(Y834,TD!$K$46:$L$64,2,0)," ")</f>
        <v xml:space="preserve"> </v>
      </c>
      <c r="AB834" s="57"/>
      <c r="AC834" s="133"/>
    </row>
    <row r="835" spans="2:29" s="28" customFormat="1">
      <c r="B835" s="85"/>
      <c r="C835" s="53"/>
      <c r="D835" s="130"/>
      <c r="E835" s="54"/>
      <c r="F835" s="130"/>
      <c r="G835" s="130"/>
      <c r="H835" s="55"/>
      <c r="I835" s="135"/>
      <c r="J835" s="131"/>
      <c r="K835" s="56"/>
      <c r="L835" s="57"/>
      <c r="M835" s="130"/>
      <c r="N835" s="57"/>
      <c r="O835" s="54"/>
      <c r="P835" s="132" t="str">
        <f>IFERROR(VLOOKUP(C835,TD!$B$32:$F$36,2,0)," ")</f>
        <v xml:space="preserve"> </v>
      </c>
      <c r="Q835" s="132" t="str">
        <f>IFERROR(VLOOKUP(C835,TD!$B$32:$F$36,3,0)," ")</f>
        <v xml:space="preserve"> </v>
      </c>
      <c r="R835" s="132" t="str">
        <f>IFERROR(VLOOKUP(C835,TD!$B$32:$F$36,4,0)," ")</f>
        <v xml:space="preserve"> </v>
      </c>
      <c r="S835" s="54"/>
      <c r="T835" s="132" t="str">
        <f>IFERROR(VLOOKUP(S835,TD!$J$33:$K$43,2,0)," ")</f>
        <v xml:space="preserve"> </v>
      </c>
      <c r="U835" s="54" t="str">
        <f t="shared" si="48"/>
        <v xml:space="preserve">- </v>
      </c>
      <c r="V835" s="54"/>
      <c r="W835" s="132" t="str">
        <f>IFERROR(VLOOKUP(V835,TD!$N$33:$O$45,2,0)," ")</f>
        <v xml:space="preserve"> </v>
      </c>
      <c r="X835" s="54" t="str">
        <f t="shared" si="49"/>
        <v xml:space="preserve">_ </v>
      </c>
      <c r="Y835" s="54" t="str">
        <f t="shared" si="50"/>
        <v xml:space="preserve">-  _ </v>
      </c>
      <c r="Z835" s="132" t="str">
        <f t="shared" si="51"/>
        <v xml:space="preserve">   </v>
      </c>
      <c r="AA835" s="132" t="str">
        <f>IFERROR(VLOOKUP(Y835,TD!$K$46:$L$64,2,0)," ")</f>
        <v xml:space="preserve"> </v>
      </c>
      <c r="AB835" s="57"/>
      <c r="AC835" s="133"/>
    </row>
    <row r="836" spans="2:29" s="28" customFormat="1">
      <c r="B836" s="85"/>
      <c r="C836" s="53"/>
      <c r="D836" s="130"/>
      <c r="E836" s="54"/>
      <c r="F836" s="130"/>
      <c r="G836" s="130"/>
      <c r="H836" s="55"/>
      <c r="I836" s="135"/>
      <c r="J836" s="131"/>
      <c r="K836" s="56"/>
      <c r="L836" s="57"/>
      <c r="M836" s="130"/>
      <c r="N836" s="57"/>
      <c r="O836" s="54"/>
      <c r="P836" s="132" t="str">
        <f>IFERROR(VLOOKUP(C836,TD!$B$32:$F$36,2,0)," ")</f>
        <v xml:space="preserve"> </v>
      </c>
      <c r="Q836" s="132" t="str">
        <f>IFERROR(VLOOKUP(C836,TD!$B$32:$F$36,3,0)," ")</f>
        <v xml:space="preserve"> </v>
      </c>
      <c r="R836" s="132" t="str">
        <f>IFERROR(VLOOKUP(C836,TD!$B$32:$F$36,4,0)," ")</f>
        <v xml:space="preserve"> </v>
      </c>
      <c r="S836" s="54"/>
      <c r="T836" s="132" t="str">
        <f>IFERROR(VLOOKUP(S836,TD!$J$33:$K$43,2,0)," ")</f>
        <v xml:space="preserve"> </v>
      </c>
      <c r="U836" s="54" t="str">
        <f t="shared" si="48"/>
        <v xml:space="preserve">- </v>
      </c>
      <c r="V836" s="54"/>
      <c r="W836" s="132" t="str">
        <f>IFERROR(VLOOKUP(V836,TD!$N$33:$O$45,2,0)," ")</f>
        <v xml:space="preserve"> </v>
      </c>
      <c r="X836" s="54" t="str">
        <f t="shared" si="49"/>
        <v xml:space="preserve">_ </v>
      </c>
      <c r="Y836" s="54" t="str">
        <f t="shared" si="50"/>
        <v xml:space="preserve">-  _ </v>
      </c>
      <c r="Z836" s="132" t="str">
        <f t="shared" si="51"/>
        <v xml:space="preserve">   </v>
      </c>
      <c r="AA836" s="132" t="str">
        <f>IFERROR(VLOOKUP(Y836,TD!$K$46:$L$64,2,0)," ")</f>
        <v xml:space="preserve"> </v>
      </c>
      <c r="AB836" s="57"/>
      <c r="AC836" s="133"/>
    </row>
    <row r="837" spans="2:29" s="28" customFormat="1">
      <c r="B837" s="85"/>
      <c r="C837" s="53"/>
      <c r="D837" s="130"/>
      <c r="E837" s="54"/>
      <c r="F837" s="130"/>
      <c r="G837" s="130"/>
      <c r="H837" s="55"/>
      <c r="I837" s="135"/>
      <c r="J837" s="131"/>
      <c r="K837" s="56"/>
      <c r="L837" s="57"/>
      <c r="M837" s="130"/>
      <c r="N837" s="57"/>
      <c r="O837" s="54"/>
      <c r="P837" s="132" t="str">
        <f>IFERROR(VLOOKUP(C837,TD!$B$32:$F$36,2,0)," ")</f>
        <v xml:space="preserve"> </v>
      </c>
      <c r="Q837" s="132" t="str">
        <f>IFERROR(VLOOKUP(C837,TD!$B$32:$F$36,3,0)," ")</f>
        <v xml:space="preserve"> </v>
      </c>
      <c r="R837" s="132" t="str">
        <f>IFERROR(VLOOKUP(C837,TD!$B$32:$F$36,4,0)," ")</f>
        <v xml:space="preserve"> </v>
      </c>
      <c r="S837" s="54"/>
      <c r="T837" s="132" t="str">
        <f>IFERROR(VLOOKUP(S837,TD!$J$33:$K$43,2,0)," ")</f>
        <v xml:space="preserve"> </v>
      </c>
      <c r="U837" s="54" t="str">
        <f t="shared" si="48"/>
        <v xml:space="preserve">- </v>
      </c>
      <c r="V837" s="54"/>
      <c r="W837" s="132" t="str">
        <f>IFERROR(VLOOKUP(V837,TD!$N$33:$O$45,2,0)," ")</f>
        <v xml:space="preserve"> </v>
      </c>
      <c r="X837" s="54" t="str">
        <f t="shared" si="49"/>
        <v xml:space="preserve">_ </v>
      </c>
      <c r="Y837" s="54" t="str">
        <f t="shared" si="50"/>
        <v xml:space="preserve">-  _ </v>
      </c>
      <c r="Z837" s="132" t="str">
        <f t="shared" si="51"/>
        <v xml:space="preserve">   </v>
      </c>
      <c r="AA837" s="132" t="str">
        <f>IFERROR(VLOOKUP(Y837,TD!$K$46:$L$64,2,0)," ")</f>
        <v xml:space="preserve"> </v>
      </c>
      <c r="AB837" s="57"/>
      <c r="AC837" s="133"/>
    </row>
    <row r="838" spans="2:29" s="28" customFormat="1">
      <c r="B838" s="85"/>
      <c r="C838" s="53"/>
      <c r="D838" s="130"/>
      <c r="E838" s="54"/>
      <c r="F838" s="130"/>
      <c r="G838" s="130"/>
      <c r="H838" s="55"/>
      <c r="I838" s="135"/>
      <c r="J838" s="131"/>
      <c r="K838" s="56"/>
      <c r="L838" s="57"/>
      <c r="M838" s="130"/>
      <c r="N838" s="57"/>
      <c r="O838" s="54"/>
      <c r="P838" s="132" t="str">
        <f>IFERROR(VLOOKUP(C838,TD!$B$32:$F$36,2,0)," ")</f>
        <v xml:space="preserve"> </v>
      </c>
      <c r="Q838" s="132" t="str">
        <f>IFERROR(VLOOKUP(C838,TD!$B$32:$F$36,3,0)," ")</f>
        <v xml:space="preserve"> </v>
      </c>
      <c r="R838" s="132" t="str">
        <f>IFERROR(VLOOKUP(C838,TD!$B$32:$F$36,4,0)," ")</f>
        <v xml:space="preserve"> </v>
      </c>
      <c r="S838" s="54"/>
      <c r="T838" s="132" t="str">
        <f>IFERROR(VLOOKUP(S838,TD!$J$33:$K$43,2,0)," ")</f>
        <v xml:space="preserve"> </v>
      </c>
      <c r="U838" s="54" t="str">
        <f t="shared" si="48"/>
        <v xml:space="preserve">- </v>
      </c>
      <c r="V838" s="54"/>
      <c r="W838" s="132" t="str">
        <f>IFERROR(VLOOKUP(V838,TD!$N$33:$O$45,2,0)," ")</f>
        <v xml:space="preserve"> </v>
      </c>
      <c r="X838" s="54" t="str">
        <f t="shared" si="49"/>
        <v xml:space="preserve">_ </v>
      </c>
      <c r="Y838" s="54" t="str">
        <f t="shared" si="50"/>
        <v xml:space="preserve">-  _ </v>
      </c>
      <c r="Z838" s="132" t="str">
        <f t="shared" si="51"/>
        <v xml:space="preserve">   </v>
      </c>
      <c r="AA838" s="132" t="str">
        <f>IFERROR(VLOOKUP(Y838,TD!$K$46:$L$64,2,0)," ")</f>
        <v xml:space="preserve"> </v>
      </c>
      <c r="AB838" s="57"/>
      <c r="AC838" s="133"/>
    </row>
    <row r="839" spans="2:29" s="28" customFormat="1">
      <c r="B839" s="85"/>
      <c r="C839" s="53"/>
      <c r="D839" s="130"/>
      <c r="E839" s="54"/>
      <c r="F839" s="130"/>
      <c r="G839" s="130"/>
      <c r="H839" s="55"/>
      <c r="I839" s="135"/>
      <c r="J839" s="131"/>
      <c r="K839" s="56"/>
      <c r="L839" s="57"/>
      <c r="M839" s="130"/>
      <c r="N839" s="57"/>
      <c r="O839" s="54"/>
      <c r="P839" s="132" t="str">
        <f>IFERROR(VLOOKUP(C839,TD!$B$32:$F$36,2,0)," ")</f>
        <v xml:space="preserve"> </v>
      </c>
      <c r="Q839" s="132" t="str">
        <f>IFERROR(VLOOKUP(C839,TD!$B$32:$F$36,3,0)," ")</f>
        <v xml:space="preserve"> </v>
      </c>
      <c r="R839" s="132" t="str">
        <f>IFERROR(VLOOKUP(C839,TD!$B$32:$F$36,4,0)," ")</f>
        <v xml:space="preserve"> </v>
      </c>
      <c r="S839" s="54"/>
      <c r="T839" s="132" t="str">
        <f>IFERROR(VLOOKUP(S839,TD!$J$33:$K$43,2,0)," ")</f>
        <v xml:space="preserve"> </v>
      </c>
      <c r="U839" s="54" t="str">
        <f t="shared" si="48"/>
        <v xml:space="preserve">- </v>
      </c>
      <c r="V839" s="54"/>
      <c r="W839" s="132" t="str">
        <f>IFERROR(VLOOKUP(V839,TD!$N$33:$O$45,2,0)," ")</f>
        <v xml:space="preserve"> </v>
      </c>
      <c r="X839" s="54" t="str">
        <f t="shared" si="49"/>
        <v xml:space="preserve">_ </v>
      </c>
      <c r="Y839" s="54" t="str">
        <f t="shared" si="50"/>
        <v xml:space="preserve">-  _ </v>
      </c>
      <c r="Z839" s="132" t="str">
        <f t="shared" si="51"/>
        <v xml:space="preserve">   </v>
      </c>
      <c r="AA839" s="132" t="str">
        <f>IFERROR(VLOOKUP(Y839,TD!$K$46:$L$64,2,0)," ")</f>
        <v xml:space="preserve"> </v>
      </c>
      <c r="AB839" s="57"/>
      <c r="AC839" s="133"/>
    </row>
    <row r="840" spans="2:29" s="28" customFormat="1">
      <c r="B840" s="85"/>
      <c r="C840" s="53"/>
      <c r="D840" s="130"/>
      <c r="E840" s="54"/>
      <c r="F840" s="130"/>
      <c r="G840" s="130"/>
      <c r="H840" s="55"/>
      <c r="I840" s="135"/>
      <c r="J840" s="131"/>
      <c r="K840" s="56"/>
      <c r="L840" s="57"/>
      <c r="M840" s="130"/>
      <c r="N840" s="57"/>
      <c r="O840" s="54"/>
      <c r="P840" s="132" t="str">
        <f>IFERROR(VLOOKUP(C840,TD!$B$32:$F$36,2,0)," ")</f>
        <v xml:space="preserve"> </v>
      </c>
      <c r="Q840" s="132" t="str">
        <f>IFERROR(VLOOKUP(C840,TD!$B$32:$F$36,3,0)," ")</f>
        <v xml:space="preserve"> </v>
      </c>
      <c r="R840" s="132" t="str">
        <f>IFERROR(VLOOKUP(C840,TD!$B$32:$F$36,4,0)," ")</f>
        <v xml:space="preserve"> </v>
      </c>
      <c r="S840" s="54"/>
      <c r="T840" s="132" t="str">
        <f>IFERROR(VLOOKUP(S840,TD!$J$33:$K$43,2,0)," ")</f>
        <v xml:space="preserve"> </v>
      </c>
      <c r="U840" s="54" t="str">
        <f t="shared" si="48"/>
        <v xml:space="preserve">- </v>
      </c>
      <c r="V840" s="54"/>
      <c r="W840" s="132" t="str">
        <f>IFERROR(VLOOKUP(V840,TD!$N$33:$O$45,2,0)," ")</f>
        <v xml:space="preserve"> </v>
      </c>
      <c r="X840" s="54" t="str">
        <f t="shared" si="49"/>
        <v xml:space="preserve">_ </v>
      </c>
      <c r="Y840" s="54" t="str">
        <f t="shared" si="50"/>
        <v xml:space="preserve">-  _ </v>
      </c>
      <c r="Z840" s="132" t="str">
        <f t="shared" si="51"/>
        <v xml:space="preserve">   </v>
      </c>
      <c r="AA840" s="132" t="str">
        <f>IFERROR(VLOOKUP(Y840,TD!$K$46:$L$64,2,0)," ")</f>
        <v xml:space="preserve"> </v>
      </c>
      <c r="AB840" s="57"/>
      <c r="AC840" s="133"/>
    </row>
    <row r="841" spans="2:29" s="28" customFormat="1">
      <c r="B841" s="85"/>
      <c r="C841" s="53"/>
      <c r="D841" s="130"/>
      <c r="E841" s="54"/>
      <c r="F841" s="130"/>
      <c r="G841" s="130"/>
      <c r="H841" s="55"/>
      <c r="I841" s="135"/>
      <c r="J841" s="131"/>
      <c r="K841" s="56"/>
      <c r="L841" s="57"/>
      <c r="M841" s="130"/>
      <c r="N841" s="57"/>
      <c r="O841" s="54"/>
      <c r="P841" s="132" t="str">
        <f>IFERROR(VLOOKUP(C841,TD!$B$32:$F$36,2,0)," ")</f>
        <v xml:space="preserve"> </v>
      </c>
      <c r="Q841" s="132" t="str">
        <f>IFERROR(VLOOKUP(C841,TD!$B$32:$F$36,3,0)," ")</f>
        <v xml:space="preserve"> </v>
      </c>
      <c r="R841" s="132" t="str">
        <f>IFERROR(VLOOKUP(C841,TD!$B$32:$F$36,4,0)," ")</f>
        <v xml:space="preserve"> </v>
      </c>
      <c r="S841" s="54"/>
      <c r="T841" s="132" t="str">
        <f>IFERROR(VLOOKUP(S841,TD!$J$33:$K$43,2,0)," ")</f>
        <v xml:space="preserve"> </v>
      </c>
      <c r="U841" s="54" t="str">
        <f t="shared" si="48"/>
        <v xml:space="preserve">- </v>
      </c>
      <c r="V841" s="54"/>
      <c r="W841" s="132" t="str">
        <f>IFERROR(VLOOKUP(V841,TD!$N$33:$O$45,2,0)," ")</f>
        <v xml:space="preserve"> </v>
      </c>
      <c r="X841" s="54" t="str">
        <f t="shared" si="49"/>
        <v xml:space="preserve">_ </v>
      </c>
      <c r="Y841" s="54" t="str">
        <f t="shared" si="50"/>
        <v xml:space="preserve">-  _ </v>
      </c>
      <c r="Z841" s="132" t="str">
        <f t="shared" si="51"/>
        <v xml:space="preserve">   </v>
      </c>
      <c r="AA841" s="132" t="str">
        <f>IFERROR(VLOOKUP(Y841,TD!$K$46:$L$64,2,0)," ")</f>
        <v xml:space="preserve"> </v>
      </c>
      <c r="AB841" s="57"/>
      <c r="AC841" s="133"/>
    </row>
    <row r="842" spans="2:29" s="28" customFormat="1">
      <c r="B842" s="85"/>
      <c r="C842" s="53"/>
      <c r="D842" s="130"/>
      <c r="E842" s="54"/>
      <c r="F842" s="130"/>
      <c r="G842" s="130"/>
      <c r="H842" s="55"/>
      <c r="I842" s="135"/>
      <c r="J842" s="131"/>
      <c r="K842" s="56"/>
      <c r="L842" s="57"/>
      <c r="M842" s="130"/>
      <c r="N842" s="57"/>
      <c r="O842" s="54"/>
      <c r="P842" s="132" t="str">
        <f>IFERROR(VLOOKUP(C842,TD!$B$32:$F$36,2,0)," ")</f>
        <v xml:space="preserve"> </v>
      </c>
      <c r="Q842" s="132" t="str">
        <f>IFERROR(VLOOKUP(C842,TD!$B$32:$F$36,3,0)," ")</f>
        <v xml:space="preserve"> </v>
      </c>
      <c r="R842" s="132" t="str">
        <f>IFERROR(VLOOKUP(C842,TD!$B$32:$F$36,4,0)," ")</f>
        <v xml:space="preserve"> </v>
      </c>
      <c r="S842" s="54"/>
      <c r="T842" s="132" t="str">
        <f>IFERROR(VLOOKUP(S842,TD!$J$33:$K$43,2,0)," ")</f>
        <v xml:space="preserve"> </v>
      </c>
      <c r="U842" s="54" t="str">
        <f t="shared" si="48"/>
        <v xml:space="preserve">- </v>
      </c>
      <c r="V842" s="54"/>
      <c r="W842" s="132" t="str">
        <f>IFERROR(VLOOKUP(V842,TD!$N$33:$O$45,2,0)," ")</f>
        <v xml:space="preserve"> </v>
      </c>
      <c r="X842" s="54" t="str">
        <f t="shared" si="49"/>
        <v xml:space="preserve">_ </v>
      </c>
      <c r="Y842" s="54" t="str">
        <f t="shared" si="50"/>
        <v xml:space="preserve">-  _ </v>
      </c>
      <c r="Z842" s="132" t="str">
        <f t="shared" si="51"/>
        <v xml:space="preserve">   </v>
      </c>
      <c r="AA842" s="132" t="str">
        <f>IFERROR(VLOOKUP(Y842,TD!$K$46:$L$64,2,0)," ")</f>
        <v xml:space="preserve"> </v>
      </c>
      <c r="AB842" s="57"/>
      <c r="AC842" s="133"/>
    </row>
    <row r="843" spans="2:29" s="28" customFormat="1">
      <c r="B843" s="85"/>
      <c r="C843" s="53"/>
      <c r="D843" s="130"/>
      <c r="E843" s="54"/>
      <c r="F843" s="130"/>
      <c r="G843" s="130"/>
      <c r="H843" s="55"/>
      <c r="I843" s="135"/>
      <c r="J843" s="131"/>
      <c r="K843" s="56"/>
      <c r="L843" s="57"/>
      <c r="M843" s="130"/>
      <c r="N843" s="57"/>
      <c r="O843" s="54"/>
      <c r="P843" s="132" t="str">
        <f>IFERROR(VLOOKUP(C843,TD!$B$32:$F$36,2,0)," ")</f>
        <v xml:space="preserve"> </v>
      </c>
      <c r="Q843" s="132" t="str">
        <f>IFERROR(VLOOKUP(C843,TD!$B$32:$F$36,3,0)," ")</f>
        <v xml:space="preserve"> </v>
      </c>
      <c r="R843" s="132" t="str">
        <f>IFERROR(VLOOKUP(C843,TD!$B$32:$F$36,4,0)," ")</f>
        <v xml:space="preserve"> </v>
      </c>
      <c r="S843" s="54"/>
      <c r="T843" s="132" t="str">
        <f>IFERROR(VLOOKUP(S843,TD!$J$33:$K$43,2,0)," ")</f>
        <v xml:space="preserve"> </v>
      </c>
      <c r="U843" s="54" t="str">
        <f t="shared" ref="U843:U906" si="52">CONCATENATE(S843,"-",T843)</f>
        <v xml:space="preserve">- </v>
      </c>
      <c r="V843" s="54"/>
      <c r="W843" s="132" t="str">
        <f>IFERROR(VLOOKUP(V843,TD!$N$33:$O$45,2,0)," ")</f>
        <v xml:space="preserve"> </v>
      </c>
      <c r="X843" s="54" t="str">
        <f t="shared" ref="X843:X906" si="53">CONCATENATE(V843,"_",W843)</f>
        <v xml:space="preserve">_ </v>
      </c>
      <c r="Y843" s="54" t="str">
        <f t="shared" ref="Y843:Y906" si="54">CONCATENATE(U843," ",X843)</f>
        <v xml:space="preserve">-  _ </v>
      </c>
      <c r="Z843" s="132" t="str">
        <f t="shared" ref="Z843:Z906" si="55">CONCATENATE(P843,Q843,R843,S843,V843)</f>
        <v xml:space="preserve">   </v>
      </c>
      <c r="AA843" s="132" t="str">
        <f>IFERROR(VLOOKUP(Y843,TD!$K$46:$L$64,2,0)," ")</f>
        <v xml:space="preserve"> </v>
      </c>
      <c r="AB843" s="57"/>
      <c r="AC843" s="133"/>
    </row>
    <row r="844" spans="2:29" s="28" customFormat="1">
      <c r="B844" s="85"/>
      <c r="C844" s="53"/>
      <c r="D844" s="130"/>
      <c r="E844" s="54"/>
      <c r="F844" s="130"/>
      <c r="G844" s="130"/>
      <c r="H844" s="55"/>
      <c r="I844" s="135"/>
      <c r="J844" s="131"/>
      <c r="K844" s="56"/>
      <c r="L844" s="57"/>
      <c r="M844" s="130"/>
      <c r="N844" s="57"/>
      <c r="O844" s="54"/>
      <c r="P844" s="132" t="str">
        <f>IFERROR(VLOOKUP(C844,TD!$B$32:$F$36,2,0)," ")</f>
        <v xml:space="preserve"> </v>
      </c>
      <c r="Q844" s="132" t="str">
        <f>IFERROR(VLOOKUP(C844,TD!$B$32:$F$36,3,0)," ")</f>
        <v xml:space="preserve"> </v>
      </c>
      <c r="R844" s="132" t="str">
        <f>IFERROR(VLOOKUP(C844,TD!$B$32:$F$36,4,0)," ")</f>
        <v xml:space="preserve"> </v>
      </c>
      <c r="S844" s="54"/>
      <c r="T844" s="132" t="str">
        <f>IFERROR(VLOOKUP(S844,TD!$J$33:$K$43,2,0)," ")</f>
        <v xml:space="preserve"> </v>
      </c>
      <c r="U844" s="54" t="str">
        <f t="shared" si="52"/>
        <v xml:space="preserve">- </v>
      </c>
      <c r="V844" s="54"/>
      <c r="W844" s="132" t="str">
        <f>IFERROR(VLOOKUP(V844,TD!$N$33:$O$45,2,0)," ")</f>
        <v xml:space="preserve"> </v>
      </c>
      <c r="X844" s="54" t="str">
        <f t="shared" si="53"/>
        <v xml:space="preserve">_ </v>
      </c>
      <c r="Y844" s="54" t="str">
        <f t="shared" si="54"/>
        <v xml:space="preserve">-  _ </v>
      </c>
      <c r="Z844" s="132" t="str">
        <f t="shared" si="55"/>
        <v xml:space="preserve">   </v>
      </c>
      <c r="AA844" s="132" t="str">
        <f>IFERROR(VLOOKUP(Y844,TD!$K$46:$L$64,2,0)," ")</f>
        <v xml:space="preserve"> </v>
      </c>
      <c r="AB844" s="57"/>
      <c r="AC844" s="133"/>
    </row>
    <row r="845" spans="2:29" s="28" customFormat="1">
      <c r="B845" s="85"/>
      <c r="C845" s="53"/>
      <c r="D845" s="130"/>
      <c r="E845" s="54"/>
      <c r="F845" s="130"/>
      <c r="G845" s="130"/>
      <c r="H845" s="55"/>
      <c r="I845" s="135"/>
      <c r="J845" s="131"/>
      <c r="K845" s="56"/>
      <c r="L845" s="57"/>
      <c r="M845" s="130"/>
      <c r="N845" s="57"/>
      <c r="O845" s="54"/>
      <c r="P845" s="132" t="str">
        <f>IFERROR(VLOOKUP(C845,TD!$B$32:$F$36,2,0)," ")</f>
        <v xml:space="preserve"> </v>
      </c>
      <c r="Q845" s="132" t="str">
        <f>IFERROR(VLOOKUP(C845,TD!$B$32:$F$36,3,0)," ")</f>
        <v xml:space="preserve"> </v>
      </c>
      <c r="R845" s="132" t="str">
        <f>IFERROR(VLOOKUP(C845,TD!$B$32:$F$36,4,0)," ")</f>
        <v xml:space="preserve"> </v>
      </c>
      <c r="S845" s="54"/>
      <c r="T845" s="132" t="str">
        <f>IFERROR(VLOOKUP(S845,TD!$J$33:$K$43,2,0)," ")</f>
        <v xml:space="preserve"> </v>
      </c>
      <c r="U845" s="54" t="str">
        <f t="shared" si="52"/>
        <v xml:space="preserve">- </v>
      </c>
      <c r="V845" s="54"/>
      <c r="W845" s="132" t="str">
        <f>IFERROR(VLOOKUP(V845,TD!$N$33:$O$45,2,0)," ")</f>
        <v xml:space="preserve"> </v>
      </c>
      <c r="X845" s="54" t="str">
        <f t="shared" si="53"/>
        <v xml:space="preserve">_ </v>
      </c>
      <c r="Y845" s="54" t="str">
        <f t="shared" si="54"/>
        <v xml:space="preserve">-  _ </v>
      </c>
      <c r="Z845" s="132" t="str">
        <f t="shared" si="55"/>
        <v xml:space="preserve">   </v>
      </c>
      <c r="AA845" s="132" t="str">
        <f>IFERROR(VLOOKUP(Y845,TD!$K$46:$L$64,2,0)," ")</f>
        <v xml:space="preserve"> </v>
      </c>
      <c r="AB845" s="57"/>
      <c r="AC845" s="133"/>
    </row>
    <row r="846" spans="2:29" s="28" customFormat="1">
      <c r="B846" s="85"/>
      <c r="C846" s="53"/>
      <c r="D846" s="130"/>
      <c r="E846" s="54"/>
      <c r="F846" s="130"/>
      <c r="G846" s="130"/>
      <c r="H846" s="55"/>
      <c r="I846" s="135"/>
      <c r="J846" s="131"/>
      <c r="K846" s="56"/>
      <c r="L846" s="57"/>
      <c r="M846" s="130"/>
      <c r="N846" s="57"/>
      <c r="O846" s="54"/>
      <c r="P846" s="132" t="str">
        <f>IFERROR(VLOOKUP(C846,TD!$B$32:$F$36,2,0)," ")</f>
        <v xml:space="preserve"> </v>
      </c>
      <c r="Q846" s="132" t="str">
        <f>IFERROR(VLOOKUP(C846,TD!$B$32:$F$36,3,0)," ")</f>
        <v xml:space="preserve"> </v>
      </c>
      <c r="R846" s="132" t="str">
        <f>IFERROR(VLOOKUP(C846,TD!$B$32:$F$36,4,0)," ")</f>
        <v xml:space="preserve"> </v>
      </c>
      <c r="S846" s="54"/>
      <c r="T846" s="132" t="str">
        <f>IFERROR(VLOOKUP(S846,TD!$J$33:$K$43,2,0)," ")</f>
        <v xml:space="preserve"> </v>
      </c>
      <c r="U846" s="54" t="str">
        <f t="shared" si="52"/>
        <v xml:space="preserve">- </v>
      </c>
      <c r="V846" s="54"/>
      <c r="W846" s="132" t="str">
        <f>IFERROR(VLOOKUP(V846,TD!$N$33:$O$45,2,0)," ")</f>
        <v xml:space="preserve"> </v>
      </c>
      <c r="X846" s="54" t="str">
        <f t="shared" si="53"/>
        <v xml:space="preserve">_ </v>
      </c>
      <c r="Y846" s="54" t="str">
        <f t="shared" si="54"/>
        <v xml:space="preserve">-  _ </v>
      </c>
      <c r="Z846" s="132" t="str">
        <f t="shared" si="55"/>
        <v xml:space="preserve">   </v>
      </c>
      <c r="AA846" s="132" t="str">
        <f>IFERROR(VLOOKUP(Y846,TD!$K$46:$L$64,2,0)," ")</f>
        <v xml:space="preserve"> </v>
      </c>
      <c r="AB846" s="57"/>
      <c r="AC846" s="133"/>
    </row>
    <row r="847" spans="2:29" s="28" customFormat="1">
      <c r="B847" s="85"/>
      <c r="C847" s="53"/>
      <c r="D847" s="130"/>
      <c r="E847" s="54"/>
      <c r="F847" s="130"/>
      <c r="G847" s="130"/>
      <c r="H847" s="55"/>
      <c r="I847" s="135"/>
      <c r="J847" s="131"/>
      <c r="K847" s="56"/>
      <c r="L847" s="57"/>
      <c r="M847" s="130"/>
      <c r="N847" s="57"/>
      <c r="O847" s="54"/>
      <c r="P847" s="132" t="str">
        <f>IFERROR(VLOOKUP(C847,TD!$B$32:$F$36,2,0)," ")</f>
        <v xml:space="preserve"> </v>
      </c>
      <c r="Q847" s="132" t="str">
        <f>IFERROR(VLOOKUP(C847,TD!$B$32:$F$36,3,0)," ")</f>
        <v xml:space="preserve"> </v>
      </c>
      <c r="R847" s="132" t="str">
        <f>IFERROR(VLOOKUP(C847,TD!$B$32:$F$36,4,0)," ")</f>
        <v xml:space="preserve"> </v>
      </c>
      <c r="S847" s="54"/>
      <c r="T847" s="132" t="str">
        <f>IFERROR(VLOOKUP(S847,TD!$J$33:$K$43,2,0)," ")</f>
        <v xml:space="preserve"> </v>
      </c>
      <c r="U847" s="54" t="str">
        <f t="shared" si="52"/>
        <v xml:space="preserve">- </v>
      </c>
      <c r="V847" s="54"/>
      <c r="W847" s="132" t="str">
        <f>IFERROR(VLOOKUP(V847,TD!$N$33:$O$45,2,0)," ")</f>
        <v xml:space="preserve"> </v>
      </c>
      <c r="X847" s="54" t="str">
        <f t="shared" si="53"/>
        <v xml:space="preserve">_ </v>
      </c>
      <c r="Y847" s="54" t="str">
        <f t="shared" si="54"/>
        <v xml:space="preserve">-  _ </v>
      </c>
      <c r="Z847" s="132" t="str">
        <f t="shared" si="55"/>
        <v xml:space="preserve">   </v>
      </c>
      <c r="AA847" s="132" t="str">
        <f>IFERROR(VLOOKUP(Y847,TD!$K$46:$L$64,2,0)," ")</f>
        <v xml:space="preserve"> </v>
      </c>
      <c r="AB847" s="57"/>
      <c r="AC847" s="133"/>
    </row>
    <row r="848" spans="2:29" s="28" customFormat="1">
      <c r="B848" s="85"/>
      <c r="C848" s="53"/>
      <c r="D848" s="130"/>
      <c r="E848" s="54"/>
      <c r="F848" s="130"/>
      <c r="G848" s="130"/>
      <c r="H848" s="55"/>
      <c r="I848" s="135"/>
      <c r="J848" s="131"/>
      <c r="K848" s="56"/>
      <c r="L848" s="57"/>
      <c r="M848" s="130"/>
      <c r="N848" s="57"/>
      <c r="O848" s="54"/>
      <c r="P848" s="132" t="str">
        <f>IFERROR(VLOOKUP(C848,TD!$B$32:$F$36,2,0)," ")</f>
        <v xml:space="preserve"> </v>
      </c>
      <c r="Q848" s="132" t="str">
        <f>IFERROR(VLOOKUP(C848,TD!$B$32:$F$36,3,0)," ")</f>
        <v xml:space="preserve"> </v>
      </c>
      <c r="R848" s="132" t="str">
        <f>IFERROR(VLOOKUP(C848,TD!$B$32:$F$36,4,0)," ")</f>
        <v xml:space="preserve"> </v>
      </c>
      <c r="S848" s="54"/>
      <c r="T848" s="132" t="str">
        <f>IFERROR(VLOOKUP(S848,TD!$J$33:$K$43,2,0)," ")</f>
        <v xml:space="preserve"> </v>
      </c>
      <c r="U848" s="54" t="str">
        <f t="shared" si="52"/>
        <v xml:space="preserve">- </v>
      </c>
      <c r="V848" s="54"/>
      <c r="W848" s="132" t="str">
        <f>IFERROR(VLOOKUP(V848,TD!$N$33:$O$45,2,0)," ")</f>
        <v xml:space="preserve"> </v>
      </c>
      <c r="X848" s="54" t="str">
        <f t="shared" si="53"/>
        <v xml:space="preserve">_ </v>
      </c>
      <c r="Y848" s="54" t="str">
        <f t="shared" si="54"/>
        <v xml:space="preserve">-  _ </v>
      </c>
      <c r="Z848" s="132" t="str">
        <f t="shared" si="55"/>
        <v xml:space="preserve">   </v>
      </c>
      <c r="AA848" s="132" t="str">
        <f>IFERROR(VLOOKUP(Y848,TD!$K$46:$L$64,2,0)," ")</f>
        <v xml:space="preserve"> </v>
      </c>
      <c r="AB848" s="57"/>
      <c r="AC848" s="133"/>
    </row>
    <row r="849" spans="2:29" s="28" customFormat="1">
      <c r="B849" s="85"/>
      <c r="C849" s="53"/>
      <c r="D849" s="130"/>
      <c r="E849" s="54"/>
      <c r="F849" s="130"/>
      <c r="G849" s="130"/>
      <c r="H849" s="55"/>
      <c r="I849" s="135"/>
      <c r="J849" s="131"/>
      <c r="K849" s="56"/>
      <c r="L849" s="57"/>
      <c r="M849" s="130"/>
      <c r="N849" s="57"/>
      <c r="O849" s="54"/>
      <c r="P849" s="132" t="str">
        <f>IFERROR(VLOOKUP(C849,TD!$B$32:$F$36,2,0)," ")</f>
        <v xml:space="preserve"> </v>
      </c>
      <c r="Q849" s="132" t="str">
        <f>IFERROR(VLOOKUP(C849,TD!$B$32:$F$36,3,0)," ")</f>
        <v xml:space="preserve"> </v>
      </c>
      <c r="R849" s="132" t="str">
        <f>IFERROR(VLOOKUP(C849,TD!$B$32:$F$36,4,0)," ")</f>
        <v xml:space="preserve"> </v>
      </c>
      <c r="S849" s="54"/>
      <c r="T849" s="132" t="str">
        <f>IFERROR(VLOOKUP(S849,TD!$J$33:$K$43,2,0)," ")</f>
        <v xml:space="preserve"> </v>
      </c>
      <c r="U849" s="54" t="str">
        <f t="shared" si="52"/>
        <v xml:space="preserve">- </v>
      </c>
      <c r="V849" s="54"/>
      <c r="W849" s="132" t="str">
        <f>IFERROR(VLOOKUP(V849,TD!$N$33:$O$45,2,0)," ")</f>
        <v xml:space="preserve"> </v>
      </c>
      <c r="X849" s="54" t="str">
        <f t="shared" si="53"/>
        <v xml:space="preserve">_ </v>
      </c>
      <c r="Y849" s="54" t="str">
        <f t="shared" si="54"/>
        <v xml:space="preserve">-  _ </v>
      </c>
      <c r="Z849" s="132" t="str">
        <f t="shared" si="55"/>
        <v xml:space="preserve">   </v>
      </c>
      <c r="AA849" s="132" t="str">
        <f>IFERROR(VLOOKUP(Y849,TD!$K$46:$L$64,2,0)," ")</f>
        <v xml:space="preserve"> </v>
      </c>
      <c r="AB849" s="57"/>
      <c r="AC849" s="133"/>
    </row>
    <row r="850" spans="2:29" s="28" customFormat="1">
      <c r="B850" s="85"/>
      <c r="C850" s="53"/>
      <c r="D850" s="130"/>
      <c r="E850" s="54"/>
      <c r="F850" s="130"/>
      <c r="G850" s="130"/>
      <c r="H850" s="55"/>
      <c r="I850" s="135"/>
      <c r="J850" s="131"/>
      <c r="K850" s="56"/>
      <c r="L850" s="57"/>
      <c r="M850" s="130"/>
      <c r="N850" s="57"/>
      <c r="O850" s="54"/>
      <c r="P850" s="132" t="str">
        <f>IFERROR(VLOOKUP(C850,TD!$B$32:$F$36,2,0)," ")</f>
        <v xml:space="preserve"> </v>
      </c>
      <c r="Q850" s="132" t="str">
        <f>IFERROR(VLOOKUP(C850,TD!$B$32:$F$36,3,0)," ")</f>
        <v xml:space="preserve"> </v>
      </c>
      <c r="R850" s="132" t="str">
        <f>IFERROR(VLOOKUP(C850,TD!$B$32:$F$36,4,0)," ")</f>
        <v xml:space="preserve"> </v>
      </c>
      <c r="S850" s="54"/>
      <c r="T850" s="132" t="str">
        <f>IFERROR(VLOOKUP(S850,TD!$J$33:$K$43,2,0)," ")</f>
        <v xml:space="preserve"> </v>
      </c>
      <c r="U850" s="54" t="str">
        <f t="shared" si="52"/>
        <v xml:space="preserve">- </v>
      </c>
      <c r="V850" s="54"/>
      <c r="W850" s="132" t="str">
        <f>IFERROR(VLOOKUP(V850,TD!$N$33:$O$45,2,0)," ")</f>
        <v xml:space="preserve"> </v>
      </c>
      <c r="X850" s="54" t="str">
        <f t="shared" si="53"/>
        <v xml:space="preserve">_ </v>
      </c>
      <c r="Y850" s="54" t="str">
        <f t="shared" si="54"/>
        <v xml:space="preserve">-  _ </v>
      </c>
      <c r="Z850" s="132" t="str">
        <f t="shared" si="55"/>
        <v xml:space="preserve">   </v>
      </c>
      <c r="AA850" s="132" t="str">
        <f>IFERROR(VLOOKUP(Y850,TD!$K$46:$L$64,2,0)," ")</f>
        <v xml:space="preserve"> </v>
      </c>
      <c r="AB850" s="57"/>
      <c r="AC850" s="133"/>
    </row>
    <row r="851" spans="2:29" s="28" customFormat="1">
      <c r="B851" s="85"/>
      <c r="C851" s="53"/>
      <c r="D851" s="130"/>
      <c r="E851" s="54"/>
      <c r="F851" s="130"/>
      <c r="G851" s="130"/>
      <c r="H851" s="55"/>
      <c r="I851" s="135"/>
      <c r="J851" s="131"/>
      <c r="K851" s="56"/>
      <c r="L851" s="57"/>
      <c r="M851" s="130"/>
      <c r="N851" s="57"/>
      <c r="O851" s="54"/>
      <c r="P851" s="132" t="str">
        <f>IFERROR(VLOOKUP(C851,TD!$B$32:$F$36,2,0)," ")</f>
        <v xml:space="preserve"> </v>
      </c>
      <c r="Q851" s="132" t="str">
        <f>IFERROR(VLOOKUP(C851,TD!$B$32:$F$36,3,0)," ")</f>
        <v xml:space="preserve"> </v>
      </c>
      <c r="R851" s="132" t="str">
        <f>IFERROR(VLOOKUP(C851,TD!$B$32:$F$36,4,0)," ")</f>
        <v xml:space="preserve"> </v>
      </c>
      <c r="S851" s="54"/>
      <c r="T851" s="132" t="str">
        <f>IFERROR(VLOOKUP(S851,TD!$J$33:$K$43,2,0)," ")</f>
        <v xml:space="preserve"> </v>
      </c>
      <c r="U851" s="54" t="str">
        <f t="shared" si="52"/>
        <v xml:space="preserve">- </v>
      </c>
      <c r="V851" s="54"/>
      <c r="W851" s="132" t="str">
        <f>IFERROR(VLOOKUP(V851,TD!$N$33:$O$45,2,0)," ")</f>
        <v xml:space="preserve"> </v>
      </c>
      <c r="X851" s="54" t="str">
        <f t="shared" si="53"/>
        <v xml:space="preserve">_ </v>
      </c>
      <c r="Y851" s="54" t="str">
        <f t="shared" si="54"/>
        <v xml:space="preserve">-  _ </v>
      </c>
      <c r="Z851" s="132" t="str">
        <f t="shared" si="55"/>
        <v xml:space="preserve">   </v>
      </c>
      <c r="AA851" s="132" t="str">
        <f>IFERROR(VLOOKUP(Y851,TD!$K$46:$L$64,2,0)," ")</f>
        <v xml:space="preserve"> </v>
      </c>
      <c r="AB851" s="57"/>
      <c r="AC851" s="133"/>
    </row>
    <row r="852" spans="2:29" s="28" customFormat="1">
      <c r="B852" s="85"/>
      <c r="C852" s="53"/>
      <c r="D852" s="130"/>
      <c r="E852" s="54"/>
      <c r="F852" s="130"/>
      <c r="G852" s="130"/>
      <c r="H852" s="55"/>
      <c r="I852" s="135"/>
      <c r="J852" s="131"/>
      <c r="K852" s="56"/>
      <c r="L852" s="57"/>
      <c r="M852" s="130"/>
      <c r="N852" s="57"/>
      <c r="O852" s="54"/>
      <c r="P852" s="132" t="str">
        <f>IFERROR(VLOOKUP(C852,TD!$B$32:$F$36,2,0)," ")</f>
        <v xml:space="preserve"> </v>
      </c>
      <c r="Q852" s="132" t="str">
        <f>IFERROR(VLOOKUP(C852,TD!$B$32:$F$36,3,0)," ")</f>
        <v xml:space="preserve"> </v>
      </c>
      <c r="R852" s="132" t="str">
        <f>IFERROR(VLOOKUP(C852,TD!$B$32:$F$36,4,0)," ")</f>
        <v xml:space="preserve"> </v>
      </c>
      <c r="S852" s="54"/>
      <c r="T852" s="132" t="str">
        <f>IFERROR(VLOOKUP(S852,TD!$J$33:$K$43,2,0)," ")</f>
        <v xml:space="preserve"> </v>
      </c>
      <c r="U852" s="54" t="str">
        <f t="shared" si="52"/>
        <v xml:space="preserve">- </v>
      </c>
      <c r="V852" s="54"/>
      <c r="W852" s="132" t="str">
        <f>IFERROR(VLOOKUP(V852,TD!$N$33:$O$45,2,0)," ")</f>
        <v xml:space="preserve"> </v>
      </c>
      <c r="X852" s="54" t="str">
        <f t="shared" si="53"/>
        <v xml:space="preserve">_ </v>
      </c>
      <c r="Y852" s="54" t="str">
        <f t="shared" si="54"/>
        <v xml:space="preserve">-  _ </v>
      </c>
      <c r="Z852" s="132" t="str">
        <f t="shared" si="55"/>
        <v xml:space="preserve">   </v>
      </c>
      <c r="AA852" s="132" t="str">
        <f>IFERROR(VLOOKUP(Y852,TD!$K$46:$L$64,2,0)," ")</f>
        <v xml:space="preserve"> </v>
      </c>
      <c r="AB852" s="57"/>
      <c r="AC852" s="133"/>
    </row>
    <row r="853" spans="2:29" s="28" customFormat="1">
      <c r="B853" s="85"/>
      <c r="C853" s="53"/>
      <c r="D853" s="130"/>
      <c r="E853" s="54"/>
      <c r="F853" s="130"/>
      <c r="G853" s="130"/>
      <c r="H853" s="55"/>
      <c r="I853" s="135"/>
      <c r="J853" s="131"/>
      <c r="K853" s="56"/>
      <c r="L853" s="57"/>
      <c r="M853" s="130"/>
      <c r="N853" s="57"/>
      <c r="O853" s="54"/>
      <c r="P853" s="132" t="str">
        <f>IFERROR(VLOOKUP(C853,TD!$B$32:$F$36,2,0)," ")</f>
        <v xml:space="preserve"> </v>
      </c>
      <c r="Q853" s="132" t="str">
        <f>IFERROR(VLOOKUP(C853,TD!$B$32:$F$36,3,0)," ")</f>
        <v xml:space="preserve"> </v>
      </c>
      <c r="R853" s="132" t="str">
        <f>IFERROR(VLOOKUP(C853,TD!$B$32:$F$36,4,0)," ")</f>
        <v xml:space="preserve"> </v>
      </c>
      <c r="S853" s="54"/>
      <c r="T853" s="132" t="str">
        <f>IFERROR(VLOOKUP(S853,TD!$J$33:$K$43,2,0)," ")</f>
        <v xml:space="preserve"> </v>
      </c>
      <c r="U853" s="54" t="str">
        <f t="shared" si="52"/>
        <v xml:space="preserve">- </v>
      </c>
      <c r="V853" s="54"/>
      <c r="W853" s="132" t="str">
        <f>IFERROR(VLOOKUP(V853,TD!$N$33:$O$45,2,0)," ")</f>
        <v xml:space="preserve"> </v>
      </c>
      <c r="X853" s="54" t="str">
        <f t="shared" si="53"/>
        <v xml:space="preserve">_ </v>
      </c>
      <c r="Y853" s="54" t="str">
        <f t="shared" si="54"/>
        <v xml:space="preserve">-  _ </v>
      </c>
      <c r="Z853" s="132" t="str">
        <f t="shared" si="55"/>
        <v xml:space="preserve">   </v>
      </c>
      <c r="AA853" s="132" t="str">
        <f>IFERROR(VLOOKUP(Y853,TD!$K$46:$L$64,2,0)," ")</f>
        <v xml:space="preserve"> </v>
      </c>
      <c r="AB853" s="57"/>
      <c r="AC853" s="133"/>
    </row>
    <row r="854" spans="2:29" s="28" customFormat="1">
      <c r="B854" s="85"/>
      <c r="C854" s="53"/>
      <c r="D854" s="130"/>
      <c r="E854" s="54"/>
      <c r="F854" s="130"/>
      <c r="G854" s="130"/>
      <c r="H854" s="55"/>
      <c r="I854" s="135"/>
      <c r="J854" s="131"/>
      <c r="K854" s="56"/>
      <c r="L854" s="57"/>
      <c r="M854" s="130"/>
      <c r="N854" s="57"/>
      <c r="O854" s="54"/>
      <c r="P854" s="132" t="str">
        <f>IFERROR(VLOOKUP(C854,TD!$B$32:$F$36,2,0)," ")</f>
        <v xml:space="preserve"> </v>
      </c>
      <c r="Q854" s="132" t="str">
        <f>IFERROR(VLOOKUP(C854,TD!$B$32:$F$36,3,0)," ")</f>
        <v xml:space="preserve"> </v>
      </c>
      <c r="R854" s="132" t="str">
        <f>IFERROR(VLOOKUP(C854,TD!$B$32:$F$36,4,0)," ")</f>
        <v xml:space="preserve"> </v>
      </c>
      <c r="S854" s="54"/>
      <c r="T854" s="132" t="str">
        <f>IFERROR(VLOOKUP(S854,TD!$J$33:$K$43,2,0)," ")</f>
        <v xml:space="preserve"> </v>
      </c>
      <c r="U854" s="54" t="str">
        <f t="shared" si="52"/>
        <v xml:space="preserve">- </v>
      </c>
      <c r="V854" s="54"/>
      <c r="W854" s="132" t="str">
        <f>IFERROR(VLOOKUP(V854,TD!$N$33:$O$45,2,0)," ")</f>
        <v xml:space="preserve"> </v>
      </c>
      <c r="X854" s="54" t="str">
        <f t="shared" si="53"/>
        <v xml:space="preserve">_ </v>
      </c>
      <c r="Y854" s="54" t="str">
        <f t="shared" si="54"/>
        <v xml:space="preserve">-  _ </v>
      </c>
      <c r="Z854" s="132" t="str">
        <f t="shared" si="55"/>
        <v xml:space="preserve">   </v>
      </c>
      <c r="AA854" s="132" t="str">
        <f>IFERROR(VLOOKUP(Y854,TD!$K$46:$L$64,2,0)," ")</f>
        <v xml:space="preserve"> </v>
      </c>
      <c r="AB854" s="57"/>
      <c r="AC854" s="133"/>
    </row>
    <row r="855" spans="2:29" s="28" customFormat="1">
      <c r="B855" s="85"/>
      <c r="C855" s="53"/>
      <c r="D855" s="130"/>
      <c r="E855" s="54"/>
      <c r="F855" s="130"/>
      <c r="G855" s="130"/>
      <c r="H855" s="55"/>
      <c r="I855" s="135"/>
      <c r="J855" s="131"/>
      <c r="K855" s="56"/>
      <c r="L855" s="57"/>
      <c r="M855" s="130"/>
      <c r="N855" s="57"/>
      <c r="O855" s="54"/>
      <c r="P855" s="132" t="str">
        <f>IFERROR(VLOOKUP(C855,TD!$B$32:$F$36,2,0)," ")</f>
        <v xml:space="preserve"> </v>
      </c>
      <c r="Q855" s="132" t="str">
        <f>IFERROR(VLOOKUP(C855,TD!$B$32:$F$36,3,0)," ")</f>
        <v xml:space="preserve"> </v>
      </c>
      <c r="R855" s="132" t="str">
        <f>IFERROR(VLOOKUP(C855,TD!$B$32:$F$36,4,0)," ")</f>
        <v xml:space="preserve"> </v>
      </c>
      <c r="S855" s="54"/>
      <c r="T855" s="132" t="str">
        <f>IFERROR(VLOOKUP(S855,TD!$J$33:$K$43,2,0)," ")</f>
        <v xml:space="preserve"> </v>
      </c>
      <c r="U855" s="54" t="str">
        <f t="shared" si="52"/>
        <v xml:space="preserve">- </v>
      </c>
      <c r="V855" s="54"/>
      <c r="W855" s="132" t="str">
        <f>IFERROR(VLOOKUP(V855,TD!$N$33:$O$45,2,0)," ")</f>
        <v xml:space="preserve"> </v>
      </c>
      <c r="X855" s="54" t="str">
        <f t="shared" si="53"/>
        <v xml:space="preserve">_ </v>
      </c>
      <c r="Y855" s="54" t="str">
        <f t="shared" si="54"/>
        <v xml:space="preserve">-  _ </v>
      </c>
      <c r="Z855" s="132" t="str">
        <f t="shared" si="55"/>
        <v xml:space="preserve">   </v>
      </c>
      <c r="AA855" s="132" t="str">
        <f>IFERROR(VLOOKUP(Y855,TD!$K$46:$L$64,2,0)," ")</f>
        <v xml:space="preserve"> </v>
      </c>
      <c r="AB855" s="57"/>
      <c r="AC855" s="133"/>
    </row>
    <row r="856" spans="2:29" s="28" customFormat="1">
      <c r="B856" s="85"/>
      <c r="C856" s="53"/>
      <c r="D856" s="130"/>
      <c r="E856" s="54"/>
      <c r="F856" s="130"/>
      <c r="G856" s="130"/>
      <c r="H856" s="55"/>
      <c r="I856" s="135"/>
      <c r="J856" s="131"/>
      <c r="K856" s="56"/>
      <c r="L856" s="57"/>
      <c r="M856" s="130"/>
      <c r="N856" s="57"/>
      <c r="O856" s="54"/>
      <c r="P856" s="132" t="str">
        <f>IFERROR(VLOOKUP(C856,TD!$B$32:$F$36,2,0)," ")</f>
        <v xml:space="preserve"> </v>
      </c>
      <c r="Q856" s="132" t="str">
        <f>IFERROR(VLOOKUP(C856,TD!$B$32:$F$36,3,0)," ")</f>
        <v xml:space="preserve"> </v>
      </c>
      <c r="R856" s="132" t="str">
        <f>IFERROR(VLOOKUP(C856,TD!$B$32:$F$36,4,0)," ")</f>
        <v xml:space="preserve"> </v>
      </c>
      <c r="S856" s="54"/>
      <c r="T856" s="132" t="str">
        <f>IFERROR(VLOOKUP(S856,TD!$J$33:$K$43,2,0)," ")</f>
        <v xml:space="preserve"> </v>
      </c>
      <c r="U856" s="54" t="str">
        <f t="shared" si="52"/>
        <v xml:space="preserve">- </v>
      </c>
      <c r="V856" s="54"/>
      <c r="W856" s="132" t="str">
        <f>IFERROR(VLOOKUP(V856,TD!$N$33:$O$45,2,0)," ")</f>
        <v xml:space="preserve"> </v>
      </c>
      <c r="X856" s="54" t="str">
        <f t="shared" si="53"/>
        <v xml:space="preserve">_ </v>
      </c>
      <c r="Y856" s="54" t="str">
        <f t="shared" si="54"/>
        <v xml:space="preserve">-  _ </v>
      </c>
      <c r="Z856" s="132" t="str">
        <f t="shared" si="55"/>
        <v xml:space="preserve">   </v>
      </c>
      <c r="AA856" s="132" t="str">
        <f>IFERROR(VLOOKUP(Y856,TD!$K$46:$L$64,2,0)," ")</f>
        <v xml:space="preserve"> </v>
      </c>
      <c r="AB856" s="57"/>
      <c r="AC856" s="133"/>
    </row>
    <row r="857" spans="2:29" s="28" customFormat="1">
      <c r="B857" s="85"/>
      <c r="C857" s="53"/>
      <c r="D857" s="130"/>
      <c r="E857" s="54"/>
      <c r="F857" s="130"/>
      <c r="G857" s="130"/>
      <c r="H857" s="55"/>
      <c r="I857" s="135"/>
      <c r="J857" s="131"/>
      <c r="K857" s="56"/>
      <c r="L857" s="57"/>
      <c r="M857" s="130"/>
      <c r="N857" s="57"/>
      <c r="O857" s="54"/>
      <c r="P857" s="132" t="str">
        <f>IFERROR(VLOOKUP(C857,TD!$B$32:$F$36,2,0)," ")</f>
        <v xml:space="preserve"> </v>
      </c>
      <c r="Q857" s="132" t="str">
        <f>IFERROR(VLOOKUP(C857,TD!$B$32:$F$36,3,0)," ")</f>
        <v xml:space="preserve"> </v>
      </c>
      <c r="R857" s="132" t="str">
        <f>IFERROR(VLOOKUP(C857,TD!$B$32:$F$36,4,0)," ")</f>
        <v xml:space="preserve"> </v>
      </c>
      <c r="S857" s="54"/>
      <c r="T857" s="132" t="str">
        <f>IFERROR(VLOOKUP(S857,TD!$J$33:$K$43,2,0)," ")</f>
        <v xml:space="preserve"> </v>
      </c>
      <c r="U857" s="54" t="str">
        <f t="shared" si="52"/>
        <v xml:space="preserve">- </v>
      </c>
      <c r="V857" s="54"/>
      <c r="W857" s="132" t="str">
        <f>IFERROR(VLOOKUP(V857,TD!$N$33:$O$45,2,0)," ")</f>
        <v xml:space="preserve"> </v>
      </c>
      <c r="X857" s="54" t="str">
        <f t="shared" si="53"/>
        <v xml:space="preserve">_ </v>
      </c>
      <c r="Y857" s="54" t="str">
        <f t="shared" si="54"/>
        <v xml:space="preserve">-  _ </v>
      </c>
      <c r="Z857" s="132" t="str">
        <f t="shared" si="55"/>
        <v xml:space="preserve">   </v>
      </c>
      <c r="AA857" s="132" t="str">
        <f>IFERROR(VLOOKUP(Y857,TD!$K$46:$L$64,2,0)," ")</f>
        <v xml:space="preserve"> </v>
      </c>
      <c r="AB857" s="57"/>
      <c r="AC857" s="133"/>
    </row>
    <row r="858" spans="2:29" s="28" customFormat="1">
      <c r="B858" s="85"/>
      <c r="C858" s="53"/>
      <c r="D858" s="130"/>
      <c r="E858" s="54"/>
      <c r="F858" s="130"/>
      <c r="G858" s="130"/>
      <c r="H858" s="55"/>
      <c r="I858" s="135"/>
      <c r="J858" s="131"/>
      <c r="K858" s="56"/>
      <c r="L858" s="57"/>
      <c r="M858" s="130"/>
      <c r="N858" s="57"/>
      <c r="O858" s="54"/>
      <c r="P858" s="132" t="str">
        <f>IFERROR(VLOOKUP(C858,TD!$B$32:$F$36,2,0)," ")</f>
        <v xml:space="preserve"> </v>
      </c>
      <c r="Q858" s="132" t="str">
        <f>IFERROR(VLOOKUP(C858,TD!$B$32:$F$36,3,0)," ")</f>
        <v xml:space="preserve"> </v>
      </c>
      <c r="R858" s="132" t="str">
        <f>IFERROR(VLOOKUP(C858,TD!$B$32:$F$36,4,0)," ")</f>
        <v xml:space="preserve"> </v>
      </c>
      <c r="S858" s="54"/>
      <c r="T858" s="132" t="str">
        <f>IFERROR(VLOOKUP(S858,TD!$J$33:$K$43,2,0)," ")</f>
        <v xml:space="preserve"> </v>
      </c>
      <c r="U858" s="54" t="str">
        <f t="shared" si="52"/>
        <v xml:space="preserve">- </v>
      </c>
      <c r="V858" s="54"/>
      <c r="W858" s="132" t="str">
        <f>IFERROR(VLOOKUP(V858,TD!$N$33:$O$45,2,0)," ")</f>
        <v xml:space="preserve"> </v>
      </c>
      <c r="X858" s="54" t="str">
        <f t="shared" si="53"/>
        <v xml:space="preserve">_ </v>
      </c>
      <c r="Y858" s="54" t="str">
        <f t="shared" si="54"/>
        <v xml:space="preserve">-  _ </v>
      </c>
      <c r="Z858" s="132" t="str">
        <f t="shared" si="55"/>
        <v xml:space="preserve">   </v>
      </c>
      <c r="AA858" s="132" t="str">
        <f>IFERROR(VLOOKUP(Y858,TD!$K$46:$L$64,2,0)," ")</f>
        <v xml:space="preserve"> </v>
      </c>
      <c r="AB858" s="57"/>
      <c r="AC858" s="133"/>
    </row>
    <row r="859" spans="2:29" s="28" customFormat="1">
      <c r="B859" s="85"/>
      <c r="C859" s="53"/>
      <c r="D859" s="130"/>
      <c r="E859" s="54"/>
      <c r="F859" s="130"/>
      <c r="G859" s="130"/>
      <c r="H859" s="55"/>
      <c r="I859" s="135"/>
      <c r="J859" s="131"/>
      <c r="K859" s="56"/>
      <c r="L859" s="57"/>
      <c r="M859" s="130"/>
      <c r="N859" s="57"/>
      <c r="O859" s="54"/>
      <c r="P859" s="132" t="str">
        <f>IFERROR(VLOOKUP(C859,TD!$B$32:$F$36,2,0)," ")</f>
        <v xml:space="preserve"> </v>
      </c>
      <c r="Q859" s="132" t="str">
        <f>IFERROR(VLOOKUP(C859,TD!$B$32:$F$36,3,0)," ")</f>
        <v xml:space="preserve"> </v>
      </c>
      <c r="R859" s="132" t="str">
        <f>IFERROR(VLOOKUP(C859,TD!$B$32:$F$36,4,0)," ")</f>
        <v xml:space="preserve"> </v>
      </c>
      <c r="S859" s="54"/>
      <c r="T859" s="132" t="str">
        <f>IFERROR(VLOOKUP(S859,TD!$J$33:$K$43,2,0)," ")</f>
        <v xml:space="preserve"> </v>
      </c>
      <c r="U859" s="54" t="str">
        <f t="shared" si="52"/>
        <v xml:space="preserve">- </v>
      </c>
      <c r="V859" s="54"/>
      <c r="W859" s="132" t="str">
        <f>IFERROR(VLOOKUP(V859,TD!$N$33:$O$45,2,0)," ")</f>
        <v xml:space="preserve"> </v>
      </c>
      <c r="X859" s="54" t="str">
        <f t="shared" si="53"/>
        <v xml:space="preserve">_ </v>
      </c>
      <c r="Y859" s="54" t="str">
        <f t="shared" si="54"/>
        <v xml:space="preserve">-  _ </v>
      </c>
      <c r="Z859" s="132" t="str">
        <f t="shared" si="55"/>
        <v xml:space="preserve">   </v>
      </c>
      <c r="AA859" s="132" t="str">
        <f>IFERROR(VLOOKUP(Y859,TD!$K$46:$L$64,2,0)," ")</f>
        <v xml:space="preserve"> </v>
      </c>
      <c r="AB859" s="57"/>
      <c r="AC859" s="133"/>
    </row>
    <row r="860" spans="2:29" s="28" customFormat="1">
      <c r="B860" s="85"/>
      <c r="C860" s="53"/>
      <c r="D860" s="130"/>
      <c r="E860" s="54"/>
      <c r="F860" s="130"/>
      <c r="G860" s="130"/>
      <c r="H860" s="55"/>
      <c r="I860" s="135"/>
      <c r="J860" s="131"/>
      <c r="K860" s="56"/>
      <c r="L860" s="57"/>
      <c r="M860" s="130"/>
      <c r="N860" s="57"/>
      <c r="O860" s="54"/>
      <c r="P860" s="132" t="str">
        <f>IFERROR(VLOOKUP(C860,TD!$B$32:$F$36,2,0)," ")</f>
        <v xml:space="preserve"> </v>
      </c>
      <c r="Q860" s="132" t="str">
        <f>IFERROR(VLOOKUP(C860,TD!$B$32:$F$36,3,0)," ")</f>
        <v xml:space="preserve"> </v>
      </c>
      <c r="R860" s="132" t="str">
        <f>IFERROR(VLOOKUP(C860,TD!$B$32:$F$36,4,0)," ")</f>
        <v xml:space="preserve"> </v>
      </c>
      <c r="S860" s="54"/>
      <c r="T860" s="132" t="str">
        <f>IFERROR(VLOOKUP(S860,TD!$J$33:$K$43,2,0)," ")</f>
        <v xml:space="preserve"> </v>
      </c>
      <c r="U860" s="54" t="str">
        <f t="shared" si="52"/>
        <v xml:space="preserve">- </v>
      </c>
      <c r="V860" s="54"/>
      <c r="W860" s="132" t="str">
        <f>IFERROR(VLOOKUP(V860,TD!$N$33:$O$45,2,0)," ")</f>
        <v xml:space="preserve"> </v>
      </c>
      <c r="X860" s="54" t="str">
        <f t="shared" si="53"/>
        <v xml:space="preserve">_ </v>
      </c>
      <c r="Y860" s="54" t="str">
        <f t="shared" si="54"/>
        <v xml:space="preserve">-  _ </v>
      </c>
      <c r="Z860" s="132" t="str">
        <f t="shared" si="55"/>
        <v xml:space="preserve">   </v>
      </c>
      <c r="AA860" s="132" t="str">
        <f>IFERROR(VLOOKUP(Y860,TD!$K$46:$L$64,2,0)," ")</f>
        <v xml:space="preserve"> </v>
      </c>
      <c r="AB860" s="57"/>
      <c r="AC860" s="133"/>
    </row>
    <row r="861" spans="2:29" s="28" customFormat="1">
      <c r="B861" s="85"/>
      <c r="C861" s="53"/>
      <c r="D861" s="130"/>
      <c r="E861" s="54"/>
      <c r="F861" s="130"/>
      <c r="G861" s="130"/>
      <c r="H861" s="55"/>
      <c r="I861" s="135"/>
      <c r="J861" s="131"/>
      <c r="K861" s="56"/>
      <c r="L861" s="57"/>
      <c r="M861" s="130"/>
      <c r="N861" s="57"/>
      <c r="O861" s="54"/>
      <c r="P861" s="132" t="str">
        <f>IFERROR(VLOOKUP(C861,TD!$B$32:$F$36,2,0)," ")</f>
        <v xml:space="preserve"> </v>
      </c>
      <c r="Q861" s="132" t="str">
        <f>IFERROR(VLOOKUP(C861,TD!$B$32:$F$36,3,0)," ")</f>
        <v xml:space="preserve"> </v>
      </c>
      <c r="R861" s="132" t="str">
        <f>IFERROR(VLOOKUP(C861,TD!$B$32:$F$36,4,0)," ")</f>
        <v xml:space="preserve"> </v>
      </c>
      <c r="S861" s="54"/>
      <c r="T861" s="132" t="str">
        <f>IFERROR(VLOOKUP(S861,TD!$J$33:$K$43,2,0)," ")</f>
        <v xml:space="preserve"> </v>
      </c>
      <c r="U861" s="54" t="str">
        <f t="shared" si="52"/>
        <v xml:space="preserve">- </v>
      </c>
      <c r="V861" s="54"/>
      <c r="W861" s="132" t="str">
        <f>IFERROR(VLOOKUP(V861,TD!$N$33:$O$45,2,0)," ")</f>
        <v xml:space="preserve"> </v>
      </c>
      <c r="X861" s="54" t="str">
        <f t="shared" si="53"/>
        <v xml:space="preserve">_ </v>
      </c>
      <c r="Y861" s="54" t="str">
        <f t="shared" si="54"/>
        <v xml:space="preserve">-  _ </v>
      </c>
      <c r="Z861" s="132" t="str">
        <f t="shared" si="55"/>
        <v xml:space="preserve">   </v>
      </c>
      <c r="AA861" s="132" t="str">
        <f>IFERROR(VLOOKUP(Y861,TD!$K$46:$L$64,2,0)," ")</f>
        <v xml:space="preserve"> </v>
      </c>
      <c r="AB861" s="57"/>
      <c r="AC861" s="133"/>
    </row>
    <row r="862" spans="2:29" s="28" customFormat="1">
      <c r="B862" s="85"/>
      <c r="C862" s="53"/>
      <c r="D862" s="130"/>
      <c r="E862" s="54"/>
      <c r="F862" s="130"/>
      <c r="G862" s="130"/>
      <c r="H862" s="55"/>
      <c r="I862" s="135"/>
      <c r="J862" s="131"/>
      <c r="K862" s="56"/>
      <c r="L862" s="57"/>
      <c r="M862" s="130"/>
      <c r="N862" s="57"/>
      <c r="O862" s="54"/>
      <c r="P862" s="132" t="str">
        <f>IFERROR(VLOOKUP(C862,TD!$B$32:$F$36,2,0)," ")</f>
        <v xml:space="preserve"> </v>
      </c>
      <c r="Q862" s="132" t="str">
        <f>IFERROR(VLOOKUP(C862,TD!$B$32:$F$36,3,0)," ")</f>
        <v xml:space="preserve"> </v>
      </c>
      <c r="R862" s="132" t="str">
        <f>IFERROR(VLOOKUP(C862,TD!$B$32:$F$36,4,0)," ")</f>
        <v xml:space="preserve"> </v>
      </c>
      <c r="S862" s="54"/>
      <c r="T862" s="132" t="str">
        <f>IFERROR(VLOOKUP(S862,TD!$J$33:$K$43,2,0)," ")</f>
        <v xml:space="preserve"> </v>
      </c>
      <c r="U862" s="54" t="str">
        <f t="shared" si="52"/>
        <v xml:space="preserve">- </v>
      </c>
      <c r="V862" s="54"/>
      <c r="W862" s="132" t="str">
        <f>IFERROR(VLOOKUP(V862,TD!$N$33:$O$45,2,0)," ")</f>
        <v xml:space="preserve"> </v>
      </c>
      <c r="X862" s="54" t="str">
        <f t="shared" si="53"/>
        <v xml:space="preserve">_ </v>
      </c>
      <c r="Y862" s="54" t="str">
        <f t="shared" si="54"/>
        <v xml:space="preserve">-  _ </v>
      </c>
      <c r="Z862" s="132" t="str">
        <f t="shared" si="55"/>
        <v xml:space="preserve">   </v>
      </c>
      <c r="AA862" s="132" t="str">
        <f>IFERROR(VLOOKUP(Y862,TD!$K$46:$L$64,2,0)," ")</f>
        <v xml:space="preserve"> </v>
      </c>
      <c r="AB862" s="57"/>
      <c r="AC862" s="133"/>
    </row>
    <row r="863" spans="2:29" s="28" customFormat="1">
      <c r="B863" s="85"/>
      <c r="C863" s="53"/>
      <c r="D863" s="130"/>
      <c r="E863" s="54"/>
      <c r="F863" s="130"/>
      <c r="G863" s="130"/>
      <c r="H863" s="55"/>
      <c r="I863" s="135"/>
      <c r="J863" s="131"/>
      <c r="K863" s="56"/>
      <c r="L863" s="57"/>
      <c r="M863" s="130"/>
      <c r="N863" s="57"/>
      <c r="O863" s="54"/>
      <c r="P863" s="132" t="str">
        <f>IFERROR(VLOOKUP(C863,TD!$B$32:$F$36,2,0)," ")</f>
        <v xml:space="preserve"> </v>
      </c>
      <c r="Q863" s="132" t="str">
        <f>IFERROR(VLOOKUP(C863,TD!$B$32:$F$36,3,0)," ")</f>
        <v xml:space="preserve"> </v>
      </c>
      <c r="R863" s="132" t="str">
        <f>IFERROR(VLOOKUP(C863,TD!$B$32:$F$36,4,0)," ")</f>
        <v xml:space="preserve"> </v>
      </c>
      <c r="S863" s="54"/>
      <c r="T863" s="132" t="str">
        <f>IFERROR(VLOOKUP(S863,TD!$J$33:$K$43,2,0)," ")</f>
        <v xml:space="preserve"> </v>
      </c>
      <c r="U863" s="54" t="str">
        <f t="shared" si="52"/>
        <v xml:space="preserve">- </v>
      </c>
      <c r="V863" s="54"/>
      <c r="W863" s="132" t="str">
        <f>IFERROR(VLOOKUP(V863,TD!$N$33:$O$45,2,0)," ")</f>
        <v xml:space="preserve"> </v>
      </c>
      <c r="X863" s="54" t="str">
        <f t="shared" si="53"/>
        <v xml:space="preserve">_ </v>
      </c>
      <c r="Y863" s="54" t="str">
        <f t="shared" si="54"/>
        <v xml:space="preserve">-  _ </v>
      </c>
      <c r="Z863" s="132" t="str">
        <f t="shared" si="55"/>
        <v xml:space="preserve">   </v>
      </c>
      <c r="AA863" s="132" t="str">
        <f>IFERROR(VLOOKUP(Y863,TD!$K$46:$L$64,2,0)," ")</f>
        <v xml:space="preserve"> </v>
      </c>
      <c r="AB863" s="57"/>
      <c r="AC863" s="133"/>
    </row>
    <row r="864" spans="2:29" s="28" customFormat="1">
      <c r="B864" s="85"/>
      <c r="C864" s="53"/>
      <c r="D864" s="130"/>
      <c r="E864" s="54"/>
      <c r="F864" s="130"/>
      <c r="G864" s="130"/>
      <c r="H864" s="55"/>
      <c r="I864" s="135"/>
      <c r="J864" s="131"/>
      <c r="K864" s="56"/>
      <c r="L864" s="57"/>
      <c r="M864" s="130"/>
      <c r="N864" s="57"/>
      <c r="O864" s="54"/>
      <c r="P864" s="132" t="str">
        <f>IFERROR(VLOOKUP(C864,TD!$B$32:$F$36,2,0)," ")</f>
        <v xml:space="preserve"> </v>
      </c>
      <c r="Q864" s="132" t="str">
        <f>IFERROR(VLOOKUP(C864,TD!$B$32:$F$36,3,0)," ")</f>
        <v xml:space="preserve"> </v>
      </c>
      <c r="R864" s="132" t="str">
        <f>IFERROR(VLOOKUP(C864,TD!$B$32:$F$36,4,0)," ")</f>
        <v xml:space="preserve"> </v>
      </c>
      <c r="S864" s="54"/>
      <c r="T864" s="132" t="str">
        <f>IFERROR(VLOOKUP(S864,TD!$J$33:$K$43,2,0)," ")</f>
        <v xml:space="preserve"> </v>
      </c>
      <c r="U864" s="54" t="str">
        <f t="shared" si="52"/>
        <v xml:space="preserve">- </v>
      </c>
      <c r="V864" s="54"/>
      <c r="W864" s="132" t="str">
        <f>IFERROR(VLOOKUP(V864,TD!$N$33:$O$45,2,0)," ")</f>
        <v xml:space="preserve"> </v>
      </c>
      <c r="X864" s="54" t="str">
        <f t="shared" si="53"/>
        <v xml:space="preserve">_ </v>
      </c>
      <c r="Y864" s="54" t="str">
        <f t="shared" si="54"/>
        <v xml:space="preserve">-  _ </v>
      </c>
      <c r="Z864" s="132" t="str">
        <f t="shared" si="55"/>
        <v xml:space="preserve">   </v>
      </c>
      <c r="AA864" s="132" t="str">
        <f>IFERROR(VLOOKUP(Y864,TD!$K$46:$L$64,2,0)," ")</f>
        <v xml:space="preserve"> </v>
      </c>
      <c r="AB864" s="57"/>
      <c r="AC864" s="133"/>
    </row>
    <row r="865" spans="2:29" s="28" customFormat="1">
      <c r="B865" s="85"/>
      <c r="C865" s="53"/>
      <c r="D865" s="130"/>
      <c r="E865" s="54"/>
      <c r="F865" s="130"/>
      <c r="G865" s="130"/>
      <c r="H865" s="55"/>
      <c r="I865" s="135"/>
      <c r="J865" s="131"/>
      <c r="K865" s="56"/>
      <c r="L865" s="57"/>
      <c r="M865" s="130"/>
      <c r="N865" s="57"/>
      <c r="O865" s="54"/>
      <c r="P865" s="132" t="str">
        <f>IFERROR(VLOOKUP(C865,TD!$B$32:$F$36,2,0)," ")</f>
        <v xml:space="preserve"> </v>
      </c>
      <c r="Q865" s="132" t="str">
        <f>IFERROR(VLOOKUP(C865,TD!$B$32:$F$36,3,0)," ")</f>
        <v xml:space="preserve"> </v>
      </c>
      <c r="R865" s="132" t="str">
        <f>IFERROR(VLOOKUP(C865,TD!$B$32:$F$36,4,0)," ")</f>
        <v xml:space="preserve"> </v>
      </c>
      <c r="S865" s="54"/>
      <c r="T865" s="132" t="str">
        <f>IFERROR(VLOOKUP(S865,TD!$J$33:$K$43,2,0)," ")</f>
        <v xml:space="preserve"> </v>
      </c>
      <c r="U865" s="54" t="str">
        <f t="shared" si="52"/>
        <v xml:space="preserve">- </v>
      </c>
      <c r="V865" s="54"/>
      <c r="W865" s="132" t="str">
        <f>IFERROR(VLOOKUP(V865,TD!$N$33:$O$45,2,0)," ")</f>
        <v xml:space="preserve"> </v>
      </c>
      <c r="X865" s="54" t="str">
        <f t="shared" si="53"/>
        <v xml:space="preserve">_ </v>
      </c>
      <c r="Y865" s="54" t="str">
        <f t="shared" si="54"/>
        <v xml:space="preserve">-  _ </v>
      </c>
      <c r="Z865" s="132" t="str">
        <f t="shared" si="55"/>
        <v xml:space="preserve">   </v>
      </c>
      <c r="AA865" s="132" t="str">
        <f>IFERROR(VLOOKUP(Y865,TD!$K$46:$L$64,2,0)," ")</f>
        <v xml:space="preserve"> </v>
      </c>
      <c r="AB865" s="57"/>
      <c r="AC865" s="133"/>
    </row>
    <row r="866" spans="2:29" s="28" customFormat="1">
      <c r="B866" s="85"/>
      <c r="C866" s="53"/>
      <c r="D866" s="130"/>
      <c r="E866" s="54"/>
      <c r="F866" s="130"/>
      <c r="G866" s="130"/>
      <c r="H866" s="55"/>
      <c r="I866" s="135"/>
      <c r="J866" s="131"/>
      <c r="K866" s="56"/>
      <c r="L866" s="57"/>
      <c r="M866" s="130"/>
      <c r="N866" s="57"/>
      <c r="O866" s="54"/>
      <c r="P866" s="132" t="str">
        <f>IFERROR(VLOOKUP(C866,TD!$B$32:$F$36,2,0)," ")</f>
        <v xml:space="preserve"> </v>
      </c>
      <c r="Q866" s="132" t="str">
        <f>IFERROR(VLOOKUP(C866,TD!$B$32:$F$36,3,0)," ")</f>
        <v xml:space="preserve"> </v>
      </c>
      <c r="R866" s="132" t="str">
        <f>IFERROR(VLOOKUP(C866,TD!$B$32:$F$36,4,0)," ")</f>
        <v xml:space="preserve"> </v>
      </c>
      <c r="S866" s="54"/>
      <c r="T866" s="132" t="str">
        <f>IFERROR(VLOOKUP(S866,TD!$J$33:$K$43,2,0)," ")</f>
        <v xml:space="preserve"> </v>
      </c>
      <c r="U866" s="54" t="str">
        <f t="shared" si="52"/>
        <v xml:space="preserve">- </v>
      </c>
      <c r="V866" s="54"/>
      <c r="W866" s="132" t="str">
        <f>IFERROR(VLOOKUP(V866,TD!$N$33:$O$45,2,0)," ")</f>
        <v xml:space="preserve"> </v>
      </c>
      <c r="X866" s="54" t="str">
        <f t="shared" si="53"/>
        <v xml:space="preserve">_ </v>
      </c>
      <c r="Y866" s="54" t="str">
        <f t="shared" si="54"/>
        <v xml:space="preserve">-  _ </v>
      </c>
      <c r="Z866" s="132" t="str">
        <f t="shared" si="55"/>
        <v xml:space="preserve">   </v>
      </c>
      <c r="AA866" s="132" t="str">
        <f>IFERROR(VLOOKUP(Y866,TD!$K$46:$L$64,2,0)," ")</f>
        <v xml:space="preserve"> </v>
      </c>
      <c r="AB866" s="57"/>
      <c r="AC866" s="133"/>
    </row>
    <row r="867" spans="2:29" s="28" customFormat="1">
      <c r="B867" s="85"/>
      <c r="C867" s="53"/>
      <c r="D867" s="130"/>
      <c r="E867" s="54"/>
      <c r="F867" s="130"/>
      <c r="G867" s="130"/>
      <c r="H867" s="55"/>
      <c r="I867" s="135"/>
      <c r="J867" s="131"/>
      <c r="K867" s="56"/>
      <c r="L867" s="57"/>
      <c r="M867" s="130"/>
      <c r="N867" s="57"/>
      <c r="O867" s="54"/>
      <c r="P867" s="132" t="str">
        <f>IFERROR(VLOOKUP(C867,TD!$B$32:$F$36,2,0)," ")</f>
        <v xml:space="preserve"> </v>
      </c>
      <c r="Q867" s="132" t="str">
        <f>IFERROR(VLOOKUP(C867,TD!$B$32:$F$36,3,0)," ")</f>
        <v xml:space="preserve"> </v>
      </c>
      <c r="R867" s="132" t="str">
        <f>IFERROR(VLOOKUP(C867,TD!$B$32:$F$36,4,0)," ")</f>
        <v xml:space="preserve"> </v>
      </c>
      <c r="S867" s="54"/>
      <c r="T867" s="132" t="str">
        <f>IFERROR(VLOOKUP(S867,TD!$J$33:$K$43,2,0)," ")</f>
        <v xml:space="preserve"> </v>
      </c>
      <c r="U867" s="54" t="str">
        <f t="shared" si="52"/>
        <v xml:space="preserve">- </v>
      </c>
      <c r="V867" s="54"/>
      <c r="W867" s="132" t="str">
        <f>IFERROR(VLOOKUP(V867,TD!$N$33:$O$45,2,0)," ")</f>
        <v xml:space="preserve"> </v>
      </c>
      <c r="X867" s="54" t="str">
        <f t="shared" si="53"/>
        <v xml:space="preserve">_ </v>
      </c>
      <c r="Y867" s="54" t="str">
        <f t="shared" si="54"/>
        <v xml:space="preserve">-  _ </v>
      </c>
      <c r="Z867" s="132" t="str">
        <f t="shared" si="55"/>
        <v xml:space="preserve">   </v>
      </c>
      <c r="AA867" s="132" t="str">
        <f>IFERROR(VLOOKUP(Y867,TD!$K$46:$L$64,2,0)," ")</f>
        <v xml:space="preserve"> </v>
      </c>
      <c r="AB867" s="57"/>
      <c r="AC867" s="133"/>
    </row>
    <row r="868" spans="2:29" s="28" customFormat="1">
      <c r="B868" s="85"/>
      <c r="C868" s="53"/>
      <c r="D868" s="130"/>
      <c r="E868" s="54"/>
      <c r="F868" s="130"/>
      <c r="G868" s="130"/>
      <c r="H868" s="55"/>
      <c r="I868" s="135"/>
      <c r="J868" s="131"/>
      <c r="K868" s="56"/>
      <c r="L868" s="57"/>
      <c r="M868" s="130"/>
      <c r="N868" s="57"/>
      <c r="O868" s="54"/>
      <c r="P868" s="132" t="str">
        <f>IFERROR(VLOOKUP(C868,TD!$B$32:$F$36,2,0)," ")</f>
        <v xml:space="preserve"> </v>
      </c>
      <c r="Q868" s="132" t="str">
        <f>IFERROR(VLOOKUP(C868,TD!$B$32:$F$36,3,0)," ")</f>
        <v xml:space="preserve"> </v>
      </c>
      <c r="R868" s="132" t="str">
        <f>IFERROR(VLOOKUP(C868,TD!$B$32:$F$36,4,0)," ")</f>
        <v xml:space="preserve"> </v>
      </c>
      <c r="S868" s="54"/>
      <c r="T868" s="132" t="str">
        <f>IFERROR(VLOOKUP(S868,TD!$J$33:$K$43,2,0)," ")</f>
        <v xml:space="preserve"> </v>
      </c>
      <c r="U868" s="54" t="str">
        <f t="shared" si="52"/>
        <v xml:space="preserve">- </v>
      </c>
      <c r="V868" s="54"/>
      <c r="W868" s="132" t="str">
        <f>IFERROR(VLOOKUP(V868,TD!$N$33:$O$45,2,0)," ")</f>
        <v xml:space="preserve"> </v>
      </c>
      <c r="X868" s="54" t="str">
        <f t="shared" si="53"/>
        <v xml:space="preserve">_ </v>
      </c>
      <c r="Y868" s="54" t="str">
        <f t="shared" si="54"/>
        <v xml:space="preserve">-  _ </v>
      </c>
      <c r="Z868" s="132" t="str">
        <f t="shared" si="55"/>
        <v xml:space="preserve">   </v>
      </c>
      <c r="AA868" s="132" t="str">
        <f>IFERROR(VLOOKUP(Y868,TD!$K$46:$L$64,2,0)," ")</f>
        <v xml:space="preserve"> </v>
      </c>
      <c r="AB868" s="57"/>
      <c r="AC868" s="133"/>
    </row>
    <row r="869" spans="2:29" s="28" customFormat="1">
      <c r="B869" s="85"/>
      <c r="C869" s="53"/>
      <c r="D869" s="130"/>
      <c r="E869" s="54"/>
      <c r="F869" s="130"/>
      <c r="G869" s="130"/>
      <c r="H869" s="55"/>
      <c r="I869" s="135"/>
      <c r="J869" s="131"/>
      <c r="K869" s="56"/>
      <c r="L869" s="57"/>
      <c r="M869" s="130"/>
      <c r="N869" s="57"/>
      <c r="O869" s="54"/>
      <c r="P869" s="132" t="str">
        <f>IFERROR(VLOOKUP(C869,TD!$B$32:$F$36,2,0)," ")</f>
        <v xml:space="preserve"> </v>
      </c>
      <c r="Q869" s="132" t="str">
        <f>IFERROR(VLOOKUP(C869,TD!$B$32:$F$36,3,0)," ")</f>
        <v xml:space="preserve"> </v>
      </c>
      <c r="R869" s="132" t="str">
        <f>IFERROR(VLOOKUP(C869,TD!$B$32:$F$36,4,0)," ")</f>
        <v xml:space="preserve"> </v>
      </c>
      <c r="S869" s="54"/>
      <c r="T869" s="132" t="str">
        <f>IFERROR(VLOOKUP(S869,TD!$J$33:$K$43,2,0)," ")</f>
        <v xml:space="preserve"> </v>
      </c>
      <c r="U869" s="54" t="str">
        <f t="shared" si="52"/>
        <v xml:space="preserve">- </v>
      </c>
      <c r="V869" s="54"/>
      <c r="W869" s="132" t="str">
        <f>IFERROR(VLOOKUP(V869,TD!$N$33:$O$45,2,0)," ")</f>
        <v xml:space="preserve"> </v>
      </c>
      <c r="X869" s="54" t="str">
        <f t="shared" si="53"/>
        <v xml:space="preserve">_ </v>
      </c>
      <c r="Y869" s="54" t="str">
        <f t="shared" si="54"/>
        <v xml:space="preserve">-  _ </v>
      </c>
      <c r="Z869" s="132" t="str">
        <f t="shared" si="55"/>
        <v xml:space="preserve">   </v>
      </c>
      <c r="AA869" s="132" t="str">
        <f>IFERROR(VLOOKUP(Y869,TD!$K$46:$L$64,2,0)," ")</f>
        <v xml:space="preserve"> </v>
      </c>
      <c r="AB869" s="57"/>
      <c r="AC869" s="133"/>
    </row>
    <row r="870" spans="2:29" s="28" customFormat="1">
      <c r="B870" s="85"/>
      <c r="C870" s="53"/>
      <c r="D870" s="130"/>
      <c r="E870" s="54"/>
      <c r="F870" s="130"/>
      <c r="G870" s="130"/>
      <c r="H870" s="55"/>
      <c r="I870" s="135"/>
      <c r="J870" s="131"/>
      <c r="K870" s="56"/>
      <c r="L870" s="57"/>
      <c r="M870" s="130"/>
      <c r="N870" s="57"/>
      <c r="O870" s="54"/>
      <c r="P870" s="132" t="str">
        <f>IFERROR(VLOOKUP(C870,TD!$B$32:$F$36,2,0)," ")</f>
        <v xml:space="preserve"> </v>
      </c>
      <c r="Q870" s="132" t="str">
        <f>IFERROR(VLOOKUP(C870,TD!$B$32:$F$36,3,0)," ")</f>
        <v xml:space="preserve"> </v>
      </c>
      <c r="R870" s="132" t="str">
        <f>IFERROR(VLOOKUP(C870,TD!$B$32:$F$36,4,0)," ")</f>
        <v xml:space="preserve"> </v>
      </c>
      <c r="S870" s="54"/>
      <c r="T870" s="132" t="str">
        <f>IFERROR(VLOOKUP(S870,TD!$J$33:$K$43,2,0)," ")</f>
        <v xml:space="preserve"> </v>
      </c>
      <c r="U870" s="54" t="str">
        <f t="shared" si="52"/>
        <v xml:space="preserve">- </v>
      </c>
      <c r="V870" s="54"/>
      <c r="W870" s="132" t="str">
        <f>IFERROR(VLOOKUP(V870,TD!$N$33:$O$45,2,0)," ")</f>
        <v xml:space="preserve"> </v>
      </c>
      <c r="X870" s="54" t="str">
        <f t="shared" si="53"/>
        <v xml:space="preserve">_ </v>
      </c>
      <c r="Y870" s="54" t="str">
        <f t="shared" si="54"/>
        <v xml:space="preserve">-  _ </v>
      </c>
      <c r="Z870" s="132" t="str">
        <f t="shared" si="55"/>
        <v xml:space="preserve">   </v>
      </c>
      <c r="AA870" s="132" t="str">
        <f>IFERROR(VLOOKUP(Y870,TD!$K$46:$L$64,2,0)," ")</f>
        <v xml:space="preserve"> </v>
      </c>
      <c r="AB870" s="57"/>
      <c r="AC870" s="133"/>
    </row>
    <row r="871" spans="2:29" s="28" customFormat="1">
      <c r="B871" s="85"/>
      <c r="C871" s="53"/>
      <c r="D871" s="130"/>
      <c r="E871" s="54"/>
      <c r="F871" s="130"/>
      <c r="G871" s="130"/>
      <c r="H871" s="55"/>
      <c r="I871" s="135"/>
      <c r="J871" s="131"/>
      <c r="K871" s="56"/>
      <c r="L871" s="57"/>
      <c r="M871" s="130"/>
      <c r="N871" s="57"/>
      <c r="O871" s="54"/>
      <c r="P871" s="132" t="str">
        <f>IFERROR(VLOOKUP(C871,TD!$B$32:$F$36,2,0)," ")</f>
        <v xml:space="preserve"> </v>
      </c>
      <c r="Q871" s="132" t="str">
        <f>IFERROR(VLOOKUP(C871,TD!$B$32:$F$36,3,0)," ")</f>
        <v xml:space="preserve"> </v>
      </c>
      <c r="R871" s="132" t="str">
        <f>IFERROR(VLOOKUP(C871,TD!$B$32:$F$36,4,0)," ")</f>
        <v xml:space="preserve"> </v>
      </c>
      <c r="S871" s="54"/>
      <c r="T871" s="132" t="str">
        <f>IFERROR(VLOOKUP(S871,TD!$J$33:$K$43,2,0)," ")</f>
        <v xml:space="preserve"> </v>
      </c>
      <c r="U871" s="54" t="str">
        <f t="shared" si="52"/>
        <v xml:space="preserve">- </v>
      </c>
      <c r="V871" s="54"/>
      <c r="W871" s="132" t="str">
        <f>IFERROR(VLOOKUP(V871,TD!$N$33:$O$45,2,0)," ")</f>
        <v xml:space="preserve"> </v>
      </c>
      <c r="X871" s="54" t="str">
        <f t="shared" si="53"/>
        <v xml:space="preserve">_ </v>
      </c>
      <c r="Y871" s="54" t="str">
        <f t="shared" si="54"/>
        <v xml:space="preserve">-  _ </v>
      </c>
      <c r="Z871" s="132" t="str">
        <f t="shared" si="55"/>
        <v xml:space="preserve">   </v>
      </c>
      <c r="AA871" s="132" t="str">
        <f>IFERROR(VLOOKUP(Y871,TD!$K$46:$L$64,2,0)," ")</f>
        <v xml:space="preserve"> </v>
      </c>
      <c r="AB871" s="57"/>
      <c r="AC871" s="133"/>
    </row>
    <row r="872" spans="2:29" s="28" customFormat="1">
      <c r="B872" s="85"/>
      <c r="C872" s="53"/>
      <c r="D872" s="130"/>
      <c r="E872" s="54"/>
      <c r="F872" s="130"/>
      <c r="G872" s="130"/>
      <c r="H872" s="55"/>
      <c r="I872" s="135"/>
      <c r="J872" s="131"/>
      <c r="K872" s="56"/>
      <c r="L872" s="57"/>
      <c r="M872" s="130"/>
      <c r="N872" s="57"/>
      <c r="O872" s="54"/>
      <c r="P872" s="132" t="str">
        <f>IFERROR(VLOOKUP(C872,TD!$B$32:$F$36,2,0)," ")</f>
        <v xml:space="preserve"> </v>
      </c>
      <c r="Q872" s="132" t="str">
        <f>IFERROR(VLOOKUP(C872,TD!$B$32:$F$36,3,0)," ")</f>
        <v xml:space="preserve"> </v>
      </c>
      <c r="R872" s="132" t="str">
        <f>IFERROR(VLOOKUP(C872,TD!$B$32:$F$36,4,0)," ")</f>
        <v xml:space="preserve"> </v>
      </c>
      <c r="S872" s="54"/>
      <c r="T872" s="132" t="str">
        <f>IFERROR(VLOOKUP(S872,TD!$J$33:$K$43,2,0)," ")</f>
        <v xml:space="preserve"> </v>
      </c>
      <c r="U872" s="54" t="str">
        <f t="shared" si="52"/>
        <v xml:space="preserve">- </v>
      </c>
      <c r="V872" s="54"/>
      <c r="W872" s="132" t="str">
        <f>IFERROR(VLOOKUP(V872,TD!$N$33:$O$45,2,0)," ")</f>
        <v xml:space="preserve"> </v>
      </c>
      <c r="X872" s="54" t="str">
        <f t="shared" si="53"/>
        <v xml:space="preserve">_ </v>
      </c>
      <c r="Y872" s="54" t="str">
        <f t="shared" si="54"/>
        <v xml:space="preserve">-  _ </v>
      </c>
      <c r="Z872" s="132" t="str">
        <f t="shared" si="55"/>
        <v xml:space="preserve">   </v>
      </c>
      <c r="AA872" s="132" t="str">
        <f>IFERROR(VLOOKUP(Y872,TD!$K$46:$L$64,2,0)," ")</f>
        <v xml:space="preserve"> </v>
      </c>
      <c r="AB872" s="57"/>
      <c r="AC872" s="133"/>
    </row>
    <row r="873" spans="2:29" s="28" customFormat="1">
      <c r="B873" s="85"/>
      <c r="C873" s="53"/>
      <c r="D873" s="130"/>
      <c r="E873" s="54"/>
      <c r="F873" s="130"/>
      <c r="G873" s="130"/>
      <c r="H873" s="55"/>
      <c r="I873" s="135"/>
      <c r="J873" s="131"/>
      <c r="K873" s="56"/>
      <c r="L873" s="57"/>
      <c r="M873" s="130"/>
      <c r="N873" s="57"/>
      <c r="O873" s="54"/>
      <c r="P873" s="132" t="str">
        <f>IFERROR(VLOOKUP(C873,TD!$B$32:$F$36,2,0)," ")</f>
        <v xml:space="preserve"> </v>
      </c>
      <c r="Q873" s="132" t="str">
        <f>IFERROR(VLOOKUP(C873,TD!$B$32:$F$36,3,0)," ")</f>
        <v xml:space="preserve"> </v>
      </c>
      <c r="R873" s="132" t="str">
        <f>IFERROR(VLOOKUP(C873,TD!$B$32:$F$36,4,0)," ")</f>
        <v xml:space="preserve"> </v>
      </c>
      <c r="S873" s="54"/>
      <c r="T873" s="132" t="str">
        <f>IFERROR(VLOOKUP(S873,TD!$J$33:$K$43,2,0)," ")</f>
        <v xml:space="preserve"> </v>
      </c>
      <c r="U873" s="54" t="str">
        <f t="shared" si="52"/>
        <v xml:space="preserve">- </v>
      </c>
      <c r="V873" s="54"/>
      <c r="W873" s="132" t="str">
        <f>IFERROR(VLOOKUP(V873,TD!$N$33:$O$45,2,0)," ")</f>
        <v xml:space="preserve"> </v>
      </c>
      <c r="X873" s="54" t="str">
        <f t="shared" si="53"/>
        <v xml:space="preserve">_ </v>
      </c>
      <c r="Y873" s="54" t="str">
        <f t="shared" si="54"/>
        <v xml:space="preserve">-  _ </v>
      </c>
      <c r="Z873" s="132" t="str">
        <f t="shared" si="55"/>
        <v xml:space="preserve">   </v>
      </c>
      <c r="AA873" s="132" t="str">
        <f>IFERROR(VLOOKUP(Y873,TD!$K$46:$L$64,2,0)," ")</f>
        <v xml:space="preserve"> </v>
      </c>
      <c r="AB873" s="57"/>
      <c r="AC873" s="133"/>
    </row>
    <row r="874" spans="2:29" s="28" customFormat="1">
      <c r="B874" s="85"/>
      <c r="C874" s="53"/>
      <c r="D874" s="130"/>
      <c r="E874" s="54"/>
      <c r="F874" s="130"/>
      <c r="G874" s="130"/>
      <c r="H874" s="55"/>
      <c r="I874" s="135"/>
      <c r="J874" s="131"/>
      <c r="K874" s="56"/>
      <c r="L874" s="57"/>
      <c r="M874" s="130"/>
      <c r="N874" s="57"/>
      <c r="O874" s="54"/>
      <c r="P874" s="132" t="str">
        <f>IFERROR(VLOOKUP(C874,TD!$B$32:$F$36,2,0)," ")</f>
        <v xml:space="preserve"> </v>
      </c>
      <c r="Q874" s="132" t="str">
        <f>IFERROR(VLOOKUP(C874,TD!$B$32:$F$36,3,0)," ")</f>
        <v xml:space="preserve"> </v>
      </c>
      <c r="R874" s="132" t="str">
        <f>IFERROR(VLOOKUP(C874,TD!$B$32:$F$36,4,0)," ")</f>
        <v xml:space="preserve"> </v>
      </c>
      <c r="S874" s="54"/>
      <c r="T874" s="132" t="str">
        <f>IFERROR(VLOOKUP(S874,TD!$J$33:$K$43,2,0)," ")</f>
        <v xml:space="preserve"> </v>
      </c>
      <c r="U874" s="54" t="str">
        <f t="shared" si="52"/>
        <v xml:space="preserve">- </v>
      </c>
      <c r="V874" s="54"/>
      <c r="W874" s="132" t="str">
        <f>IFERROR(VLOOKUP(V874,TD!$N$33:$O$45,2,0)," ")</f>
        <v xml:space="preserve"> </v>
      </c>
      <c r="X874" s="54" t="str">
        <f t="shared" si="53"/>
        <v xml:space="preserve">_ </v>
      </c>
      <c r="Y874" s="54" t="str">
        <f t="shared" si="54"/>
        <v xml:space="preserve">-  _ </v>
      </c>
      <c r="Z874" s="132" t="str">
        <f t="shared" si="55"/>
        <v xml:space="preserve">   </v>
      </c>
      <c r="AA874" s="132" t="str">
        <f>IFERROR(VLOOKUP(Y874,TD!$K$46:$L$64,2,0)," ")</f>
        <v xml:space="preserve"> </v>
      </c>
      <c r="AB874" s="57"/>
      <c r="AC874" s="133"/>
    </row>
    <row r="875" spans="2:29" s="28" customFormat="1">
      <c r="B875" s="85"/>
      <c r="C875" s="53"/>
      <c r="D875" s="130"/>
      <c r="E875" s="54"/>
      <c r="F875" s="130"/>
      <c r="G875" s="130"/>
      <c r="H875" s="55"/>
      <c r="I875" s="135"/>
      <c r="J875" s="131"/>
      <c r="K875" s="56"/>
      <c r="L875" s="57"/>
      <c r="M875" s="130"/>
      <c r="N875" s="57"/>
      <c r="O875" s="54"/>
      <c r="P875" s="132" t="str">
        <f>IFERROR(VLOOKUP(C875,TD!$B$32:$F$36,2,0)," ")</f>
        <v xml:space="preserve"> </v>
      </c>
      <c r="Q875" s="132" t="str">
        <f>IFERROR(VLOOKUP(C875,TD!$B$32:$F$36,3,0)," ")</f>
        <v xml:space="preserve"> </v>
      </c>
      <c r="R875" s="132" t="str">
        <f>IFERROR(VLOOKUP(C875,TD!$B$32:$F$36,4,0)," ")</f>
        <v xml:space="preserve"> </v>
      </c>
      <c r="S875" s="54"/>
      <c r="T875" s="132" t="str">
        <f>IFERROR(VLOOKUP(S875,TD!$J$33:$K$43,2,0)," ")</f>
        <v xml:space="preserve"> </v>
      </c>
      <c r="U875" s="54" t="str">
        <f t="shared" si="52"/>
        <v xml:space="preserve">- </v>
      </c>
      <c r="V875" s="54"/>
      <c r="W875" s="132" t="str">
        <f>IFERROR(VLOOKUP(V875,TD!$N$33:$O$45,2,0)," ")</f>
        <v xml:space="preserve"> </v>
      </c>
      <c r="X875" s="54" t="str">
        <f t="shared" si="53"/>
        <v xml:space="preserve">_ </v>
      </c>
      <c r="Y875" s="54" t="str">
        <f t="shared" si="54"/>
        <v xml:space="preserve">-  _ </v>
      </c>
      <c r="Z875" s="132" t="str">
        <f t="shared" si="55"/>
        <v xml:space="preserve">   </v>
      </c>
      <c r="AA875" s="132" t="str">
        <f>IFERROR(VLOOKUP(Y875,TD!$K$46:$L$64,2,0)," ")</f>
        <v xml:space="preserve"> </v>
      </c>
      <c r="AB875" s="57"/>
      <c r="AC875" s="133"/>
    </row>
    <row r="876" spans="2:29" s="28" customFormat="1">
      <c r="B876" s="85"/>
      <c r="C876" s="53"/>
      <c r="D876" s="130"/>
      <c r="E876" s="54"/>
      <c r="F876" s="130"/>
      <c r="G876" s="130"/>
      <c r="H876" s="55"/>
      <c r="I876" s="135"/>
      <c r="J876" s="131"/>
      <c r="K876" s="56"/>
      <c r="L876" s="57"/>
      <c r="M876" s="130"/>
      <c r="N876" s="57"/>
      <c r="O876" s="54"/>
      <c r="P876" s="132" t="str">
        <f>IFERROR(VLOOKUP(C876,TD!$B$32:$F$36,2,0)," ")</f>
        <v xml:space="preserve"> </v>
      </c>
      <c r="Q876" s="132" t="str">
        <f>IFERROR(VLOOKUP(C876,TD!$B$32:$F$36,3,0)," ")</f>
        <v xml:space="preserve"> </v>
      </c>
      <c r="R876" s="132" t="str">
        <f>IFERROR(VLOOKUP(C876,TD!$B$32:$F$36,4,0)," ")</f>
        <v xml:space="preserve"> </v>
      </c>
      <c r="S876" s="54"/>
      <c r="T876" s="132" t="str">
        <f>IFERROR(VLOOKUP(S876,TD!$J$33:$K$43,2,0)," ")</f>
        <v xml:space="preserve"> </v>
      </c>
      <c r="U876" s="54" t="str">
        <f t="shared" si="52"/>
        <v xml:space="preserve">- </v>
      </c>
      <c r="V876" s="54"/>
      <c r="W876" s="132" t="str">
        <f>IFERROR(VLOOKUP(V876,TD!$N$33:$O$45,2,0)," ")</f>
        <v xml:space="preserve"> </v>
      </c>
      <c r="X876" s="54" t="str">
        <f t="shared" si="53"/>
        <v xml:space="preserve">_ </v>
      </c>
      <c r="Y876" s="54" t="str">
        <f t="shared" si="54"/>
        <v xml:space="preserve">-  _ </v>
      </c>
      <c r="Z876" s="132" t="str">
        <f t="shared" si="55"/>
        <v xml:space="preserve">   </v>
      </c>
      <c r="AA876" s="132" t="str">
        <f>IFERROR(VLOOKUP(Y876,TD!$K$46:$L$64,2,0)," ")</f>
        <v xml:space="preserve"> </v>
      </c>
      <c r="AB876" s="57"/>
      <c r="AC876" s="133"/>
    </row>
    <row r="877" spans="2:29" s="28" customFormat="1">
      <c r="B877" s="85"/>
      <c r="C877" s="53"/>
      <c r="D877" s="130"/>
      <c r="E877" s="54"/>
      <c r="F877" s="130"/>
      <c r="G877" s="130"/>
      <c r="H877" s="55"/>
      <c r="I877" s="135"/>
      <c r="J877" s="131"/>
      <c r="K877" s="56"/>
      <c r="L877" s="57"/>
      <c r="M877" s="130"/>
      <c r="N877" s="57"/>
      <c r="O877" s="54"/>
      <c r="P877" s="132" t="str">
        <f>IFERROR(VLOOKUP(C877,TD!$B$32:$F$36,2,0)," ")</f>
        <v xml:space="preserve"> </v>
      </c>
      <c r="Q877" s="132" t="str">
        <f>IFERROR(VLOOKUP(C877,TD!$B$32:$F$36,3,0)," ")</f>
        <v xml:space="preserve"> </v>
      </c>
      <c r="R877" s="132" t="str">
        <f>IFERROR(VLOOKUP(C877,TD!$B$32:$F$36,4,0)," ")</f>
        <v xml:space="preserve"> </v>
      </c>
      <c r="S877" s="54"/>
      <c r="T877" s="132" t="str">
        <f>IFERROR(VLOOKUP(S877,TD!$J$33:$K$43,2,0)," ")</f>
        <v xml:space="preserve"> </v>
      </c>
      <c r="U877" s="54" t="str">
        <f t="shared" si="52"/>
        <v xml:space="preserve">- </v>
      </c>
      <c r="V877" s="54"/>
      <c r="W877" s="132" t="str">
        <f>IFERROR(VLOOKUP(V877,TD!$N$33:$O$45,2,0)," ")</f>
        <v xml:space="preserve"> </v>
      </c>
      <c r="X877" s="54" t="str">
        <f t="shared" si="53"/>
        <v xml:space="preserve">_ </v>
      </c>
      <c r="Y877" s="54" t="str">
        <f t="shared" si="54"/>
        <v xml:space="preserve">-  _ </v>
      </c>
      <c r="Z877" s="132" t="str">
        <f t="shared" si="55"/>
        <v xml:space="preserve">   </v>
      </c>
      <c r="AA877" s="132" t="str">
        <f>IFERROR(VLOOKUP(Y877,TD!$K$46:$L$64,2,0)," ")</f>
        <v xml:space="preserve"> </v>
      </c>
      <c r="AB877" s="57"/>
      <c r="AC877" s="133"/>
    </row>
    <row r="878" spans="2:29" s="28" customFormat="1">
      <c r="B878" s="85"/>
      <c r="C878" s="53"/>
      <c r="D878" s="130"/>
      <c r="E878" s="54"/>
      <c r="F878" s="130"/>
      <c r="G878" s="130"/>
      <c r="H878" s="55"/>
      <c r="I878" s="135"/>
      <c r="J878" s="131"/>
      <c r="K878" s="56"/>
      <c r="L878" s="57"/>
      <c r="M878" s="130"/>
      <c r="N878" s="57"/>
      <c r="O878" s="54"/>
      <c r="P878" s="132" t="str">
        <f>IFERROR(VLOOKUP(C878,TD!$B$32:$F$36,2,0)," ")</f>
        <v xml:space="preserve"> </v>
      </c>
      <c r="Q878" s="132" t="str">
        <f>IFERROR(VLOOKUP(C878,TD!$B$32:$F$36,3,0)," ")</f>
        <v xml:space="preserve"> </v>
      </c>
      <c r="R878" s="132" t="str">
        <f>IFERROR(VLOOKUP(C878,TD!$B$32:$F$36,4,0)," ")</f>
        <v xml:space="preserve"> </v>
      </c>
      <c r="S878" s="54"/>
      <c r="T878" s="132" t="str">
        <f>IFERROR(VLOOKUP(S878,TD!$J$33:$K$43,2,0)," ")</f>
        <v xml:space="preserve"> </v>
      </c>
      <c r="U878" s="54" t="str">
        <f t="shared" si="52"/>
        <v xml:space="preserve">- </v>
      </c>
      <c r="V878" s="54"/>
      <c r="W878" s="132" t="str">
        <f>IFERROR(VLOOKUP(V878,TD!$N$33:$O$45,2,0)," ")</f>
        <v xml:space="preserve"> </v>
      </c>
      <c r="X878" s="54" t="str">
        <f t="shared" si="53"/>
        <v xml:space="preserve">_ </v>
      </c>
      <c r="Y878" s="54" t="str">
        <f t="shared" si="54"/>
        <v xml:space="preserve">-  _ </v>
      </c>
      <c r="Z878" s="132" t="str">
        <f t="shared" si="55"/>
        <v xml:space="preserve">   </v>
      </c>
      <c r="AA878" s="132" t="str">
        <f>IFERROR(VLOOKUP(Y878,TD!$K$46:$L$64,2,0)," ")</f>
        <v xml:space="preserve"> </v>
      </c>
      <c r="AB878" s="57"/>
      <c r="AC878" s="133"/>
    </row>
    <row r="879" spans="2:29" s="28" customFormat="1">
      <c r="B879" s="85"/>
      <c r="C879" s="53"/>
      <c r="D879" s="130"/>
      <c r="E879" s="54"/>
      <c r="F879" s="130"/>
      <c r="G879" s="130"/>
      <c r="H879" s="55"/>
      <c r="I879" s="135"/>
      <c r="J879" s="131"/>
      <c r="K879" s="56"/>
      <c r="L879" s="57"/>
      <c r="M879" s="130"/>
      <c r="N879" s="57"/>
      <c r="O879" s="54"/>
      <c r="P879" s="132" t="str">
        <f>IFERROR(VLOOKUP(C879,TD!$B$32:$F$36,2,0)," ")</f>
        <v xml:space="preserve"> </v>
      </c>
      <c r="Q879" s="132" t="str">
        <f>IFERROR(VLOOKUP(C879,TD!$B$32:$F$36,3,0)," ")</f>
        <v xml:space="preserve"> </v>
      </c>
      <c r="R879" s="132" t="str">
        <f>IFERROR(VLOOKUP(C879,TD!$B$32:$F$36,4,0)," ")</f>
        <v xml:space="preserve"> </v>
      </c>
      <c r="S879" s="54"/>
      <c r="T879" s="132" t="str">
        <f>IFERROR(VLOOKUP(S879,TD!$J$33:$K$43,2,0)," ")</f>
        <v xml:space="preserve"> </v>
      </c>
      <c r="U879" s="54" t="str">
        <f t="shared" si="52"/>
        <v xml:space="preserve">- </v>
      </c>
      <c r="V879" s="54"/>
      <c r="W879" s="132" t="str">
        <f>IFERROR(VLOOKUP(V879,TD!$N$33:$O$45,2,0)," ")</f>
        <v xml:space="preserve"> </v>
      </c>
      <c r="X879" s="54" t="str">
        <f t="shared" si="53"/>
        <v xml:space="preserve">_ </v>
      </c>
      <c r="Y879" s="54" t="str">
        <f t="shared" si="54"/>
        <v xml:space="preserve">-  _ </v>
      </c>
      <c r="Z879" s="132" t="str">
        <f t="shared" si="55"/>
        <v xml:space="preserve">   </v>
      </c>
      <c r="AA879" s="132" t="str">
        <f>IFERROR(VLOOKUP(Y879,TD!$K$46:$L$64,2,0)," ")</f>
        <v xml:space="preserve"> </v>
      </c>
      <c r="AB879" s="57"/>
      <c r="AC879" s="133"/>
    </row>
    <row r="880" spans="2:29" s="28" customFormat="1">
      <c r="B880" s="85"/>
      <c r="C880" s="53"/>
      <c r="D880" s="130"/>
      <c r="E880" s="54"/>
      <c r="F880" s="130"/>
      <c r="G880" s="130"/>
      <c r="H880" s="55"/>
      <c r="I880" s="135"/>
      <c r="J880" s="131"/>
      <c r="K880" s="56"/>
      <c r="L880" s="57"/>
      <c r="M880" s="130"/>
      <c r="N880" s="57"/>
      <c r="O880" s="54"/>
      <c r="P880" s="132" t="str">
        <f>IFERROR(VLOOKUP(C880,TD!$B$32:$F$36,2,0)," ")</f>
        <v xml:space="preserve"> </v>
      </c>
      <c r="Q880" s="132" t="str">
        <f>IFERROR(VLOOKUP(C880,TD!$B$32:$F$36,3,0)," ")</f>
        <v xml:space="preserve"> </v>
      </c>
      <c r="R880" s="132" t="str">
        <f>IFERROR(VLOOKUP(C880,TD!$B$32:$F$36,4,0)," ")</f>
        <v xml:space="preserve"> </v>
      </c>
      <c r="S880" s="54"/>
      <c r="T880" s="132" t="str">
        <f>IFERROR(VLOOKUP(S880,TD!$J$33:$K$43,2,0)," ")</f>
        <v xml:space="preserve"> </v>
      </c>
      <c r="U880" s="54" t="str">
        <f t="shared" si="52"/>
        <v xml:space="preserve">- </v>
      </c>
      <c r="V880" s="54"/>
      <c r="W880" s="132" t="str">
        <f>IFERROR(VLOOKUP(V880,TD!$N$33:$O$45,2,0)," ")</f>
        <v xml:space="preserve"> </v>
      </c>
      <c r="X880" s="54" t="str">
        <f t="shared" si="53"/>
        <v xml:space="preserve">_ </v>
      </c>
      <c r="Y880" s="54" t="str">
        <f t="shared" si="54"/>
        <v xml:space="preserve">-  _ </v>
      </c>
      <c r="Z880" s="132" t="str">
        <f t="shared" si="55"/>
        <v xml:space="preserve">   </v>
      </c>
      <c r="AA880" s="132" t="str">
        <f>IFERROR(VLOOKUP(Y880,TD!$K$46:$L$64,2,0)," ")</f>
        <v xml:space="preserve"> </v>
      </c>
      <c r="AB880" s="57"/>
      <c r="AC880" s="133"/>
    </row>
    <row r="881" spans="2:29" s="28" customFormat="1">
      <c r="B881" s="85"/>
      <c r="C881" s="53"/>
      <c r="D881" s="130"/>
      <c r="E881" s="54"/>
      <c r="F881" s="130"/>
      <c r="G881" s="130"/>
      <c r="H881" s="55"/>
      <c r="I881" s="135"/>
      <c r="J881" s="131"/>
      <c r="K881" s="56"/>
      <c r="L881" s="57"/>
      <c r="M881" s="130"/>
      <c r="N881" s="57"/>
      <c r="O881" s="54"/>
      <c r="P881" s="132" t="str">
        <f>IFERROR(VLOOKUP(C881,TD!$B$32:$F$36,2,0)," ")</f>
        <v xml:space="preserve"> </v>
      </c>
      <c r="Q881" s="132" t="str">
        <f>IFERROR(VLOOKUP(C881,TD!$B$32:$F$36,3,0)," ")</f>
        <v xml:space="preserve"> </v>
      </c>
      <c r="R881" s="132" t="str">
        <f>IFERROR(VLOOKUP(C881,TD!$B$32:$F$36,4,0)," ")</f>
        <v xml:space="preserve"> </v>
      </c>
      <c r="S881" s="54"/>
      <c r="T881" s="132" t="str">
        <f>IFERROR(VLOOKUP(S881,TD!$J$33:$K$43,2,0)," ")</f>
        <v xml:space="preserve"> </v>
      </c>
      <c r="U881" s="54" t="str">
        <f t="shared" si="52"/>
        <v xml:space="preserve">- </v>
      </c>
      <c r="V881" s="54"/>
      <c r="W881" s="132" t="str">
        <f>IFERROR(VLOOKUP(V881,TD!$N$33:$O$45,2,0)," ")</f>
        <v xml:space="preserve"> </v>
      </c>
      <c r="X881" s="54" t="str">
        <f t="shared" si="53"/>
        <v xml:space="preserve">_ </v>
      </c>
      <c r="Y881" s="54" t="str">
        <f t="shared" si="54"/>
        <v xml:space="preserve">-  _ </v>
      </c>
      <c r="Z881" s="132" t="str">
        <f t="shared" si="55"/>
        <v xml:space="preserve">   </v>
      </c>
      <c r="AA881" s="132" t="str">
        <f>IFERROR(VLOOKUP(Y881,TD!$K$46:$L$64,2,0)," ")</f>
        <v xml:space="preserve"> </v>
      </c>
      <c r="AB881" s="57"/>
      <c r="AC881" s="133"/>
    </row>
    <row r="882" spans="2:29" s="28" customFormat="1">
      <c r="B882" s="85"/>
      <c r="C882" s="53"/>
      <c r="D882" s="130"/>
      <c r="E882" s="54"/>
      <c r="F882" s="130"/>
      <c r="G882" s="130"/>
      <c r="H882" s="55"/>
      <c r="I882" s="135"/>
      <c r="J882" s="131"/>
      <c r="K882" s="56"/>
      <c r="L882" s="57"/>
      <c r="M882" s="130"/>
      <c r="N882" s="57"/>
      <c r="O882" s="54"/>
      <c r="P882" s="132" t="str">
        <f>IFERROR(VLOOKUP(C882,TD!$B$32:$F$36,2,0)," ")</f>
        <v xml:space="preserve"> </v>
      </c>
      <c r="Q882" s="132" t="str">
        <f>IFERROR(VLOOKUP(C882,TD!$B$32:$F$36,3,0)," ")</f>
        <v xml:space="preserve"> </v>
      </c>
      <c r="R882" s="132" t="str">
        <f>IFERROR(VLOOKUP(C882,TD!$B$32:$F$36,4,0)," ")</f>
        <v xml:space="preserve"> </v>
      </c>
      <c r="S882" s="54"/>
      <c r="T882" s="132" t="str">
        <f>IFERROR(VLOOKUP(S882,TD!$J$33:$K$43,2,0)," ")</f>
        <v xml:space="preserve"> </v>
      </c>
      <c r="U882" s="54" t="str">
        <f t="shared" si="52"/>
        <v xml:space="preserve">- </v>
      </c>
      <c r="V882" s="54"/>
      <c r="W882" s="132" t="str">
        <f>IFERROR(VLOOKUP(V882,TD!$N$33:$O$45,2,0)," ")</f>
        <v xml:space="preserve"> </v>
      </c>
      <c r="X882" s="54" t="str">
        <f t="shared" si="53"/>
        <v xml:space="preserve">_ </v>
      </c>
      <c r="Y882" s="54" t="str">
        <f t="shared" si="54"/>
        <v xml:space="preserve">-  _ </v>
      </c>
      <c r="Z882" s="132" t="str">
        <f t="shared" si="55"/>
        <v xml:space="preserve">   </v>
      </c>
      <c r="AA882" s="132" t="str">
        <f>IFERROR(VLOOKUP(Y882,TD!$K$46:$L$64,2,0)," ")</f>
        <v xml:space="preserve"> </v>
      </c>
      <c r="AB882" s="57"/>
      <c r="AC882" s="133"/>
    </row>
    <row r="883" spans="2:29" s="28" customFormat="1">
      <c r="B883" s="85"/>
      <c r="C883" s="53"/>
      <c r="D883" s="130"/>
      <c r="E883" s="54"/>
      <c r="F883" s="130"/>
      <c r="G883" s="130"/>
      <c r="H883" s="55"/>
      <c r="I883" s="135"/>
      <c r="J883" s="131"/>
      <c r="K883" s="56"/>
      <c r="L883" s="57"/>
      <c r="M883" s="130"/>
      <c r="N883" s="57"/>
      <c r="O883" s="54"/>
      <c r="P883" s="132" t="str">
        <f>IFERROR(VLOOKUP(C883,TD!$B$32:$F$36,2,0)," ")</f>
        <v xml:space="preserve"> </v>
      </c>
      <c r="Q883" s="132" t="str">
        <f>IFERROR(VLOOKUP(C883,TD!$B$32:$F$36,3,0)," ")</f>
        <v xml:space="preserve"> </v>
      </c>
      <c r="R883" s="132" t="str">
        <f>IFERROR(VLOOKUP(C883,TD!$B$32:$F$36,4,0)," ")</f>
        <v xml:space="preserve"> </v>
      </c>
      <c r="S883" s="54"/>
      <c r="T883" s="132" t="str">
        <f>IFERROR(VLOOKUP(S883,TD!$J$33:$K$43,2,0)," ")</f>
        <v xml:space="preserve"> </v>
      </c>
      <c r="U883" s="54" t="str">
        <f t="shared" si="52"/>
        <v xml:space="preserve">- </v>
      </c>
      <c r="V883" s="54"/>
      <c r="W883" s="132" t="str">
        <f>IFERROR(VLOOKUP(V883,TD!$N$33:$O$45,2,0)," ")</f>
        <v xml:space="preserve"> </v>
      </c>
      <c r="X883" s="54" t="str">
        <f t="shared" si="53"/>
        <v xml:space="preserve">_ </v>
      </c>
      <c r="Y883" s="54" t="str">
        <f t="shared" si="54"/>
        <v xml:space="preserve">-  _ </v>
      </c>
      <c r="Z883" s="132" t="str">
        <f t="shared" si="55"/>
        <v xml:space="preserve">   </v>
      </c>
      <c r="AA883" s="132" t="str">
        <f>IFERROR(VLOOKUP(Y883,TD!$K$46:$L$64,2,0)," ")</f>
        <v xml:space="preserve"> </v>
      </c>
      <c r="AB883" s="57"/>
      <c r="AC883" s="133"/>
    </row>
    <row r="884" spans="2:29" s="28" customFormat="1">
      <c r="B884" s="85"/>
      <c r="C884" s="53"/>
      <c r="D884" s="130"/>
      <c r="E884" s="54"/>
      <c r="F884" s="130"/>
      <c r="G884" s="130"/>
      <c r="H884" s="55"/>
      <c r="I884" s="135"/>
      <c r="J884" s="131"/>
      <c r="K884" s="56"/>
      <c r="L884" s="57"/>
      <c r="M884" s="130"/>
      <c r="N884" s="57"/>
      <c r="O884" s="54"/>
      <c r="P884" s="132" t="str">
        <f>IFERROR(VLOOKUP(C884,TD!$B$32:$F$36,2,0)," ")</f>
        <v xml:space="preserve"> </v>
      </c>
      <c r="Q884" s="132" t="str">
        <f>IFERROR(VLOOKUP(C884,TD!$B$32:$F$36,3,0)," ")</f>
        <v xml:space="preserve"> </v>
      </c>
      <c r="R884" s="132" t="str">
        <f>IFERROR(VLOOKUP(C884,TD!$B$32:$F$36,4,0)," ")</f>
        <v xml:space="preserve"> </v>
      </c>
      <c r="S884" s="54"/>
      <c r="T884" s="132" t="str">
        <f>IFERROR(VLOOKUP(S884,TD!$J$33:$K$43,2,0)," ")</f>
        <v xml:space="preserve"> </v>
      </c>
      <c r="U884" s="54" t="str">
        <f t="shared" si="52"/>
        <v xml:space="preserve">- </v>
      </c>
      <c r="V884" s="54"/>
      <c r="W884" s="132" t="str">
        <f>IFERROR(VLOOKUP(V884,TD!$N$33:$O$45,2,0)," ")</f>
        <v xml:space="preserve"> </v>
      </c>
      <c r="X884" s="54" t="str">
        <f t="shared" si="53"/>
        <v xml:space="preserve">_ </v>
      </c>
      <c r="Y884" s="54" t="str">
        <f t="shared" si="54"/>
        <v xml:space="preserve">-  _ </v>
      </c>
      <c r="Z884" s="132" t="str">
        <f t="shared" si="55"/>
        <v xml:space="preserve">   </v>
      </c>
      <c r="AA884" s="132" t="str">
        <f>IFERROR(VLOOKUP(Y884,TD!$K$46:$L$64,2,0)," ")</f>
        <v xml:space="preserve"> </v>
      </c>
      <c r="AB884" s="57"/>
      <c r="AC884" s="133"/>
    </row>
    <row r="885" spans="2:29" s="28" customFormat="1">
      <c r="B885" s="85"/>
      <c r="C885" s="53"/>
      <c r="D885" s="130"/>
      <c r="E885" s="54"/>
      <c r="F885" s="130"/>
      <c r="G885" s="130"/>
      <c r="H885" s="55"/>
      <c r="I885" s="135"/>
      <c r="J885" s="131"/>
      <c r="K885" s="56"/>
      <c r="L885" s="57"/>
      <c r="M885" s="130"/>
      <c r="N885" s="57"/>
      <c r="O885" s="54"/>
      <c r="P885" s="132" t="str">
        <f>IFERROR(VLOOKUP(C885,TD!$B$32:$F$36,2,0)," ")</f>
        <v xml:space="preserve"> </v>
      </c>
      <c r="Q885" s="132" t="str">
        <f>IFERROR(VLOOKUP(C885,TD!$B$32:$F$36,3,0)," ")</f>
        <v xml:space="preserve"> </v>
      </c>
      <c r="R885" s="132" t="str">
        <f>IFERROR(VLOOKUP(C885,TD!$B$32:$F$36,4,0)," ")</f>
        <v xml:space="preserve"> </v>
      </c>
      <c r="S885" s="54"/>
      <c r="T885" s="132" t="str">
        <f>IFERROR(VLOOKUP(S885,TD!$J$33:$K$43,2,0)," ")</f>
        <v xml:space="preserve"> </v>
      </c>
      <c r="U885" s="54" t="str">
        <f t="shared" si="52"/>
        <v xml:space="preserve">- </v>
      </c>
      <c r="V885" s="54"/>
      <c r="W885" s="132" t="str">
        <f>IFERROR(VLOOKUP(V885,TD!$N$33:$O$45,2,0)," ")</f>
        <v xml:space="preserve"> </v>
      </c>
      <c r="X885" s="54" t="str">
        <f t="shared" si="53"/>
        <v xml:space="preserve">_ </v>
      </c>
      <c r="Y885" s="54" t="str">
        <f t="shared" si="54"/>
        <v xml:space="preserve">-  _ </v>
      </c>
      <c r="Z885" s="132" t="str">
        <f t="shared" si="55"/>
        <v xml:space="preserve">   </v>
      </c>
      <c r="AA885" s="132" t="str">
        <f>IFERROR(VLOOKUP(Y885,TD!$K$46:$L$64,2,0)," ")</f>
        <v xml:space="preserve"> </v>
      </c>
      <c r="AB885" s="57"/>
      <c r="AC885" s="133"/>
    </row>
    <row r="886" spans="2:29" s="28" customFormat="1">
      <c r="B886" s="85"/>
      <c r="C886" s="53"/>
      <c r="D886" s="130"/>
      <c r="E886" s="54"/>
      <c r="F886" s="130"/>
      <c r="G886" s="130"/>
      <c r="H886" s="55"/>
      <c r="I886" s="135"/>
      <c r="J886" s="131"/>
      <c r="K886" s="56"/>
      <c r="L886" s="57"/>
      <c r="M886" s="130"/>
      <c r="N886" s="57"/>
      <c r="O886" s="54"/>
      <c r="P886" s="132" t="str">
        <f>IFERROR(VLOOKUP(C886,TD!$B$32:$F$36,2,0)," ")</f>
        <v xml:space="preserve"> </v>
      </c>
      <c r="Q886" s="132" t="str">
        <f>IFERROR(VLOOKUP(C886,TD!$B$32:$F$36,3,0)," ")</f>
        <v xml:space="preserve"> </v>
      </c>
      <c r="R886" s="132" t="str">
        <f>IFERROR(VLOOKUP(C886,TD!$B$32:$F$36,4,0)," ")</f>
        <v xml:space="preserve"> </v>
      </c>
      <c r="S886" s="54"/>
      <c r="T886" s="132" t="str">
        <f>IFERROR(VLOOKUP(S886,TD!$J$33:$K$43,2,0)," ")</f>
        <v xml:space="preserve"> </v>
      </c>
      <c r="U886" s="54" t="str">
        <f t="shared" si="52"/>
        <v xml:space="preserve">- </v>
      </c>
      <c r="V886" s="54"/>
      <c r="W886" s="132" t="str">
        <f>IFERROR(VLOOKUP(V886,TD!$N$33:$O$45,2,0)," ")</f>
        <v xml:space="preserve"> </v>
      </c>
      <c r="X886" s="54" t="str">
        <f t="shared" si="53"/>
        <v xml:space="preserve">_ </v>
      </c>
      <c r="Y886" s="54" t="str">
        <f t="shared" si="54"/>
        <v xml:space="preserve">-  _ </v>
      </c>
      <c r="Z886" s="132" t="str">
        <f t="shared" si="55"/>
        <v xml:space="preserve">   </v>
      </c>
      <c r="AA886" s="132" t="str">
        <f>IFERROR(VLOOKUP(Y886,TD!$K$46:$L$64,2,0)," ")</f>
        <v xml:space="preserve"> </v>
      </c>
      <c r="AB886" s="57"/>
      <c r="AC886" s="133"/>
    </row>
    <row r="887" spans="2:29" s="28" customFormat="1">
      <c r="B887" s="85"/>
      <c r="C887" s="53"/>
      <c r="D887" s="130"/>
      <c r="E887" s="54"/>
      <c r="F887" s="130"/>
      <c r="G887" s="130"/>
      <c r="H887" s="55"/>
      <c r="I887" s="135"/>
      <c r="J887" s="131"/>
      <c r="K887" s="56"/>
      <c r="L887" s="57"/>
      <c r="M887" s="130"/>
      <c r="N887" s="57"/>
      <c r="O887" s="54"/>
      <c r="P887" s="132" t="str">
        <f>IFERROR(VLOOKUP(C887,TD!$B$32:$F$36,2,0)," ")</f>
        <v xml:space="preserve"> </v>
      </c>
      <c r="Q887" s="132" t="str">
        <f>IFERROR(VLOOKUP(C887,TD!$B$32:$F$36,3,0)," ")</f>
        <v xml:space="preserve"> </v>
      </c>
      <c r="R887" s="132" t="str">
        <f>IFERROR(VLOOKUP(C887,TD!$B$32:$F$36,4,0)," ")</f>
        <v xml:space="preserve"> </v>
      </c>
      <c r="S887" s="54"/>
      <c r="T887" s="132" t="str">
        <f>IFERROR(VLOOKUP(S887,TD!$J$33:$K$43,2,0)," ")</f>
        <v xml:space="preserve"> </v>
      </c>
      <c r="U887" s="54" t="str">
        <f t="shared" si="52"/>
        <v xml:space="preserve">- </v>
      </c>
      <c r="V887" s="54"/>
      <c r="W887" s="132" t="str">
        <f>IFERROR(VLOOKUP(V887,TD!$N$33:$O$45,2,0)," ")</f>
        <v xml:space="preserve"> </v>
      </c>
      <c r="X887" s="54" t="str">
        <f t="shared" si="53"/>
        <v xml:space="preserve">_ </v>
      </c>
      <c r="Y887" s="54" t="str">
        <f t="shared" si="54"/>
        <v xml:space="preserve">-  _ </v>
      </c>
      <c r="Z887" s="132" t="str">
        <f t="shared" si="55"/>
        <v xml:space="preserve">   </v>
      </c>
      <c r="AA887" s="132" t="str">
        <f>IFERROR(VLOOKUP(Y887,TD!$K$46:$L$64,2,0)," ")</f>
        <v xml:space="preserve"> </v>
      </c>
      <c r="AB887" s="57"/>
      <c r="AC887" s="133"/>
    </row>
    <row r="888" spans="2:29" s="28" customFormat="1">
      <c r="B888" s="85"/>
      <c r="C888" s="53"/>
      <c r="D888" s="130"/>
      <c r="E888" s="54"/>
      <c r="F888" s="130"/>
      <c r="G888" s="130"/>
      <c r="H888" s="55"/>
      <c r="I888" s="135"/>
      <c r="J888" s="131"/>
      <c r="K888" s="56"/>
      <c r="L888" s="57"/>
      <c r="M888" s="130"/>
      <c r="N888" s="57"/>
      <c r="O888" s="54"/>
      <c r="P888" s="132" t="str">
        <f>IFERROR(VLOOKUP(C888,TD!$B$32:$F$36,2,0)," ")</f>
        <v xml:space="preserve"> </v>
      </c>
      <c r="Q888" s="132" t="str">
        <f>IFERROR(VLOOKUP(C888,TD!$B$32:$F$36,3,0)," ")</f>
        <v xml:space="preserve"> </v>
      </c>
      <c r="R888" s="132" t="str">
        <f>IFERROR(VLOOKUP(C888,TD!$B$32:$F$36,4,0)," ")</f>
        <v xml:space="preserve"> </v>
      </c>
      <c r="S888" s="54"/>
      <c r="T888" s="132" t="str">
        <f>IFERROR(VLOOKUP(S888,TD!$J$33:$K$43,2,0)," ")</f>
        <v xml:space="preserve"> </v>
      </c>
      <c r="U888" s="54" t="str">
        <f t="shared" si="52"/>
        <v xml:space="preserve">- </v>
      </c>
      <c r="V888" s="54"/>
      <c r="W888" s="132" t="str">
        <f>IFERROR(VLOOKUP(V888,TD!$N$33:$O$45,2,0)," ")</f>
        <v xml:space="preserve"> </v>
      </c>
      <c r="X888" s="54" t="str">
        <f t="shared" si="53"/>
        <v xml:space="preserve">_ </v>
      </c>
      <c r="Y888" s="54" t="str">
        <f t="shared" si="54"/>
        <v xml:space="preserve">-  _ </v>
      </c>
      <c r="Z888" s="132" t="str">
        <f t="shared" si="55"/>
        <v xml:space="preserve">   </v>
      </c>
      <c r="AA888" s="132" t="str">
        <f>IFERROR(VLOOKUP(Y888,TD!$K$46:$L$64,2,0)," ")</f>
        <v xml:space="preserve"> </v>
      </c>
      <c r="AB888" s="57"/>
      <c r="AC888" s="133"/>
    </row>
    <row r="889" spans="2:29" s="28" customFormat="1">
      <c r="B889" s="85"/>
      <c r="C889" s="53"/>
      <c r="D889" s="130"/>
      <c r="E889" s="54"/>
      <c r="F889" s="130"/>
      <c r="G889" s="130"/>
      <c r="H889" s="55"/>
      <c r="I889" s="135"/>
      <c r="J889" s="131"/>
      <c r="K889" s="56"/>
      <c r="L889" s="57"/>
      <c r="M889" s="130"/>
      <c r="N889" s="57"/>
      <c r="O889" s="54"/>
      <c r="P889" s="132" t="str">
        <f>IFERROR(VLOOKUP(C889,TD!$B$32:$F$36,2,0)," ")</f>
        <v xml:space="preserve"> </v>
      </c>
      <c r="Q889" s="132" t="str">
        <f>IFERROR(VLOOKUP(C889,TD!$B$32:$F$36,3,0)," ")</f>
        <v xml:space="preserve"> </v>
      </c>
      <c r="R889" s="132" t="str">
        <f>IFERROR(VLOOKUP(C889,TD!$B$32:$F$36,4,0)," ")</f>
        <v xml:space="preserve"> </v>
      </c>
      <c r="S889" s="54"/>
      <c r="T889" s="132" t="str">
        <f>IFERROR(VLOOKUP(S889,TD!$J$33:$K$43,2,0)," ")</f>
        <v xml:space="preserve"> </v>
      </c>
      <c r="U889" s="54" t="str">
        <f t="shared" si="52"/>
        <v xml:space="preserve">- </v>
      </c>
      <c r="V889" s="54"/>
      <c r="W889" s="132" t="str">
        <f>IFERROR(VLOOKUP(V889,TD!$N$33:$O$45,2,0)," ")</f>
        <v xml:space="preserve"> </v>
      </c>
      <c r="X889" s="54" t="str">
        <f t="shared" si="53"/>
        <v xml:space="preserve">_ </v>
      </c>
      <c r="Y889" s="54" t="str">
        <f t="shared" si="54"/>
        <v xml:space="preserve">-  _ </v>
      </c>
      <c r="Z889" s="132" t="str">
        <f t="shared" si="55"/>
        <v xml:space="preserve">   </v>
      </c>
      <c r="AA889" s="132" t="str">
        <f>IFERROR(VLOOKUP(Y889,TD!$K$46:$L$64,2,0)," ")</f>
        <v xml:space="preserve"> </v>
      </c>
      <c r="AB889" s="57"/>
      <c r="AC889" s="133"/>
    </row>
    <row r="890" spans="2:29" s="28" customFormat="1">
      <c r="B890" s="85"/>
      <c r="C890" s="53"/>
      <c r="D890" s="130"/>
      <c r="E890" s="54"/>
      <c r="F890" s="130"/>
      <c r="G890" s="130"/>
      <c r="H890" s="55"/>
      <c r="I890" s="135"/>
      <c r="J890" s="131"/>
      <c r="K890" s="56"/>
      <c r="L890" s="57"/>
      <c r="M890" s="130"/>
      <c r="N890" s="57"/>
      <c r="O890" s="54"/>
      <c r="P890" s="132" t="str">
        <f>IFERROR(VLOOKUP(C890,TD!$B$32:$F$36,2,0)," ")</f>
        <v xml:space="preserve"> </v>
      </c>
      <c r="Q890" s="132" t="str">
        <f>IFERROR(VLOOKUP(C890,TD!$B$32:$F$36,3,0)," ")</f>
        <v xml:space="preserve"> </v>
      </c>
      <c r="R890" s="132" t="str">
        <f>IFERROR(VLOOKUP(C890,TD!$B$32:$F$36,4,0)," ")</f>
        <v xml:space="preserve"> </v>
      </c>
      <c r="S890" s="54"/>
      <c r="T890" s="132" t="str">
        <f>IFERROR(VLOOKUP(S890,TD!$J$33:$K$43,2,0)," ")</f>
        <v xml:space="preserve"> </v>
      </c>
      <c r="U890" s="54" t="str">
        <f t="shared" si="52"/>
        <v xml:space="preserve">- </v>
      </c>
      <c r="V890" s="54"/>
      <c r="W890" s="132" t="str">
        <f>IFERROR(VLOOKUP(V890,TD!$N$33:$O$45,2,0)," ")</f>
        <v xml:space="preserve"> </v>
      </c>
      <c r="X890" s="54" t="str">
        <f t="shared" si="53"/>
        <v xml:space="preserve">_ </v>
      </c>
      <c r="Y890" s="54" t="str">
        <f t="shared" si="54"/>
        <v xml:space="preserve">-  _ </v>
      </c>
      <c r="Z890" s="132" t="str">
        <f t="shared" si="55"/>
        <v xml:space="preserve">   </v>
      </c>
      <c r="AA890" s="132" t="str">
        <f>IFERROR(VLOOKUP(Y890,TD!$K$46:$L$64,2,0)," ")</f>
        <v xml:space="preserve"> </v>
      </c>
      <c r="AB890" s="57"/>
      <c r="AC890" s="133"/>
    </row>
    <row r="891" spans="2:29" s="28" customFormat="1">
      <c r="B891" s="85"/>
      <c r="C891" s="53"/>
      <c r="D891" s="130"/>
      <c r="E891" s="54"/>
      <c r="F891" s="130"/>
      <c r="G891" s="130"/>
      <c r="H891" s="55"/>
      <c r="I891" s="135"/>
      <c r="J891" s="131"/>
      <c r="K891" s="56"/>
      <c r="L891" s="57"/>
      <c r="M891" s="130"/>
      <c r="N891" s="57"/>
      <c r="O891" s="54"/>
      <c r="P891" s="132" t="str">
        <f>IFERROR(VLOOKUP(C891,TD!$B$32:$F$36,2,0)," ")</f>
        <v xml:space="preserve"> </v>
      </c>
      <c r="Q891" s="132" t="str">
        <f>IFERROR(VLOOKUP(C891,TD!$B$32:$F$36,3,0)," ")</f>
        <v xml:space="preserve"> </v>
      </c>
      <c r="R891" s="132" t="str">
        <f>IFERROR(VLOOKUP(C891,TD!$B$32:$F$36,4,0)," ")</f>
        <v xml:space="preserve"> </v>
      </c>
      <c r="S891" s="54"/>
      <c r="T891" s="132" t="str">
        <f>IFERROR(VLOOKUP(S891,TD!$J$33:$K$43,2,0)," ")</f>
        <v xml:space="preserve"> </v>
      </c>
      <c r="U891" s="54" t="str">
        <f t="shared" si="52"/>
        <v xml:space="preserve">- </v>
      </c>
      <c r="V891" s="54"/>
      <c r="W891" s="132" t="str">
        <f>IFERROR(VLOOKUP(V891,TD!$N$33:$O$45,2,0)," ")</f>
        <v xml:space="preserve"> </v>
      </c>
      <c r="X891" s="54" t="str">
        <f t="shared" si="53"/>
        <v xml:space="preserve">_ </v>
      </c>
      <c r="Y891" s="54" t="str">
        <f t="shared" si="54"/>
        <v xml:space="preserve">-  _ </v>
      </c>
      <c r="Z891" s="132" t="str">
        <f t="shared" si="55"/>
        <v xml:space="preserve">   </v>
      </c>
      <c r="AA891" s="132" t="str">
        <f>IFERROR(VLOOKUP(Y891,TD!$K$46:$L$64,2,0)," ")</f>
        <v xml:space="preserve"> </v>
      </c>
      <c r="AB891" s="57"/>
      <c r="AC891" s="133"/>
    </row>
    <row r="892" spans="2:29" s="28" customFormat="1">
      <c r="B892" s="85"/>
      <c r="C892" s="53"/>
      <c r="D892" s="130"/>
      <c r="E892" s="54"/>
      <c r="F892" s="130"/>
      <c r="G892" s="130"/>
      <c r="H892" s="55"/>
      <c r="I892" s="135"/>
      <c r="J892" s="131"/>
      <c r="K892" s="56"/>
      <c r="L892" s="57"/>
      <c r="M892" s="130"/>
      <c r="N892" s="57"/>
      <c r="O892" s="54"/>
      <c r="P892" s="132" t="str">
        <f>IFERROR(VLOOKUP(C892,TD!$B$32:$F$36,2,0)," ")</f>
        <v xml:space="preserve"> </v>
      </c>
      <c r="Q892" s="132" t="str">
        <f>IFERROR(VLOOKUP(C892,TD!$B$32:$F$36,3,0)," ")</f>
        <v xml:space="preserve"> </v>
      </c>
      <c r="R892" s="132" t="str">
        <f>IFERROR(VLOOKUP(C892,TD!$B$32:$F$36,4,0)," ")</f>
        <v xml:space="preserve"> </v>
      </c>
      <c r="S892" s="54"/>
      <c r="T892" s="132" t="str">
        <f>IFERROR(VLOOKUP(S892,TD!$J$33:$K$43,2,0)," ")</f>
        <v xml:space="preserve"> </v>
      </c>
      <c r="U892" s="54" t="str">
        <f t="shared" si="52"/>
        <v xml:space="preserve">- </v>
      </c>
      <c r="V892" s="54"/>
      <c r="W892" s="132" t="str">
        <f>IFERROR(VLOOKUP(V892,TD!$N$33:$O$45,2,0)," ")</f>
        <v xml:space="preserve"> </v>
      </c>
      <c r="X892" s="54" t="str">
        <f t="shared" si="53"/>
        <v xml:space="preserve">_ </v>
      </c>
      <c r="Y892" s="54" t="str">
        <f t="shared" si="54"/>
        <v xml:space="preserve">-  _ </v>
      </c>
      <c r="Z892" s="132" t="str">
        <f t="shared" si="55"/>
        <v xml:space="preserve">   </v>
      </c>
      <c r="AA892" s="132" t="str">
        <f>IFERROR(VLOOKUP(Y892,TD!$K$46:$L$64,2,0)," ")</f>
        <v xml:space="preserve"> </v>
      </c>
      <c r="AB892" s="57"/>
      <c r="AC892" s="133"/>
    </row>
    <row r="893" spans="2:29" s="28" customFormat="1">
      <c r="B893" s="85"/>
      <c r="C893" s="53"/>
      <c r="D893" s="130"/>
      <c r="E893" s="54"/>
      <c r="F893" s="130"/>
      <c r="G893" s="130"/>
      <c r="H893" s="55"/>
      <c r="I893" s="135"/>
      <c r="J893" s="131"/>
      <c r="K893" s="56"/>
      <c r="L893" s="57"/>
      <c r="M893" s="130"/>
      <c r="N893" s="57"/>
      <c r="O893" s="54"/>
      <c r="P893" s="132" t="str">
        <f>IFERROR(VLOOKUP(C893,TD!$B$32:$F$36,2,0)," ")</f>
        <v xml:space="preserve"> </v>
      </c>
      <c r="Q893" s="132" t="str">
        <f>IFERROR(VLOOKUP(C893,TD!$B$32:$F$36,3,0)," ")</f>
        <v xml:space="preserve"> </v>
      </c>
      <c r="R893" s="132" t="str">
        <f>IFERROR(VLOOKUP(C893,TD!$B$32:$F$36,4,0)," ")</f>
        <v xml:space="preserve"> </v>
      </c>
      <c r="S893" s="54"/>
      <c r="T893" s="132" t="str">
        <f>IFERROR(VLOOKUP(S893,TD!$J$33:$K$43,2,0)," ")</f>
        <v xml:space="preserve"> </v>
      </c>
      <c r="U893" s="54" t="str">
        <f t="shared" si="52"/>
        <v xml:space="preserve">- </v>
      </c>
      <c r="V893" s="54"/>
      <c r="W893" s="132" t="str">
        <f>IFERROR(VLOOKUP(V893,TD!$N$33:$O$45,2,0)," ")</f>
        <v xml:space="preserve"> </v>
      </c>
      <c r="X893" s="54" t="str">
        <f t="shared" si="53"/>
        <v xml:space="preserve">_ </v>
      </c>
      <c r="Y893" s="54" t="str">
        <f t="shared" si="54"/>
        <v xml:space="preserve">-  _ </v>
      </c>
      <c r="Z893" s="132" t="str">
        <f t="shared" si="55"/>
        <v xml:space="preserve">   </v>
      </c>
      <c r="AA893" s="132" t="str">
        <f>IFERROR(VLOOKUP(Y893,TD!$K$46:$L$64,2,0)," ")</f>
        <v xml:space="preserve"> </v>
      </c>
      <c r="AB893" s="57"/>
      <c r="AC893" s="133"/>
    </row>
    <row r="894" spans="2:29" s="28" customFormat="1">
      <c r="B894" s="85"/>
      <c r="C894" s="53"/>
      <c r="D894" s="130"/>
      <c r="E894" s="54"/>
      <c r="F894" s="130"/>
      <c r="G894" s="130"/>
      <c r="H894" s="55"/>
      <c r="I894" s="135"/>
      <c r="J894" s="131"/>
      <c r="K894" s="56"/>
      <c r="L894" s="57"/>
      <c r="M894" s="130"/>
      <c r="N894" s="57"/>
      <c r="O894" s="54"/>
      <c r="P894" s="132" t="str">
        <f>IFERROR(VLOOKUP(C894,TD!$B$32:$F$36,2,0)," ")</f>
        <v xml:space="preserve"> </v>
      </c>
      <c r="Q894" s="132" t="str">
        <f>IFERROR(VLOOKUP(C894,TD!$B$32:$F$36,3,0)," ")</f>
        <v xml:space="preserve"> </v>
      </c>
      <c r="R894" s="132" t="str">
        <f>IFERROR(VLOOKUP(C894,TD!$B$32:$F$36,4,0)," ")</f>
        <v xml:space="preserve"> </v>
      </c>
      <c r="S894" s="54"/>
      <c r="T894" s="132" t="str">
        <f>IFERROR(VLOOKUP(S894,TD!$J$33:$K$43,2,0)," ")</f>
        <v xml:space="preserve"> </v>
      </c>
      <c r="U894" s="54" t="str">
        <f t="shared" si="52"/>
        <v xml:space="preserve">- </v>
      </c>
      <c r="V894" s="54"/>
      <c r="W894" s="132" t="str">
        <f>IFERROR(VLOOKUP(V894,TD!$N$33:$O$45,2,0)," ")</f>
        <v xml:space="preserve"> </v>
      </c>
      <c r="X894" s="54" t="str">
        <f t="shared" si="53"/>
        <v xml:space="preserve">_ </v>
      </c>
      <c r="Y894" s="54" t="str">
        <f t="shared" si="54"/>
        <v xml:space="preserve">-  _ </v>
      </c>
      <c r="Z894" s="132" t="str">
        <f t="shared" si="55"/>
        <v xml:space="preserve">   </v>
      </c>
      <c r="AA894" s="132" t="str">
        <f>IFERROR(VLOOKUP(Y894,TD!$K$46:$L$64,2,0)," ")</f>
        <v xml:space="preserve"> </v>
      </c>
      <c r="AB894" s="57"/>
      <c r="AC894" s="133"/>
    </row>
    <row r="895" spans="2:29" s="28" customFormat="1">
      <c r="B895" s="85"/>
      <c r="C895" s="53"/>
      <c r="D895" s="130"/>
      <c r="E895" s="54"/>
      <c r="F895" s="130"/>
      <c r="G895" s="130"/>
      <c r="H895" s="55"/>
      <c r="I895" s="135"/>
      <c r="J895" s="131"/>
      <c r="K895" s="56"/>
      <c r="L895" s="57"/>
      <c r="M895" s="130"/>
      <c r="N895" s="57"/>
      <c r="O895" s="54"/>
      <c r="P895" s="132" t="str">
        <f>IFERROR(VLOOKUP(C895,TD!$B$32:$F$36,2,0)," ")</f>
        <v xml:space="preserve"> </v>
      </c>
      <c r="Q895" s="132" t="str">
        <f>IFERROR(VLOOKUP(C895,TD!$B$32:$F$36,3,0)," ")</f>
        <v xml:space="preserve"> </v>
      </c>
      <c r="R895" s="132" t="str">
        <f>IFERROR(VLOOKUP(C895,TD!$B$32:$F$36,4,0)," ")</f>
        <v xml:space="preserve"> </v>
      </c>
      <c r="S895" s="54"/>
      <c r="T895" s="132" t="str">
        <f>IFERROR(VLOOKUP(S895,TD!$J$33:$K$43,2,0)," ")</f>
        <v xml:space="preserve"> </v>
      </c>
      <c r="U895" s="54" t="str">
        <f t="shared" si="52"/>
        <v xml:space="preserve">- </v>
      </c>
      <c r="V895" s="54"/>
      <c r="W895" s="132" t="str">
        <f>IFERROR(VLOOKUP(V895,TD!$N$33:$O$45,2,0)," ")</f>
        <v xml:space="preserve"> </v>
      </c>
      <c r="X895" s="54" t="str">
        <f t="shared" si="53"/>
        <v xml:space="preserve">_ </v>
      </c>
      <c r="Y895" s="54" t="str">
        <f t="shared" si="54"/>
        <v xml:space="preserve">-  _ </v>
      </c>
      <c r="Z895" s="132" t="str">
        <f t="shared" si="55"/>
        <v xml:space="preserve">   </v>
      </c>
      <c r="AA895" s="132" t="str">
        <f>IFERROR(VLOOKUP(Y895,TD!$K$46:$L$64,2,0)," ")</f>
        <v xml:space="preserve"> </v>
      </c>
      <c r="AB895" s="57"/>
      <c r="AC895" s="133"/>
    </row>
    <row r="896" spans="2:29" s="28" customFormat="1">
      <c r="B896" s="85"/>
      <c r="C896" s="53"/>
      <c r="D896" s="130"/>
      <c r="E896" s="54"/>
      <c r="F896" s="130"/>
      <c r="G896" s="130"/>
      <c r="H896" s="55"/>
      <c r="I896" s="135"/>
      <c r="J896" s="131"/>
      <c r="K896" s="56"/>
      <c r="L896" s="57"/>
      <c r="M896" s="130"/>
      <c r="N896" s="57"/>
      <c r="O896" s="54"/>
      <c r="P896" s="132" t="str">
        <f>IFERROR(VLOOKUP(C896,TD!$B$32:$F$36,2,0)," ")</f>
        <v xml:space="preserve"> </v>
      </c>
      <c r="Q896" s="132" t="str">
        <f>IFERROR(VLOOKUP(C896,TD!$B$32:$F$36,3,0)," ")</f>
        <v xml:space="preserve"> </v>
      </c>
      <c r="R896" s="132" t="str">
        <f>IFERROR(VLOOKUP(C896,TD!$B$32:$F$36,4,0)," ")</f>
        <v xml:space="preserve"> </v>
      </c>
      <c r="S896" s="54"/>
      <c r="T896" s="132" t="str">
        <f>IFERROR(VLOOKUP(S896,TD!$J$33:$K$43,2,0)," ")</f>
        <v xml:space="preserve"> </v>
      </c>
      <c r="U896" s="54" t="str">
        <f t="shared" si="52"/>
        <v xml:space="preserve">- </v>
      </c>
      <c r="V896" s="54"/>
      <c r="W896" s="132" t="str">
        <f>IFERROR(VLOOKUP(V896,TD!$N$33:$O$45,2,0)," ")</f>
        <v xml:space="preserve"> </v>
      </c>
      <c r="X896" s="54" t="str">
        <f t="shared" si="53"/>
        <v xml:space="preserve">_ </v>
      </c>
      <c r="Y896" s="54" t="str">
        <f t="shared" si="54"/>
        <v xml:space="preserve">-  _ </v>
      </c>
      <c r="Z896" s="132" t="str">
        <f t="shared" si="55"/>
        <v xml:space="preserve">   </v>
      </c>
      <c r="AA896" s="132" t="str">
        <f>IFERROR(VLOOKUP(Y896,TD!$K$46:$L$64,2,0)," ")</f>
        <v xml:space="preserve"> </v>
      </c>
      <c r="AB896" s="57"/>
      <c r="AC896" s="133"/>
    </row>
    <row r="897" spans="2:29" s="28" customFormat="1">
      <c r="B897" s="85"/>
      <c r="C897" s="53"/>
      <c r="D897" s="130"/>
      <c r="E897" s="54"/>
      <c r="F897" s="130"/>
      <c r="G897" s="130"/>
      <c r="H897" s="55"/>
      <c r="I897" s="135"/>
      <c r="J897" s="131"/>
      <c r="K897" s="56"/>
      <c r="L897" s="57"/>
      <c r="M897" s="130"/>
      <c r="N897" s="57"/>
      <c r="O897" s="54"/>
      <c r="P897" s="132" t="str">
        <f>IFERROR(VLOOKUP(C897,TD!$B$32:$F$36,2,0)," ")</f>
        <v xml:space="preserve"> </v>
      </c>
      <c r="Q897" s="132" t="str">
        <f>IFERROR(VLOOKUP(C897,TD!$B$32:$F$36,3,0)," ")</f>
        <v xml:space="preserve"> </v>
      </c>
      <c r="R897" s="132" t="str">
        <f>IFERROR(VLOOKUP(C897,TD!$B$32:$F$36,4,0)," ")</f>
        <v xml:space="preserve"> </v>
      </c>
      <c r="S897" s="54"/>
      <c r="T897" s="132" t="str">
        <f>IFERROR(VLOOKUP(S897,TD!$J$33:$K$43,2,0)," ")</f>
        <v xml:space="preserve"> </v>
      </c>
      <c r="U897" s="54" t="str">
        <f t="shared" si="52"/>
        <v xml:space="preserve">- </v>
      </c>
      <c r="V897" s="54"/>
      <c r="W897" s="132" t="str">
        <f>IFERROR(VLOOKUP(V897,TD!$N$33:$O$45,2,0)," ")</f>
        <v xml:space="preserve"> </v>
      </c>
      <c r="X897" s="54" t="str">
        <f t="shared" si="53"/>
        <v xml:space="preserve">_ </v>
      </c>
      <c r="Y897" s="54" t="str">
        <f t="shared" si="54"/>
        <v xml:space="preserve">-  _ </v>
      </c>
      <c r="Z897" s="132" t="str">
        <f t="shared" si="55"/>
        <v xml:space="preserve">   </v>
      </c>
      <c r="AA897" s="132" t="str">
        <f>IFERROR(VLOOKUP(Y897,TD!$K$46:$L$64,2,0)," ")</f>
        <v xml:space="preserve"> </v>
      </c>
      <c r="AB897" s="57"/>
      <c r="AC897" s="133"/>
    </row>
    <row r="898" spans="2:29" s="28" customFormat="1">
      <c r="B898" s="85"/>
      <c r="C898" s="53"/>
      <c r="D898" s="130"/>
      <c r="E898" s="54"/>
      <c r="F898" s="130"/>
      <c r="G898" s="130"/>
      <c r="H898" s="55"/>
      <c r="I898" s="135"/>
      <c r="J898" s="131"/>
      <c r="K898" s="56"/>
      <c r="L898" s="57"/>
      <c r="M898" s="130"/>
      <c r="N898" s="57"/>
      <c r="O898" s="54"/>
      <c r="P898" s="132" t="str">
        <f>IFERROR(VLOOKUP(C898,TD!$B$32:$F$36,2,0)," ")</f>
        <v xml:space="preserve"> </v>
      </c>
      <c r="Q898" s="132" t="str">
        <f>IFERROR(VLOOKUP(C898,TD!$B$32:$F$36,3,0)," ")</f>
        <v xml:space="preserve"> </v>
      </c>
      <c r="R898" s="132" t="str">
        <f>IFERROR(VLOOKUP(C898,TD!$B$32:$F$36,4,0)," ")</f>
        <v xml:space="preserve"> </v>
      </c>
      <c r="S898" s="54"/>
      <c r="T898" s="132" t="str">
        <f>IFERROR(VLOOKUP(S898,TD!$J$33:$K$43,2,0)," ")</f>
        <v xml:space="preserve"> </v>
      </c>
      <c r="U898" s="54" t="str">
        <f t="shared" si="52"/>
        <v xml:space="preserve">- </v>
      </c>
      <c r="V898" s="54"/>
      <c r="W898" s="132" t="str">
        <f>IFERROR(VLOOKUP(V898,TD!$N$33:$O$45,2,0)," ")</f>
        <v xml:space="preserve"> </v>
      </c>
      <c r="X898" s="54" t="str">
        <f t="shared" si="53"/>
        <v xml:space="preserve">_ </v>
      </c>
      <c r="Y898" s="54" t="str">
        <f t="shared" si="54"/>
        <v xml:space="preserve">-  _ </v>
      </c>
      <c r="Z898" s="132" t="str">
        <f t="shared" si="55"/>
        <v xml:space="preserve">   </v>
      </c>
      <c r="AA898" s="132" t="str">
        <f>IFERROR(VLOOKUP(Y898,TD!$K$46:$L$64,2,0)," ")</f>
        <v xml:space="preserve"> </v>
      </c>
      <c r="AB898" s="57"/>
      <c r="AC898" s="133"/>
    </row>
    <row r="899" spans="2:29" s="28" customFormat="1">
      <c r="B899" s="85"/>
      <c r="C899" s="53"/>
      <c r="D899" s="130"/>
      <c r="E899" s="54"/>
      <c r="F899" s="130"/>
      <c r="G899" s="130"/>
      <c r="H899" s="55"/>
      <c r="I899" s="135"/>
      <c r="J899" s="131"/>
      <c r="K899" s="56"/>
      <c r="L899" s="57"/>
      <c r="M899" s="130"/>
      <c r="N899" s="57"/>
      <c r="O899" s="54"/>
      <c r="P899" s="132" t="str">
        <f>IFERROR(VLOOKUP(C899,TD!$B$32:$F$36,2,0)," ")</f>
        <v xml:space="preserve"> </v>
      </c>
      <c r="Q899" s="132" t="str">
        <f>IFERROR(VLOOKUP(C899,TD!$B$32:$F$36,3,0)," ")</f>
        <v xml:space="preserve"> </v>
      </c>
      <c r="R899" s="132" t="str">
        <f>IFERROR(VLOOKUP(C899,TD!$B$32:$F$36,4,0)," ")</f>
        <v xml:space="preserve"> </v>
      </c>
      <c r="S899" s="54"/>
      <c r="T899" s="132" t="str">
        <f>IFERROR(VLOOKUP(S899,TD!$J$33:$K$43,2,0)," ")</f>
        <v xml:space="preserve"> </v>
      </c>
      <c r="U899" s="54" t="str">
        <f t="shared" si="52"/>
        <v xml:space="preserve">- </v>
      </c>
      <c r="V899" s="54"/>
      <c r="W899" s="132" t="str">
        <f>IFERROR(VLOOKUP(V899,TD!$N$33:$O$45,2,0)," ")</f>
        <v xml:space="preserve"> </v>
      </c>
      <c r="X899" s="54" t="str">
        <f t="shared" si="53"/>
        <v xml:space="preserve">_ </v>
      </c>
      <c r="Y899" s="54" t="str">
        <f t="shared" si="54"/>
        <v xml:space="preserve">-  _ </v>
      </c>
      <c r="Z899" s="132" t="str">
        <f t="shared" si="55"/>
        <v xml:space="preserve">   </v>
      </c>
      <c r="AA899" s="132" t="str">
        <f>IFERROR(VLOOKUP(Y899,TD!$K$46:$L$64,2,0)," ")</f>
        <v xml:space="preserve"> </v>
      </c>
      <c r="AB899" s="57"/>
      <c r="AC899" s="133"/>
    </row>
    <row r="900" spans="2:29" s="28" customFormat="1">
      <c r="B900" s="85"/>
      <c r="C900" s="53"/>
      <c r="D900" s="130"/>
      <c r="E900" s="54"/>
      <c r="F900" s="130"/>
      <c r="G900" s="130"/>
      <c r="H900" s="55"/>
      <c r="I900" s="135"/>
      <c r="J900" s="131"/>
      <c r="K900" s="56"/>
      <c r="L900" s="57"/>
      <c r="M900" s="130"/>
      <c r="N900" s="57"/>
      <c r="O900" s="54"/>
      <c r="P900" s="132" t="str">
        <f>IFERROR(VLOOKUP(C900,TD!$B$32:$F$36,2,0)," ")</f>
        <v xml:space="preserve"> </v>
      </c>
      <c r="Q900" s="132" t="str">
        <f>IFERROR(VLOOKUP(C900,TD!$B$32:$F$36,3,0)," ")</f>
        <v xml:space="preserve"> </v>
      </c>
      <c r="R900" s="132" t="str">
        <f>IFERROR(VLOOKUP(C900,TD!$B$32:$F$36,4,0)," ")</f>
        <v xml:space="preserve"> </v>
      </c>
      <c r="S900" s="54"/>
      <c r="T900" s="132" t="str">
        <f>IFERROR(VLOOKUP(S900,TD!$J$33:$K$43,2,0)," ")</f>
        <v xml:space="preserve"> </v>
      </c>
      <c r="U900" s="54" t="str">
        <f t="shared" si="52"/>
        <v xml:space="preserve">- </v>
      </c>
      <c r="V900" s="54"/>
      <c r="W900" s="132" t="str">
        <f>IFERROR(VLOOKUP(V900,TD!$N$33:$O$45,2,0)," ")</f>
        <v xml:space="preserve"> </v>
      </c>
      <c r="X900" s="54" t="str">
        <f t="shared" si="53"/>
        <v xml:space="preserve">_ </v>
      </c>
      <c r="Y900" s="54" t="str">
        <f t="shared" si="54"/>
        <v xml:space="preserve">-  _ </v>
      </c>
      <c r="Z900" s="132" t="str">
        <f t="shared" si="55"/>
        <v xml:space="preserve">   </v>
      </c>
      <c r="AA900" s="132" t="str">
        <f>IFERROR(VLOOKUP(Y900,TD!$K$46:$L$64,2,0)," ")</f>
        <v xml:space="preserve"> </v>
      </c>
      <c r="AB900" s="57"/>
      <c r="AC900" s="133"/>
    </row>
    <row r="901" spans="2:29" s="28" customFormat="1">
      <c r="B901" s="85"/>
      <c r="C901" s="53"/>
      <c r="D901" s="130"/>
      <c r="E901" s="54"/>
      <c r="F901" s="130"/>
      <c r="G901" s="130"/>
      <c r="H901" s="55"/>
      <c r="I901" s="135"/>
      <c r="J901" s="131"/>
      <c r="K901" s="56"/>
      <c r="L901" s="57"/>
      <c r="M901" s="130"/>
      <c r="N901" s="57"/>
      <c r="O901" s="54"/>
      <c r="P901" s="132" t="str">
        <f>IFERROR(VLOOKUP(C901,TD!$B$32:$F$36,2,0)," ")</f>
        <v xml:space="preserve"> </v>
      </c>
      <c r="Q901" s="132" t="str">
        <f>IFERROR(VLOOKUP(C901,TD!$B$32:$F$36,3,0)," ")</f>
        <v xml:space="preserve"> </v>
      </c>
      <c r="R901" s="132" t="str">
        <f>IFERROR(VLOOKUP(C901,TD!$B$32:$F$36,4,0)," ")</f>
        <v xml:space="preserve"> </v>
      </c>
      <c r="S901" s="54"/>
      <c r="T901" s="132" t="str">
        <f>IFERROR(VLOOKUP(S901,TD!$J$33:$K$43,2,0)," ")</f>
        <v xml:space="preserve"> </v>
      </c>
      <c r="U901" s="54" t="str">
        <f t="shared" si="52"/>
        <v xml:space="preserve">- </v>
      </c>
      <c r="V901" s="54"/>
      <c r="W901" s="132" t="str">
        <f>IFERROR(VLOOKUP(V901,TD!$N$33:$O$45,2,0)," ")</f>
        <v xml:space="preserve"> </v>
      </c>
      <c r="X901" s="54" t="str">
        <f t="shared" si="53"/>
        <v xml:space="preserve">_ </v>
      </c>
      <c r="Y901" s="54" t="str">
        <f t="shared" si="54"/>
        <v xml:space="preserve">-  _ </v>
      </c>
      <c r="Z901" s="132" t="str">
        <f t="shared" si="55"/>
        <v xml:space="preserve">   </v>
      </c>
      <c r="AA901" s="132" t="str">
        <f>IFERROR(VLOOKUP(Y901,TD!$K$46:$L$64,2,0)," ")</f>
        <v xml:space="preserve"> </v>
      </c>
      <c r="AB901" s="57"/>
      <c r="AC901" s="133"/>
    </row>
    <row r="902" spans="2:29" s="28" customFormat="1">
      <c r="B902" s="85"/>
      <c r="C902" s="53"/>
      <c r="D902" s="130"/>
      <c r="E902" s="54"/>
      <c r="F902" s="130"/>
      <c r="G902" s="130"/>
      <c r="H902" s="55"/>
      <c r="I902" s="135"/>
      <c r="J902" s="131"/>
      <c r="K902" s="56"/>
      <c r="L902" s="57"/>
      <c r="M902" s="130"/>
      <c r="N902" s="57"/>
      <c r="O902" s="54"/>
      <c r="P902" s="132" t="str">
        <f>IFERROR(VLOOKUP(C902,TD!$B$32:$F$36,2,0)," ")</f>
        <v xml:space="preserve"> </v>
      </c>
      <c r="Q902" s="132" t="str">
        <f>IFERROR(VLOOKUP(C902,TD!$B$32:$F$36,3,0)," ")</f>
        <v xml:space="preserve"> </v>
      </c>
      <c r="R902" s="132" t="str">
        <f>IFERROR(VLOOKUP(C902,TD!$B$32:$F$36,4,0)," ")</f>
        <v xml:space="preserve"> </v>
      </c>
      <c r="S902" s="54"/>
      <c r="T902" s="132" t="str">
        <f>IFERROR(VLOOKUP(S902,TD!$J$33:$K$43,2,0)," ")</f>
        <v xml:space="preserve"> </v>
      </c>
      <c r="U902" s="54" t="str">
        <f t="shared" si="52"/>
        <v xml:space="preserve">- </v>
      </c>
      <c r="V902" s="54"/>
      <c r="W902" s="132" t="str">
        <f>IFERROR(VLOOKUP(V902,TD!$N$33:$O$45,2,0)," ")</f>
        <v xml:space="preserve"> </v>
      </c>
      <c r="X902" s="54" t="str">
        <f t="shared" si="53"/>
        <v xml:space="preserve">_ </v>
      </c>
      <c r="Y902" s="54" t="str">
        <f t="shared" si="54"/>
        <v xml:space="preserve">-  _ </v>
      </c>
      <c r="Z902" s="132" t="str">
        <f t="shared" si="55"/>
        <v xml:space="preserve">   </v>
      </c>
      <c r="AA902" s="132" t="str">
        <f>IFERROR(VLOOKUP(Y902,TD!$K$46:$L$64,2,0)," ")</f>
        <v xml:space="preserve"> </v>
      </c>
      <c r="AB902" s="57"/>
      <c r="AC902" s="133"/>
    </row>
    <row r="903" spans="2:29" s="28" customFormat="1">
      <c r="B903" s="85"/>
      <c r="C903" s="53"/>
      <c r="D903" s="130"/>
      <c r="E903" s="54"/>
      <c r="F903" s="130"/>
      <c r="G903" s="130"/>
      <c r="H903" s="55"/>
      <c r="I903" s="135"/>
      <c r="J903" s="131"/>
      <c r="K903" s="56"/>
      <c r="L903" s="57"/>
      <c r="M903" s="130"/>
      <c r="N903" s="57"/>
      <c r="O903" s="54"/>
      <c r="P903" s="132" t="str">
        <f>IFERROR(VLOOKUP(C903,TD!$B$32:$F$36,2,0)," ")</f>
        <v xml:space="preserve"> </v>
      </c>
      <c r="Q903" s="132" t="str">
        <f>IFERROR(VLOOKUP(C903,TD!$B$32:$F$36,3,0)," ")</f>
        <v xml:space="preserve"> </v>
      </c>
      <c r="R903" s="132" t="str">
        <f>IFERROR(VLOOKUP(C903,TD!$B$32:$F$36,4,0)," ")</f>
        <v xml:space="preserve"> </v>
      </c>
      <c r="S903" s="54"/>
      <c r="T903" s="132" t="str">
        <f>IFERROR(VLOOKUP(S903,TD!$J$33:$K$43,2,0)," ")</f>
        <v xml:space="preserve"> </v>
      </c>
      <c r="U903" s="54" t="str">
        <f t="shared" si="52"/>
        <v xml:space="preserve">- </v>
      </c>
      <c r="V903" s="54"/>
      <c r="W903" s="132" t="str">
        <f>IFERROR(VLOOKUP(V903,TD!$N$33:$O$45,2,0)," ")</f>
        <v xml:space="preserve"> </v>
      </c>
      <c r="X903" s="54" t="str">
        <f t="shared" si="53"/>
        <v xml:space="preserve">_ </v>
      </c>
      <c r="Y903" s="54" t="str">
        <f t="shared" si="54"/>
        <v xml:space="preserve">-  _ </v>
      </c>
      <c r="Z903" s="132" t="str">
        <f t="shared" si="55"/>
        <v xml:space="preserve">   </v>
      </c>
      <c r="AA903" s="132" t="str">
        <f>IFERROR(VLOOKUP(Y903,TD!$K$46:$L$64,2,0)," ")</f>
        <v xml:space="preserve"> </v>
      </c>
      <c r="AB903" s="57"/>
      <c r="AC903" s="133"/>
    </row>
    <row r="904" spans="2:29" s="28" customFormat="1">
      <c r="B904" s="85"/>
      <c r="C904" s="53"/>
      <c r="D904" s="130"/>
      <c r="E904" s="54"/>
      <c r="F904" s="130"/>
      <c r="G904" s="130"/>
      <c r="H904" s="55"/>
      <c r="I904" s="135"/>
      <c r="J904" s="131"/>
      <c r="K904" s="56"/>
      <c r="L904" s="57"/>
      <c r="M904" s="130"/>
      <c r="N904" s="57"/>
      <c r="O904" s="54"/>
      <c r="P904" s="132" t="str">
        <f>IFERROR(VLOOKUP(C904,TD!$B$32:$F$36,2,0)," ")</f>
        <v xml:space="preserve"> </v>
      </c>
      <c r="Q904" s="132" t="str">
        <f>IFERROR(VLOOKUP(C904,TD!$B$32:$F$36,3,0)," ")</f>
        <v xml:space="preserve"> </v>
      </c>
      <c r="R904" s="132" t="str">
        <f>IFERROR(VLOOKUP(C904,TD!$B$32:$F$36,4,0)," ")</f>
        <v xml:space="preserve"> </v>
      </c>
      <c r="S904" s="54"/>
      <c r="T904" s="132" t="str">
        <f>IFERROR(VLOOKUP(S904,TD!$J$33:$K$43,2,0)," ")</f>
        <v xml:space="preserve"> </v>
      </c>
      <c r="U904" s="54" t="str">
        <f t="shared" si="52"/>
        <v xml:space="preserve">- </v>
      </c>
      <c r="V904" s="54"/>
      <c r="W904" s="132" t="str">
        <f>IFERROR(VLOOKUP(V904,TD!$N$33:$O$45,2,0)," ")</f>
        <v xml:space="preserve"> </v>
      </c>
      <c r="X904" s="54" t="str">
        <f t="shared" si="53"/>
        <v xml:space="preserve">_ </v>
      </c>
      <c r="Y904" s="54" t="str">
        <f t="shared" si="54"/>
        <v xml:space="preserve">-  _ </v>
      </c>
      <c r="Z904" s="132" t="str">
        <f t="shared" si="55"/>
        <v xml:space="preserve">   </v>
      </c>
      <c r="AA904" s="132" t="str">
        <f>IFERROR(VLOOKUP(Y904,TD!$K$46:$L$64,2,0)," ")</f>
        <v xml:space="preserve"> </v>
      </c>
      <c r="AB904" s="57"/>
      <c r="AC904" s="133"/>
    </row>
    <row r="905" spans="2:29" s="28" customFormat="1">
      <c r="B905" s="85"/>
      <c r="C905" s="53"/>
      <c r="D905" s="130"/>
      <c r="E905" s="54"/>
      <c r="F905" s="130"/>
      <c r="G905" s="130"/>
      <c r="H905" s="55"/>
      <c r="I905" s="135"/>
      <c r="J905" s="131"/>
      <c r="K905" s="56"/>
      <c r="L905" s="57"/>
      <c r="M905" s="130"/>
      <c r="N905" s="57"/>
      <c r="O905" s="54"/>
      <c r="P905" s="132" t="str">
        <f>IFERROR(VLOOKUP(C905,TD!$B$32:$F$36,2,0)," ")</f>
        <v xml:space="preserve"> </v>
      </c>
      <c r="Q905" s="132" t="str">
        <f>IFERROR(VLOOKUP(C905,TD!$B$32:$F$36,3,0)," ")</f>
        <v xml:space="preserve"> </v>
      </c>
      <c r="R905" s="132" t="str">
        <f>IFERROR(VLOOKUP(C905,TD!$B$32:$F$36,4,0)," ")</f>
        <v xml:space="preserve"> </v>
      </c>
      <c r="S905" s="54"/>
      <c r="T905" s="132" t="str">
        <f>IFERROR(VLOOKUP(S905,TD!$J$33:$K$43,2,0)," ")</f>
        <v xml:space="preserve"> </v>
      </c>
      <c r="U905" s="54" t="str">
        <f t="shared" si="52"/>
        <v xml:space="preserve">- </v>
      </c>
      <c r="V905" s="54"/>
      <c r="W905" s="132" t="str">
        <f>IFERROR(VLOOKUP(V905,TD!$N$33:$O$45,2,0)," ")</f>
        <v xml:space="preserve"> </v>
      </c>
      <c r="X905" s="54" t="str">
        <f t="shared" si="53"/>
        <v xml:space="preserve">_ </v>
      </c>
      <c r="Y905" s="54" t="str">
        <f t="shared" si="54"/>
        <v xml:space="preserve">-  _ </v>
      </c>
      <c r="Z905" s="132" t="str">
        <f t="shared" si="55"/>
        <v xml:space="preserve">   </v>
      </c>
      <c r="AA905" s="132" t="str">
        <f>IFERROR(VLOOKUP(Y905,TD!$K$46:$L$64,2,0)," ")</f>
        <v xml:space="preserve"> </v>
      </c>
      <c r="AB905" s="57"/>
      <c r="AC905" s="133"/>
    </row>
    <row r="906" spans="2:29" s="28" customFormat="1">
      <c r="B906" s="85"/>
      <c r="C906" s="53"/>
      <c r="D906" s="130"/>
      <c r="E906" s="54"/>
      <c r="F906" s="130"/>
      <c r="G906" s="130"/>
      <c r="H906" s="55"/>
      <c r="I906" s="135"/>
      <c r="J906" s="131"/>
      <c r="K906" s="56"/>
      <c r="L906" s="57"/>
      <c r="M906" s="130"/>
      <c r="N906" s="57"/>
      <c r="O906" s="54"/>
      <c r="P906" s="132" t="str">
        <f>IFERROR(VLOOKUP(C906,TD!$B$32:$F$36,2,0)," ")</f>
        <v xml:space="preserve"> </v>
      </c>
      <c r="Q906" s="132" t="str">
        <f>IFERROR(VLOOKUP(C906,TD!$B$32:$F$36,3,0)," ")</f>
        <v xml:space="preserve"> </v>
      </c>
      <c r="R906" s="132" t="str">
        <f>IFERROR(VLOOKUP(C906,TD!$B$32:$F$36,4,0)," ")</f>
        <v xml:space="preserve"> </v>
      </c>
      <c r="S906" s="54"/>
      <c r="T906" s="132" t="str">
        <f>IFERROR(VLOOKUP(S906,TD!$J$33:$K$43,2,0)," ")</f>
        <v xml:space="preserve"> </v>
      </c>
      <c r="U906" s="54" t="str">
        <f t="shared" si="52"/>
        <v xml:space="preserve">- </v>
      </c>
      <c r="V906" s="54"/>
      <c r="W906" s="132" t="str">
        <f>IFERROR(VLOOKUP(V906,TD!$N$33:$O$45,2,0)," ")</f>
        <v xml:space="preserve"> </v>
      </c>
      <c r="X906" s="54" t="str">
        <f t="shared" si="53"/>
        <v xml:space="preserve">_ </v>
      </c>
      <c r="Y906" s="54" t="str">
        <f t="shared" si="54"/>
        <v xml:space="preserve">-  _ </v>
      </c>
      <c r="Z906" s="132" t="str">
        <f t="shared" si="55"/>
        <v xml:space="preserve">   </v>
      </c>
      <c r="AA906" s="132" t="str">
        <f>IFERROR(VLOOKUP(Y906,TD!$K$46:$L$64,2,0)," ")</f>
        <v xml:space="preserve"> </v>
      </c>
      <c r="AB906" s="57"/>
      <c r="AC906" s="133"/>
    </row>
    <row r="907" spans="2:29" s="28" customFormat="1">
      <c r="B907" s="85"/>
      <c r="C907" s="53"/>
      <c r="D907" s="130"/>
      <c r="E907" s="54"/>
      <c r="F907" s="130"/>
      <c r="G907" s="130"/>
      <c r="H907" s="55"/>
      <c r="I907" s="135"/>
      <c r="J907" s="131"/>
      <c r="K907" s="56"/>
      <c r="L907" s="57"/>
      <c r="M907" s="130"/>
      <c r="N907" s="57"/>
      <c r="O907" s="54"/>
      <c r="P907" s="132" t="str">
        <f>IFERROR(VLOOKUP(C907,TD!$B$32:$F$36,2,0)," ")</f>
        <v xml:space="preserve"> </v>
      </c>
      <c r="Q907" s="132" t="str">
        <f>IFERROR(VLOOKUP(C907,TD!$B$32:$F$36,3,0)," ")</f>
        <v xml:space="preserve"> </v>
      </c>
      <c r="R907" s="132" t="str">
        <f>IFERROR(VLOOKUP(C907,TD!$B$32:$F$36,4,0)," ")</f>
        <v xml:space="preserve"> </v>
      </c>
      <c r="S907" s="54"/>
      <c r="T907" s="132" t="str">
        <f>IFERROR(VLOOKUP(S907,TD!$J$33:$K$43,2,0)," ")</f>
        <v xml:space="preserve"> </v>
      </c>
      <c r="U907" s="54" t="str">
        <f t="shared" ref="U907:U913" si="56">CONCATENATE(S907,"-",T907)</f>
        <v xml:space="preserve">- </v>
      </c>
      <c r="V907" s="54"/>
      <c r="W907" s="132" t="str">
        <f>IFERROR(VLOOKUP(V907,TD!$N$33:$O$45,2,0)," ")</f>
        <v xml:space="preserve"> </v>
      </c>
      <c r="X907" s="54" t="str">
        <f t="shared" ref="X907:X913" si="57">CONCATENATE(V907,"_",W907)</f>
        <v xml:space="preserve">_ </v>
      </c>
      <c r="Y907" s="54" t="str">
        <f t="shared" ref="Y907:Y913" si="58">CONCATENATE(U907," ",X907)</f>
        <v xml:space="preserve">-  _ </v>
      </c>
      <c r="Z907" s="132" t="str">
        <f t="shared" ref="Z907:Z913" si="59">CONCATENATE(P907,Q907,R907,S907,V907)</f>
        <v xml:space="preserve">   </v>
      </c>
      <c r="AA907" s="132" t="str">
        <f>IFERROR(VLOOKUP(Y907,TD!$K$46:$L$64,2,0)," ")</f>
        <v xml:space="preserve"> </v>
      </c>
      <c r="AB907" s="57"/>
      <c r="AC907" s="133"/>
    </row>
    <row r="908" spans="2:29" s="28" customFormat="1">
      <c r="B908" s="85"/>
      <c r="C908" s="53"/>
      <c r="D908" s="130"/>
      <c r="E908" s="54"/>
      <c r="F908" s="130"/>
      <c r="G908" s="130"/>
      <c r="H908" s="55"/>
      <c r="I908" s="135"/>
      <c r="J908" s="131"/>
      <c r="K908" s="56"/>
      <c r="L908" s="57"/>
      <c r="M908" s="130"/>
      <c r="N908" s="57"/>
      <c r="O908" s="54"/>
      <c r="P908" s="132" t="str">
        <f>IFERROR(VLOOKUP(C908,TD!$B$32:$F$36,2,0)," ")</f>
        <v xml:space="preserve"> </v>
      </c>
      <c r="Q908" s="132" t="str">
        <f>IFERROR(VLOOKUP(C908,TD!$B$32:$F$36,3,0)," ")</f>
        <v xml:space="preserve"> </v>
      </c>
      <c r="R908" s="132" t="str">
        <f>IFERROR(VLOOKUP(C908,TD!$B$32:$F$36,4,0)," ")</f>
        <v xml:space="preserve"> </v>
      </c>
      <c r="S908" s="54"/>
      <c r="T908" s="132" t="str">
        <f>IFERROR(VLOOKUP(S908,TD!$J$33:$K$43,2,0)," ")</f>
        <v xml:space="preserve"> </v>
      </c>
      <c r="U908" s="54" t="str">
        <f t="shared" si="56"/>
        <v xml:space="preserve">- </v>
      </c>
      <c r="V908" s="54"/>
      <c r="W908" s="132" t="str">
        <f>IFERROR(VLOOKUP(V908,TD!$N$33:$O$45,2,0)," ")</f>
        <v xml:space="preserve"> </v>
      </c>
      <c r="X908" s="54" t="str">
        <f t="shared" si="57"/>
        <v xml:space="preserve">_ </v>
      </c>
      <c r="Y908" s="54" t="str">
        <f t="shared" si="58"/>
        <v xml:space="preserve">-  _ </v>
      </c>
      <c r="Z908" s="132" t="str">
        <f t="shared" si="59"/>
        <v xml:space="preserve">   </v>
      </c>
      <c r="AA908" s="132" t="str">
        <f>IFERROR(VLOOKUP(Y908,TD!$K$46:$L$64,2,0)," ")</f>
        <v xml:space="preserve"> </v>
      </c>
      <c r="AB908" s="57"/>
      <c r="AC908" s="133"/>
    </row>
    <row r="909" spans="2:29" s="28" customFormat="1">
      <c r="B909" s="97"/>
      <c r="C909" s="98"/>
      <c r="D909" s="136"/>
      <c r="E909" s="137"/>
      <c r="F909" s="136"/>
      <c r="G909" s="136"/>
      <c r="H909" s="99"/>
      <c r="I909" s="138"/>
      <c r="J909" s="139"/>
      <c r="K909" s="100"/>
      <c r="L909" s="101"/>
      <c r="M909" s="136"/>
      <c r="N909" s="101"/>
      <c r="O909" s="137"/>
      <c r="P909" s="140" t="str">
        <f>IFERROR(VLOOKUP(C909,TD!$B$32:$F$36,2,0)," ")</f>
        <v xml:space="preserve"> </v>
      </c>
      <c r="Q909" s="140" t="str">
        <f>IFERROR(VLOOKUP(C909,TD!$B$32:$F$36,3,0)," ")</f>
        <v xml:space="preserve"> </v>
      </c>
      <c r="R909" s="140" t="str">
        <f>IFERROR(VLOOKUP(C909,TD!$B$32:$F$36,4,0)," ")</f>
        <v xml:space="preserve"> </v>
      </c>
      <c r="S909" s="137"/>
      <c r="T909" s="140"/>
      <c r="U909" s="137" t="str">
        <f t="shared" si="56"/>
        <v>-</v>
      </c>
      <c r="V909" s="137"/>
      <c r="W909" s="140"/>
      <c r="X909" s="137" t="str">
        <f t="shared" si="57"/>
        <v>_</v>
      </c>
      <c r="Y909" s="137" t="str">
        <f t="shared" si="58"/>
        <v>- _</v>
      </c>
      <c r="Z909" s="140" t="str">
        <f t="shared" si="59"/>
        <v xml:space="preserve">   </v>
      </c>
      <c r="AA909" s="140" t="str">
        <f>IFERROR(VLOOKUP(Y909,TD!$K$46:$L$64,2,0)," ")</f>
        <v xml:space="preserve"> </v>
      </c>
      <c r="AB909" s="101"/>
      <c r="AC909" s="141"/>
    </row>
    <row r="910" spans="2:29">
      <c r="B910" s="85"/>
      <c r="C910" s="53"/>
      <c r="D910" s="130"/>
      <c r="E910" s="54"/>
      <c r="F910" s="130"/>
      <c r="G910" s="130"/>
      <c r="H910" s="55"/>
      <c r="I910" s="135"/>
      <c r="J910" s="131"/>
      <c r="K910" s="56"/>
      <c r="L910" s="57"/>
      <c r="M910" s="130"/>
      <c r="N910" s="57"/>
      <c r="O910" s="54"/>
      <c r="P910" s="132" t="str">
        <f>IFERROR(VLOOKUP(C910,TD!$B$32:$F$36,2,0)," ")</f>
        <v xml:space="preserve"> </v>
      </c>
      <c r="Q910" s="132" t="str">
        <f>IFERROR(VLOOKUP(C910,TD!$B$32:$F$36,3,0)," ")</f>
        <v xml:space="preserve"> </v>
      </c>
      <c r="R910" s="132" t="str">
        <f>IFERROR(VLOOKUP(C910,TD!$B$32:$F$36,4,0)," ")</f>
        <v xml:space="preserve"> </v>
      </c>
      <c r="S910" s="54"/>
      <c r="T910" s="132"/>
      <c r="U910" s="54" t="str">
        <f t="shared" si="56"/>
        <v>-</v>
      </c>
      <c r="V910" s="54"/>
      <c r="W910" s="132"/>
      <c r="X910" s="54" t="str">
        <f t="shared" si="57"/>
        <v>_</v>
      </c>
      <c r="Y910" s="54" t="str">
        <f t="shared" si="58"/>
        <v>- _</v>
      </c>
      <c r="Z910" s="132" t="str">
        <f t="shared" si="59"/>
        <v xml:space="preserve">   </v>
      </c>
      <c r="AA910" s="132" t="str">
        <f>IFERROR(VLOOKUP(Y910,TD!$K$46:$L$64,2,0)," ")</f>
        <v xml:space="preserve"> </v>
      </c>
      <c r="AB910" s="57"/>
      <c r="AC910" s="133"/>
    </row>
    <row r="911" spans="2:29">
      <c r="B911" s="85"/>
      <c r="C911" s="53"/>
      <c r="D911" s="130"/>
      <c r="E911" s="54"/>
      <c r="F911" s="130"/>
      <c r="G911" s="130"/>
      <c r="H911" s="55"/>
      <c r="I911" s="135"/>
      <c r="J911" s="131"/>
      <c r="K911" s="56"/>
      <c r="L911" s="57"/>
      <c r="M911" s="130"/>
      <c r="N911" s="57"/>
      <c r="O911" s="54"/>
      <c r="P911" s="132" t="str">
        <f>IFERROR(VLOOKUP(C911,TD!$B$32:$F$36,2,0)," ")</f>
        <v xml:space="preserve"> </v>
      </c>
      <c r="Q911" s="132" t="str">
        <f>IFERROR(VLOOKUP(C911,TD!$B$32:$F$36,3,0)," ")</f>
        <v xml:space="preserve"> </v>
      </c>
      <c r="R911" s="132" t="str">
        <f>IFERROR(VLOOKUP(C911,TD!$B$32:$F$36,4,0)," ")</f>
        <v xml:space="preserve"> </v>
      </c>
      <c r="S911" s="54"/>
      <c r="T911" s="132"/>
      <c r="U911" s="54" t="str">
        <f t="shared" si="56"/>
        <v>-</v>
      </c>
      <c r="V911" s="54"/>
      <c r="W911" s="132"/>
      <c r="X911" s="54" t="str">
        <f t="shared" si="57"/>
        <v>_</v>
      </c>
      <c r="Y911" s="54" t="str">
        <f t="shared" si="58"/>
        <v>- _</v>
      </c>
      <c r="Z911" s="132" t="str">
        <f t="shared" si="59"/>
        <v xml:space="preserve">   </v>
      </c>
      <c r="AA911" s="132" t="str">
        <f>IFERROR(VLOOKUP(Y911,TD!$K$46:$L$64,2,0)," ")</f>
        <v xml:space="preserve"> </v>
      </c>
      <c r="AB911" s="57"/>
      <c r="AC911" s="133"/>
    </row>
    <row r="912" spans="2:29">
      <c r="B912" s="85"/>
      <c r="C912" s="53"/>
      <c r="D912" s="130"/>
      <c r="E912" s="54"/>
      <c r="F912" s="130"/>
      <c r="G912" s="130"/>
      <c r="H912" s="55"/>
      <c r="I912" s="135"/>
      <c r="J912" s="131"/>
      <c r="K912" s="56"/>
      <c r="L912" s="57"/>
      <c r="M912" s="130"/>
      <c r="N912" s="57"/>
      <c r="O912" s="54"/>
      <c r="P912" s="132" t="str">
        <f>IFERROR(VLOOKUP(C912,TD!$B$32:$F$36,2,0)," ")</f>
        <v xml:space="preserve"> </v>
      </c>
      <c r="Q912" s="132" t="str">
        <f>IFERROR(VLOOKUP(C912,TD!$B$32:$F$36,3,0)," ")</f>
        <v xml:space="preserve"> </v>
      </c>
      <c r="R912" s="132" t="str">
        <f>IFERROR(VLOOKUP(C912,TD!$B$32:$F$36,4,0)," ")</f>
        <v xml:space="preserve"> </v>
      </c>
      <c r="S912" s="54"/>
      <c r="T912" s="132"/>
      <c r="U912" s="54" t="str">
        <f t="shared" si="56"/>
        <v>-</v>
      </c>
      <c r="V912" s="54"/>
      <c r="W912" s="132"/>
      <c r="X912" s="54" t="str">
        <f t="shared" si="57"/>
        <v>_</v>
      </c>
      <c r="Y912" s="54" t="str">
        <f t="shared" si="58"/>
        <v>- _</v>
      </c>
      <c r="Z912" s="132" t="str">
        <f t="shared" si="59"/>
        <v xml:space="preserve">   </v>
      </c>
      <c r="AA912" s="132" t="str">
        <f>IFERROR(VLOOKUP(Y912,TD!$K$46:$L$64,2,0)," ")</f>
        <v xml:space="preserve"> </v>
      </c>
      <c r="AB912" s="57"/>
      <c r="AC912" s="133"/>
    </row>
    <row r="913" spans="2:29">
      <c r="B913" s="85"/>
      <c r="C913" s="53"/>
      <c r="D913" s="130"/>
      <c r="E913" s="54"/>
      <c r="F913" s="130"/>
      <c r="G913" s="130"/>
      <c r="H913" s="55"/>
      <c r="I913" s="135"/>
      <c r="J913" s="131"/>
      <c r="K913" s="56"/>
      <c r="L913" s="57"/>
      <c r="M913" s="130"/>
      <c r="N913" s="57"/>
      <c r="O913" s="54"/>
      <c r="P913" s="132" t="str">
        <f>IFERROR(VLOOKUP(C913,TD!$B$32:$F$36,2,0)," ")</f>
        <v xml:space="preserve"> </v>
      </c>
      <c r="Q913" s="132" t="str">
        <f>IFERROR(VLOOKUP(C913,TD!$B$32:$F$36,3,0)," ")</f>
        <v xml:space="preserve"> </v>
      </c>
      <c r="R913" s="132" t="str">
        <f>IFERROR(VLOOKUP(C913,TD!$B$32:$F$36,4,0)," ")</f>
        <v xml:space="preserve"> </v>
      </c>
      <c r="S913" s="54"/>
      <c r="T913" s="132"/>
      <c r="U913" s="54" t="str">
        <f t="shared" si="56"/>
        <v>-</v>
      </c>
      <c r="V913" s="54"/>
      <c r="W913" s="132"/>
      <c r="X913" s="54" t="str">
        <f t="shared" si="57"/>
        <v>_</v>
      </c>
      <c r="Y913" s="54" t="str">
        <f t="shared" si="58"/>
        <v>- _</v>
      </c>
      <c r="Z913" s="132" t="str">
        <f t="shared" si="59"/>
        <v xml:space="preserve">   </v>
      </c>
      <c r="AA913" s="132" t="str">
        <f>IFERROR(VLOOKUP(Y913,TD!$K$46:$L$64,2,0)," ")</f>
        <v xml:space="preserve"> </v>
      </c>
      <c r="AB913" s="57"/>
      <c r="AC913" s="133"/>
    </row>
  </sheetData>
  <mergeCells count="7">
    <mergeCell ref="L6:N6"/>
    <mergeCell ref="B2:C2"/>
    <mergeCell ref="E3:K3"/>
    <mergeCell ref="E4:K4"/>
    <mergeCell ref="E5:K5"/>
    <mergeCell ref="L4:N4"/>
    <mergeCell ref="L5:N5"/>
  </mergeCells>
  <conditionalFormatting sqref="E3:E5">
    <cfRule type="duplicateValues" dxfId="78" priority="149" stopIfTrue="1"/>
    <cfRule type="duplicateValues" dxfId="77" priority="150" stopIfTrue="1"/>
    <cfRule type="duplicateValues" dxfId="76" priority="151"/>
    <cfRule type="duplicateValues" dxfId="75" priority="152"/>
    <cfRule type="duplicateValues" dxfId="74" priority="153"/>
  </conditionalFormatting>
  <conditionalFormatting sqref="E3:E8 B5:B65472">
    <cfRule type="expression" dxfId="73" priority="3614" stopIfTrue="1">
      <formula>AND(COUNTIF($E$3:$E$8, B3)+COUNTIF(#REF!, B3)&gt;1,NOT(ISBLANK(B3)))</formula>
    </cfRule>
    <cfRule type="expression" dxfId="72" priority="3615" stopIfTrue="1">
      <formula>AND(COUNTIF($E$3:$E$8, B3)+COUNTIF(#REF!, B3)&gt;1,NOT(ISBLANK(B3)))</formula>
    </cfRule>
    <cfRule type="expression" dxfId="71" priority="3616" stopIfTrue="1">
      <formula>AND(COUNTIF($E$3:$E$8, B3)+COUNTIF(#REF!, B3)&gt;1,NOT(ISBLANK(B3)))</formula>
    </cfRule>
  </conditionalFormatting>
  <conditionalFormatting sqref="E3:E8">
    <cfRule type="expression" dxfId="70" priority="3626" stopIfTrue="1">
      <formula>AND(COUNTIF($E$3:$E$8, E3)+COUNTIF(#REF!, E3)&gt;1,NOT(ISBLANK(E3)))</formula>
    </cfRule>
    <cfRule type="expression" dxfId="69" priority="3627" stopIfTrue="1">
      <formula>AND(COUNTIF($E$3:$E$8, E3)+COUNTIF(#REF!, E3)&gt;1,NOT(ISBLANK(E3)))</formula>
    </cfRule>
    <cfRule type="expression" dxfId="68" priority="3628" stopIfTrue="1">
      <formula>AND(COUNTIF($E$3:$E$8, E3)+COUNTIF(#REF!, E3)&gt;1,NOT(ISBLANK(E3)))</formula>
    </cfRule>
  </conditionalFormatting>
  <conditionalFormatting sqref="B1:B1048576">
    <cfRule type="duplicateValues" dxfId="67" priority="5"/>
    <cfRule type="duplicateValues" dxfId="66" priority="3955"/>
    <cfRule type="duplicateValues" dxfId="65" priority="3956"/>
  </conditionalFormatting>
  <conditionalFormatting sqref="B10:B65472">
    <cfRule type="expression" dxfId="64" priority="7766" stopIfTrue="1">
      <formula>AND(COUNTIF(#REF!, B10)+COUNTIF($B$2:$B$10, B10)+COUNTIF($B$11:$B$913, B10)&gt;1,NOT(ISBLANK(B10)))</formula>
    </cfRule>
    <cfRule type="expression" dxfId="63" priority="7767" stopIfTrue="1">
      <formula>AND(COUNTIF($B$2:$B$10, B10)+COUNTIF($B$11:$B$913, B10)&gt;1,NOT(ISBLANK(B10)))</formula>
    </cfRule>
    <cfRule type="expression" dxfId="62" priority="7768" stopIfTrue="1">
      <formula>AND(COUNTIF(#REF!, B10)+COUNTIF($B$10:$B$10, B10)&gt;1,NOT(ISBLANK(B10)))</formula>
    </cfRule>
  </conditionalFormatting>
  <conditionalFormatting sqref="B11:B913">
    <cfRule type="duplicateValues" dxfId="61" priority="7772"/>
    <cfRule type="duplicateValues" dxfId="60" priority="7773"/>
    <cfRule type="duplicateValues" dxfId="59" priority="7774"/>
    <cfRule type="duplicateValues" dxfId="58" priority="7775"/>
  </conditionalFormatting>
  <conditionalFormatting sqref="B10:B65472">
    <cfRule type="duplicateValues" dxfId="57" priority="7780" stopIfTrue="1"/>
    <cfRule type="duplicateValues" dxfId="56" priority="7781" stopIfTrue="1"/>
    <cfRule type="duplicateValues" dxfId="55" priority="7782" stopIfTrue="1"/>
    <cfRule type="duplicateValues" dxfId="54" priority="7783" stopIfTrue="1"/>
    <cfRule type="duplicateValues" dxfId="53" priority="7784" stopIfTrue="1"/>
    <cfRule type="duplicateValues" dxfId="52" priority="7785"/>
    <cfRule type="duplicateValues" dxfId="51" priority="7786"/>
    <cfRule type="duplicateValues" dxfId="50" priority="7787" stopIfTrue="1"/>
    <cfRule type="duplicateValues" dxfId="49" priority="7788" stopIfTrue="1"/>
    <cfRule type="duplicateValues" dxfId="48" priority="7789" stopIfTrue="1"/>
    <cfRule type="duplicateValues" dxfId="47" priority="7790" stopIfTrue="1"/>
    <cfRule type="duplicateValues" dxfId="46" priority="7791" stopIfTrue="1"/>
    <cfRule type="duplicateValues" dxfId="45" priority="7792" stopIfTrue="1"/>
    <cfRule type="duplicateValues" dxfId="44" priority="7793" stopIfTrue="1"/>
    <cfRule type="duplicateValues" dxfId="43" priority="7794" stopIfTrue="1"/>
    <cfRule type="duplicateValues" dxfId="42" priority="7795" stopIfTrue="1"/>
    <cfRule type="duplicateValues" dxfId="41" priority="7796" stopIfTrue="1"/>
    <cfRule type="duplicateValues" dxfId="40" priority="7797"/>
    <cfRule type="duplicateValues" dxfId="39" priority="7798"/>
    <cfRule type="duplicateValues" dxfId="38" priority="7799"/>
    <cfRule type="duplicateValues" dxfId="37" priority="7800"/>
  </conditionalFormatting>
  <conditionalFormatting sqref="B5:B65472">
    <cfRule type="duplicateValues" dxfId="36" priority="7822"/>
    <cfRule type="duplicateValues" dxfId="35" priority="7823"/>
    <cfRule type="duplicateValues" dxfId="34" priority="7824"/>
    <cfRule type="duplicateValues" dxfId="33" priority="7825" stopIfTrue="1"/>
  </conditionalFormatting>
  <pageMargins left="0.7" right="0.7" top="0.75" bottom="0.75" header="0.3" footer="0.3"/>
  <pageSetup paperSize="9" scale="12" orientation="portrait" horizontalDpi="4294967294" verticalDpi="4294967294" r:id="rId1"/>
  <ignoredErrors>
    <ignoredError sqref="O4:O6" unlockedFormula="1"/>
  </ignoredErrors>
  <drawing r:id="rId2"/>
  <legacyDrawing r:id="rId3"/>
  <tableParts count="1">
    <tablePart r:id="rId4"/>
  </tableParts>
  <extLst>
    <ext xmlns:x14="http://schemas.microsoft.com/office/spreadsheetml/2009/9/main" uri="{CCE6A557-97BC-4b89-ADB6-D9C93CAAB3DF}">
      <x14:dataValidations xmlns:xm="http://schemas.microsoft.com/office/excel/2006/main" count="10">
        <x14:dataValidation type="list" allowBlank="1" showInputMessage="1" showErrorMessage="1">
          <x14:formula1>
            <xm:f>TD!$J$3:$J$23</xm:f>
          </x14:formula1>
          <xm:sqref>O511:O913 O11:O503</xm:sqref>
        </x14:dataValidation>
        <x14:dataValidation type="list" allowBlank="1" showInputMessage="1" showErrorMessage="1">
          <x14:formula1>
            <xm:f>TD!$F$2:$F$23</xm:f>
          </x14:formula1>
          <xm:sqref>AB11:AB503 AB510:AB913</xm:sqref>
        </x14:dataValidation>
        <x14:dataValidation type="list" allowBlank="1" showInputMessage="1" showErrorMessage="1">
          <x14:formula1>
            <xm:f>TD!$D$2:$D$29</xm:f>
          </x14:formula1>
          <xm:sqref>G11:G913</xm:sqref>
        </x14:dataValidation>
        <x14:dataValidation type="list" allowBlank="1" showInputMessage="1" showErrorMessage="1">
          <x14:formula1>
            <xm:f>TD!$J$33:$J$43</xm:f>
          </x14:formula1>
          <xm:sqref>S11:S913</xm:sqref>
        </x14:dataValidation>
        <x14:dataValidation type="list" allowBlank="1" showInputMessage="1" showErrorMessage="1">
          <x14:formula1>
            <xm:f>TD!$X$33:$X$34</xm:f>
          </x14:formula1>
          <xm:sqref>AC11:AC913</xm:sqref>
        </x14:dataValidation>
        <x14:dataValidation type="list" allowBlank="1" showInputMessage="1" showErrorMessage="1">
          <x14:formula1>
            <xm:f>TD!$B$2:$B$11</xm:f>
          </x14:formula1>
          <xm:sqref>N11:N913</xm:sqref>
        </x14:dataValidation>
        <x14:dataValidation type="list" allowBlank="1" showInputMessage="1" showErrorMessage="1">
          <x14:formula1>
            <xm:f>TD!$L$2:$L$5</xm:f>
          </x14:formula1>
          <xm:sqref>C11:C1048576</xm:sqref>
        </x14:dataValidation>
        <x14:dataValidation type="list" allowBlank="1" showInputMessage="1" showErrorMessage="1">
          <x14:formula1>
            <xm:f>TD!$Q$2:$Q$4</xm:f>
          </x14:formula1>
          <xm:sqref>M11:M1048576</xm:sqref>
        </x14:dataValidation>
        <x14:dataValidation type="list" allowBlank="1" showInputMessage="1" showErrorMessage="1">
          <x14:formula1>
            <xm:f>TD!$O$2:$O$15</xm:f>
          </x14:formula1>
          <xm:sqref>D11:D1048576</xm:sqref>
        </x14:dataValidation>
        <x14:dataValidation type="list" allowBlank="1" showInputMessage="1" showErrorMessage="1">
          <x14:formula1>
            <xm:f>TD!$N$33:$N$45</xm:f>
          </x14:formula1>
          <xm:sqref>V11:V913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M39"/>
  <sheetViews>
    <sheetView topLeftCell="B1" zoomScale="70" zoomScaleNormal="70" workbookViewId="0">
      <selection activeCell="J15" sqref="J15"/>
    </sheetView>
  </sheetViews>
  <sheetFormatPr baseColWidth="10" defaultColWidth="17.140625" defaultRowHeight="14.25"/>
  <cols>
    <col min="1" max="1" width="5.5703125" style="103" customWidth="1"/>
    <col min="2" max="3" width="17.140625" style="103"/>
    <col min="4" max="4" width="20.42578125" style="103" customWidth="1"/>
    <col min="5" max="5" width="29.5703125" style="103" customWidth="1"/>
    <col min="6" max="6" width="20.5703125" style="104" customWidth="1"/>
    <col min="7" max="7" width="6.42578125" style="103" customWidth="1"/>
    <col min="8" max="8" width="24.5703125" style="103" customWidth="1"/>
    <col min="9" max="9" width="24.42578125" style="103" customWidth="1"/>
    <col min="10" max="10" width="19.140625" style="103" customWidth="1"/>
    <col min="11" max="11" width="28.85546875" style="104" bestFit="1" customWidth="1"/>
    <col min="12" max="12" width="21.5703125" style="103" customWidth="1"/>
    <col min="13" max="16384" width="17.140625" style="103"/>
  </cols>
  <sheetData>
    <row r="2" spans="2:13" ht="15">
      <c r="B2" s="102" t="s">
        <v>642</v>
      </c>
      <c r="C2" s="102"/>
      <c r="H2" s="102" t="s">
        <v>661</v>
      </c>
    </row>
    <row r="3" spans="2:13" ht="15">
      <c r="B3" s="102" t="s">
        <v>643</v>
      </c>
      <c r="H3" s="102" t="s">
        <v>643</v>
      </c>
    </row>
    <row r="4" spans="2:13" ht="15">
      <c r="B4" s="102" t="s">
        <v>209</v>
      </c>
      <c r="C4" s="102"/>
      <c r="H4" s="102" t="s">
        <v>209</v>
      </c>
      <c r="I4" s="102"/>
    </row>
    <row r="5" spans="2:13" s="25" customFormat="1" ht="30">
      <c r="B5" s="62" t="s">
        <v>53</v>
      </c>
      <c r="C5" s="62" t="s">
        <v>1</v>
      </c>
      <c r="D5" s="71" t="s">
        <v>3</v>
      </c>
      <c r="E5" s="62" t="s">
        <v>232</v>
      </c>
      <c r="F5" s="111" t="s">
        <v>641</v>
      </c>
      <c r="G5" s="24"/>
      <c r="H5" s="62" t="s">
        <v>53</v>
      </c>
      <c r="I5" s="62" t="s">
        <v>1</v>
      </c>
      <c r="J5" s="71" t="s">
        <v>3</v>
      </c>
      <c r="K5" s="62" t="s">
        <v>232</v>
      </c>
      <c r="L5" s="111" t="s">
        <v>641</v>
      </c>
      <c r="M5" s="111" t="s">
        <v>644</v>
      </c>
    </row>
    <row r="6" spans="2:13">
      <c r="B6" s="106" t="s">
        <v>209</v>
      </c>
      <c r="C6" s="106" t="s">
        <v>46</v>
      </c>
      <c r="D6" s="106" t="s">
        <v>220</v>
      </c>
      <c r="E6" s="106" t="s">
        <v>267</v>
      </c>
      <c r="F6" s="107">
        <v>260870960</v>
      </c>
      <c r="H6" s="106" t="s">
        <v>209</v>
      </c>
      <c r="I6" s="106" t="s">
        <v>46</v>
      </c>
      <c r="J6" s="106" t="s">
        <v>220</v>
      </c>
      <c r="K6" s="106" t="s">
        <v>267</v>
      </c>
      <c r="L6" s="107">
        <v>260870960</v>
      </c>
      <c r="M6" s="109">
        <f t="shared" ref="M6:M19" si="0">+F6-L6</f>
        <v>0</v>
      </c>
    </row>
    <row r="7" spans="2:13">
      <c r="B7" s="106" t="s">
        <v>209</v>
      </c>
      <c r="C7" s="106" t="s">
        <v>162</v>
      </c>
      <c r="D7" s="106" t="s">
        <v>221</v>
      </c>
      <c r="E7" s="106" t="s">
        <v>274</v>
      </c>
      <c r="F7" s="107">
        <v>260870960</v>
      </c>
      <c r="H7" s="106" t="s">
        <v>209</v>
      </c>
      <c r="I7" s="106" t="s">
        <v>162</v>
      </c>
      <c r="J7" s="106" t="s">
        <v>221</v>
      </c>
      <c r="K7" s="106" t="s">
        <v>274</v>
      </c>
      <c r="L7" s="107">
        <v>260870960</v>
      </c>
      <c r="M7" s="109">
        <f t="shared" si="0"/>
        <v>0</v>
      </c>
    </row>
    <row r="8" spans="2:13">
      <c r="B8" s="106" t="s">
        <v>209</v>
      </c>
      <c r="C8" s="106" t="s">
        <v>163</v>
      </c>
      <c r="D8" s="106" t="s">
        <v>215</v>
      </c>
      <c r="E8" s="106" t="s">
        <v>270</v>
      </c>
      <c r="F8" s="107">
        <v>481960117</v>
      </c>
      <c r="H8" s="106" t="s">
        <v>209</v>
      </c>
      <c r="I8" s="106" t="s">
        <v>163</v>
      </c>
      <c r="J8" s="106" t="s">
        <v>215</v>
      </c>
      <c r="K8" s="106" t="s">
        <v>270</v>
      </c>
      <c r="L8" s="107">
        <v>481960117</v>
      </c>
      <c r="M8" s="109">
        <f t="shared" si="0"/>
        <v>0</v>
      </c>
    </row>
    <row r="9" spans="2:13">
      <c r="B9" s="106" t="s">
        <v>209</v>
      </c>
      <c r="C9" s="106" t="s">
        <v>163</v>
      </c>
      <c r="D9" s="106" t="s">
        <v>216</v>
      </c>
      <c r="E9" s="106" t="s">
        <v>270</v>
      </c>
      <c r="F9" s="107">
        <v>926338572</v>
      </c>
      <c r="H9" s="106" t="s">
        <v>209</v>
      </c>
      <c r="I9" s="106" t="s">
        <v>163</v>
      </c>
      <c r="J9" s="106" t="s">
        <v>216</v>
      </c>
      <c r="K9" s="106" t="s">
        <v>270</v>
      </c>
      <c r="L9" s="107">
        <v>926338572</v>
      </c>
      <c r="M9" s="109">
        <f t="shared" si="0"/>
        <v>0</v>
      </c>
    </row>
    <row r="10" spans="2:13">
      <c r="B10" s="106" t="s">
        <v>209</v>
      </c>
      <c r="C10" s="106" t="s">
        <v>163</v>
      </c>
      <c r="D10" s="106" t="s">
        <v>217</v>
      </c>
      <c r="E10" s="106" t="s">
        <v>270</v>
      </c>
      <c r="F10" s="107">
        <v>475003732</v>
      </c>
      <c r="H10" s="106" t="s">
        <v>209</v>
      </c>
      <c r="I10" s="106" t="s">
        <v>163</v>
      </c>
      <c r="J10" s="106" t="s">
        <v>217</v>
      </c>
      <c r="K10" s="106" t="s">
        <v>270</v>
      </c>
      <c r="L10" s="107">
        <v>475003732</v>
      </c>
      <c r="M10" s="109">
        <f t="shared" si="0"/>
        <v>0</v>
      </c>
    </row>
    <row r="11" spans="2:13">
      <c r="B11" s="106" t="s">
        <v>209</v>
      </c>
      <c r="C11" s="106" t="s">
        <v>163</v>
      </c>
      <c r="D11" s="106" t="s">
        <v>218</v>
      </c>
      <c r="E11" s="106" t="s">
        <v>270</v>
      </c>
      <c r="F11" s="107">
        <v>175876971</v>
      </c>
      <c r="H11" s="106" t="s">
        <v>209</v>
      </c>
      <c r="I11" s="106" t="s">
        <v>163</v>
      </c>
      <c r="J11" s="106" t="s">
        <v>218</v>
      </c>
      <c r="K11" s="106" t="s">
        <v>270</v>
      </c>
      <c r="L11" s="107">
        <v>175876971</v>
      </c>
      <c r="M11" s="109">
        <f t="shared" si="0"/>
        <v>0</v>
      </c>
    </row>
    <row r="12" spans="2:13">
      <c r="B12" s="106" t="s">
        <v>209</v>
      </c>
      <c r="C12" s="106" t="s">
        <v>37</v>
      </c>
      <c r="D12" s="106" t="s">
        <v>212</v>
      </c>
      <c r="E12" s="106" t="s">
        <v>272</v>
      </c>
      <c r="F12" s="107">
        <v>336851064</v>
      </c>
      <c r="H12" s="106" t="s">
        <v>209</v>
      </c>
      <c r="I12" s="106" t="s">
        <v>37</v>
      </c>
      <c r="J12" s="106" t="s">
        <v>212</v>
      </c>
      <c r="K12" s="106" t="s">
        <v>272</v>
      </c>
      <c r="L12" s="107">
        <v>336851064</v>
      </c>
      <c r="M12" s="109">
        <f t="shared" si="0"/>
        <v>0</v>
      </c>
    </row>
    <row r="13" spans="2:13">
      <c r="B13" s="106" t="s">
        <v>209</v>
      </c>
      <c r="C13" s="106" t="s">
        <v>37</v>
      </c>
      <c r="D13" s="106" t="s">
        <v>213</v>
      </c>
      <c r="E13" s="106" t="s">
        <v>273</v>
      </c>
      <c r="F13" s="107">
        <v>168425532</v>
      </c>
      <c r="H13" s="106" t="s">
        <v>209</v>
      </c>
      <c r="I13" s="106" t="s">
        <v>37</v>
      </c>
      <c r="J13" s="106" t="s">
        <v>213</v>
      </c>
      <c r="K13" s="106" t="s">
        <v>273</v>
      </c>
      <c r="L13" s="107">
        <v>168425532</v>
      </c>
      <c r="M13" s="109">
        <f t="shared" si="0"/>
        <v>0</v>
      </c>
    </row>
    <row r="14" spans="2:13">
      <c r="B14" s="106" t="s">
        <v>209</v>
      </c>
      <c r="C14" s="106" t="s">
        <v>37</v>
      </c>
      <c r="D14" s="106" t="s">
        <v>214</v>
      </c>
      <c r="E14" s="106" t="s">
        <v>273</v>
      </c>
      <c r="F14" s="107">
        <v>56141844</v>
      </c>
      <c r="H14" s="106" t="s">
        <v>209</v>
      </c>
      <c r="I14" s="106" t="s">
        <v>37</v>
      </c>
      <c r="J14" s="106" t="s">
        <v>214</v>
      </c>
      <c r="K14" s="106" t="s">
        <v>273</v>
      </c>
      <c r="L14" s="107">
        <v>56141844</v>
      </c>
      <c r="M14" s="109">
        <f t="shared" si="0"/>
        <v>0</v>
      </c>
    </row>
    <row r="15" spans="2:13">
      <c r="B15" s="106" t="s">
        <v>209</v>
      </c>
      <c r="C15" s="106" t="s">
        <v>47</v>
      </c>
      <c r="D15" s="106" t="s">
        <v>220</v>
      </c>
      <c r="E15" s="106" t="s">
        <v>267</v>
      </c>
      <c r="F15" s="107">
        <v>206558000</v>
      </c>
      <c r="H15" s="106" t="s">
        <v>209</v>
      </c>
      <c r="I15" s="106" t="s">
        <v>47</v>
      </c>
      <c r="J15" s="106" t="s">
        <v>220</v>
      </c>
      <c r="K15" s="106" t="s">
        <v>267</v>
      </c>
      <c r="L15" s="107">
        <v>206558000</v>
      </c>
      <c r="M15" s="109">
        <f t="shared" si="0"/>
        <v>0</v>
      </c>
    </row>
    <row r="16" spans="2:13">
      <c r="B16" s="106" t="s">
        <v>209</v>
      </c>
      <c r="C16" s="106" t="s">
        <v>164</v>
      </c>
      <c r="D16" s="106" t="s">
        <v>220</v>
      </c>
      <c r="E16" s="106" t="s">
        <v>267</v>
      </c>
      <c r="F16" s="107">
        <v>171068294</v>
      </c>
      <c r="H16" s="106" t="s">
        <v>209</v>
      </c>
      <c r="I16" s="106" t="s">
        <v>164</v>
      </c>
      <c r="J16" s="106" t="s">
        <v>220</v>
      </c>
      <c r="K16" s="106" t="s">
        <v>267</v>
      </c>
      <c r="L16" s="107">
        <v>171068294</v>
      </c>
      <c r="M16" s="109">
        <f t="shared" si="0"/>
        <v>0</v>
      </c>
    </row>
    <row r="17" spans="2:13">
      <c r="B17" s="106" t="s">
        <v>209</v>
      </c>
      <c r="C17" s="106" t="s">
        <v>165</v>
      </c>
      <c r="D17" s="106" t="s">
        <v>220</v>
      </c>
      <c r="E17" s="106" t="s">
        <v>267</v>
      </c>
      <c r="F17" s="107">
        <v>229431788</v>
      </c>
      <c r="H17" s="106" t="s">
        <v>209</v>
      </c>
      <c r="I17" s="106" t="s">
        <v>165</v>
      </c>
      <c r="J17" s="106" t="s">
        <v>220</v>
      </c>
      <c r="K17" s="106" t="s">
        <v>267</v>
      </c>
      <c r="L17" s="107">
        <v>229431788</v>
      </c>
      <c r="M17" s="109">
        <f t="shared" si="0"/>
        <v>0</v>
      </c>
    </row>
    <row r="18" spans="2:13">
      <c r="B18" s="106" t="s">
        <v>209</v>
      </c>
      <c r="C18" s="106" t="s">
        <v>167</v>
      </c>
      <c r="D18" s="106" t="s">
        <v>219</v>
      </c>
      <c r="E18" s="106" t="s">
        <v>267</v>
      </c>
      <c r="F18" s="107">
        <v>1239712750</v>
      </c>
      <c r="H18" s="106" t="s">
        <v>209</v>
      </c>
      <c r="I18" s="106" t="s">
        <v>167</v>
      </c>
      <c r="J18" s="106" t="s">
        <v>219</v>
      </c>
      <c r="K18" s="106" t="s">
        <v>267</v>
      </c>
      <c r="L18" s="107">
        <v>1239712750</v>
      </c>
      <c r="M18" s="109">
        <f t="shared" si="0"/>
        <v>0</v>
      </c>
    </row>
    <row r="19" spans="2:13">
      <c r="B19" s="106" t="s">
        <v>209</v>
      </c>
      <c r="C19" s="106" t="s">
        <v>167</v>
      </c>
      <c r="D19" s="106" t="s">
        <v>220</v>
      </c>
      <c r="E19" s="106" t="s">
        <v>267</v>
      </c>
      <c r="F19" s="107">
        <v>248759474</v>
      </c>
      <c r="H19" s="106" t="s">
        <v>209</v>
      </c>
      <c r="I19" s="106" t="s">
        <v>167</v>
      </c>
      <c r="J19" s="106" t="s">
        <v>220</v>
      </c>
      <c r="K19" s="106" t="s">
        <v>267</v>
      </c>
      <c r="L19" s="107">
        <v>248759474</v>
      </c>
      <c r="M19" s="109">
        <f t="shared" si="0"/>
        <v>0</v>
      </c>
    </row>
    <row r="20" spans="2:13" ht="15">
      <c r="B20" s="102" t="s">
        <v>28</v>
      </c>
      <c r="C20" s="102"/>
      <c r="D20" s="102"/>
      <c r="E20" s="102"/>
      <c r="F20" s="108">
        <f>SUM(F6:F19)</f>
        <v>5237870058</v>
      </c>
      <c r="H20" s="102" t="s">
        <v>28</v>
      </c>
      <c r="K20" s="103"/>
      <c r="L20" s="110">
        <f>SUM(L6:L19)</f>
        <v>5237870058</v>
      </c>
      <c r="M20" s="104">
        <f>SUM(M6:M19)</f>
        <v>0</v>
      </c>
    </row>
    <row r="21" spans="2:13">
      <c r="K21" s="103"/>
      <c r="L21" s="104"/>
    </row>
    <row r="22" spans="2:13" ht="15">
      <c r="B22" s="102" t="s">
        <v>642</v>
      </c>
      <c r="H22" s="102" t="s">
        <v>661</v>
      </c>
      <c r="K22" s="103"/>
      <c r="L22" s="104"/>
    </row>
    <row r="23" spans="2:13" ht="15">
      <c r="B23" s="102" t="s">
        <v>643</v>
      </c>
      <c r="H23" s="102" t="s">
        <v>643</v>
      </c>
      <c r="K23" s="103"/>
      <c r="L23" s="104"/>
    </row>
    <row r="24" spans="2:13" ht="15">
      <c r="B24" s="102" t="s">
        <v>210</v>
      </c>
      <c r="H24" s="102" t="s">
        <v>210</v>
      </c>
      <c r="K24" s="103"/>
      <c r="L24" s="104"/>
    </row>
    <row r="25" spans="2:13" s="25" customFormat="1" ht="30">
      <c r="B25" s="62" t="s">
        <v>53</v>
      </c>
      <c r="C25" s="62" t="s">
        <v>1</v>
      </c>
      <c r="D25" s="71" t="s">
        <v>3</v>
      </c>
      <c r="E25" s="62" t="s">
        <v>232</v>
      </c>
      <c r="F25" s="111" t="s">
        <v>641</v>
      </c>
      <c r="H25" s="62" t="s">
        <v>53</v>
      </c>
      <c r="I25" s="62" t="s">
        <v>1</v>
      </c>
      <c r="J25" s="62" t="s">
        <v>3</v>
      </c>
      <c r="K25" s="62" t="s">
        <v>232</v>
      </c>
      <c r="L25" s="111" t="s">
        <v>641</v>
      </c>
      <c r="M25" s="111" t="s">
        <v>644</v>
      </c>
    </row>
    <row r="26" spans="2:13">
      <c r="B26" s="106" t="s">
        <v>210</v>
      </c>
      <c r="C26" s="106" t="s">
        <v>167</v>
      </c>
      <c r="D26" s="106" t="s">
        <v>231</v>
      </c>
      <c r="E26" s="106" t="s">
        <v>275</v>
      </c>
      <c r="F26" s="107">
        <v>99912253</v>
      </c>
      <c r="H26" s="106" t="s">
        <v>210</v>
      </c>
      <c r="I26" s="106" t="s">
        <v>167</v>
      </c>
      <c r="J26" s="106" t="s">
        <v>231</v>
      </c>
      <c r="K26" s="106" t="s">
        <v>275</v>
      </c>
      <c r="L26" s="107">
        <v>99912253</v>
      </c>
      <c r="M26" s="109">
        <f t="shared" ref="M26:M37" si="1">+F26-L26</f>
        <v>0</v>
      </c>
    </row>
    <row r="27" spans="2:13">
      <c r="B27" s="106" t="s">
        <v>210</v>
      </c>
      <c r="C27" s="106" t="s">
        <v>167</v>
      </c>
      <c r="D27" s="106" t="s">
        <v>228</v>
      </c>
      <c r="E27" s="106" t="s">
        <v>265</v>
      </c>
      <c r="F27" s="107">
        <v>899210268</v>
      </c>
      <c r="H27" s="106" t="s">
        <v>210</v>
      </c>
      <c r="I27" s="106" t="s">
        <v>167</v>
      </c>
      <c r="J27" s="106" t="s">
        <v>228</v>
      </c>
      <c r="K27" s="106" t="s">
        <v>265</v>
      </c>
      <c r="L27" s="107">
        <v>899210268</v>
      </c>
      <c r="M27" s="109">
        <f t="shared" si="1"/>
        <v>0</v>
      </c>
    </row>
    <row r="28" spans="2:13">
      <c r="B28" s="106" t="s">
        <v>210</v>
      </c>
      <c r="C28" s="106" t="s">
        <v>166</v>
      </c>
      <c r="D28" s="106" t="s">
        <v>230</v>
      </c>
      <c r="E28" s="106" t="s">
        <v>264</v>
      </c>
      <c r="F28" s="107">
        <v>2793994517</v>
      </c>
      <c r="H28" s="106" t="s">
        <v>210</v>
      </c>
      <c r="I28" s="106" t="s">
        <v>166</v>
      </c>
      <c r="J28" s="106" t="s">
        <v>230</v>
      </c>
      <c r="K28" s="106" t="s">
        <v>264</v>
      </c>
      <c r="L28" s="107">
        <v>2793994517</v>
      </c>
      <c r="M28" s="109">
        <f t="shared" si="1"/>
        <v>0</v>
      </c>
    </row>
    <row r="29" spans="2:13">
      <c r="B29" s="106" t="s">
        <v>210</v>
      </c>
      <c r="C29" s="106" t="s">
        <v>168</v>
      </c>
      <c r="D29" s="106" t="s">
        <v>222</v>
      </c>
      <c r="E29" s="106" t="s">
        <v>260</v>
      </c>
      <c r="F29" s="116">
        <v>162500000</v>
      </c>
      <c r="H29" s="106" t="s">
        <v>210</v>
      </c>
      <c r="I29" s="106" t="s">
        <v>168</v>
      </c>
      <c r="J29" s="106" t="s">
        <v>222</v>
      </c>
      <c r="K29" s="106" t="s">
        <v>260</v>
      </c>
      <c r="L29" s="116">
        <v>162500000</v>
      </c>
      <c r="M29" s="109">
        <f t="shared" si="1"/>
        <v>0</v>
      </c>
    </row>
    <row r="30" spans="2:13">
      <c r="B30" s="106" t="s">
        <v>210</v>
      </c>
      <c r="C30" s="106" t="s">
        <v>168</v>
      </c>
      <c r="D30" s="106" t="s">
        <v>222</v>
      </c>
      <c r="E30" s="106" t="s">
        <v>261</v>
      </c>
      <c r="F30" s="116">
        <v>698601047</v>
      </c>
      <c r="H30" s="106" t="s">
        <v>210</v>
      </c>
      <c r="I30" s="106" t="s">
        <v>168</v>
      </c>
      <c r="J30" s="106" t="s">
        <v>222</v>
      </c>
      <c r="K30" s="106" t="s">
        <v>261</v>
      </c>
      <c r="L30" s="116">
        <v>698601047</v>
      </c>
      <c r="M30" s="109">
        <f t="shared" si="1"/>
        <v>0</v>
      </c>
    </row>
    <row r="31" spans="2:13">
      <c r="B31" s="106" t="s">
        <v>210</v>
      </c>
      <c r="C31" s="106" t="s">
        <v>168</v>
      </c>
      <c r="D31" s="106" t="s">
        <v>222</v>
      </c>
      <c r="E31" s="106" t="s">
        <v>263</v>
      </c>
      <c r="F31" s="116">
        <v>387093222</v>
      </c>
      <c r="H31" s="106" t="s">
        <v>210</v>
      </c>
      <c r="I31" s="106" t="s">
        <v>168</v>
      </c>
      <c r="J31" s="106" t="s">
        <v>222</v>
      </c>
      <c r="K31" s="106" t="s">
        <v>263</v>
      </c>
      <c r="L31" s="116">
        <v>387093222</v>
      </c>
      <c r="M31" s="109">
        <f t="shared" si="1"/>
        <v>0</v>
      </c>
    </row>
    <row r="32" spans="2:13">
      <c r="B32" s="106" t="s">
        <v>210</v>
      </c>
      <c r="C32" s="106" t="s">
        <v>168</v>
      </c>
      <c r="D32" s="106" t="s">
        <v>226</v>
      </c>
      <c r="E32" s="106" t="s">
        <v>262</v>
      </c>
      <c r="F32" s="107">
        <v>639843601</v>
      </c>
      <c r="H32" s="106" t="s">
        <v>210</v>
      </c>
      <c r="I32" s="106" t="s">
        <v>168</v>
      </c>
      <c r="J32" s="106" t="s">
        <v>226</v>
      </c>
      <c r="K32" s="106" t="s">
        <v>262</v>
      </c>
      <c r="L32" s="107">
        <v>639843601</v>
      </c>
      <c r="M32" s="109">
        <f t="shared" si="1"/>
        <v>0</v>
      </c>
    </row>
    <row r="33" spans="2:13">
      <c r="B33" s="106" t="s">
        <v>210</v>
      </c>
      <c r="C33" s="106" t="s">
        <v>168</v>
      </c>
      <c r="D33" s="106" t="s">
        <v>227</v>
      </c>
      <c r="E33" s="106" t="s">
        <v>262</v>
      </c>
      <c r="F33" s="107">
        <v>51767209</v>
      </c>
      <c r="H33" s="106" t="s">
        <v>210</v>
      </c>
      <c r="I33" s="106" t="s">
        <v>168</v>
      </c>
      <c r="J33" s="106" t="s">
        <v>227</v>
      </c>
      <c r="K33" s="106" t="s">
        <v>262</v>
      </c>
      <c r="L33" s="107">
        <v>51767209</v>
      </c>
      <c r="M33" s="109">
        <f t="shared" si="1"/>
        <v>0</v>
      </c>
    </row>
    <row r="34" spans="2:13">
      <c r="B34" s="106" t="s">
        <v>210</v>
      </c>
      <c r="C34" s="106" t="s">
        <v>169</v>
      </c>
      <c r="D34" s="106" t="s">
        <v>225</v>
      </c>
      <c r="E34" s="106" t="s">
        <v>268</v>
      </c>
      <c r="F34" s="107">
        <v>4450000000</v>
      </c>
      <c r="H34" s="106" t="s">
        <v>210</v>
      </c>
      <c r="I34" s="106" t="s">
        <v>169</v>
      </c>
      <c r="J34" s="106" t="s">
        <v>225</v>
      </c>
      <c r="K34" s="106" t="s">
        <v>268</v>
      </c>
      <c r="L34" s="107">
        <v>4450000000</v>
      </c>
      <c r="M34" s="109">
        <f t="shared" si="1"/>
        <v>0</v>
      </c>
    </row>
    <row r="35" spans="2:13">
      <c r="B35" s="106" t="s">
        <v>210</v>
      </c>
      <c r="C35" s="106" t="s">
        <v>169</v>
      </c>
      <c r="D35" s="106" t="s">
        <v>225</v>
      </c>
      <c r="E35" s="106" t="s">
        <v>271</v>
      </c>
      <c r="F35" s="107">
        <v>1071405909</v>
      </c>
      <c r="H35" s="106" t="s">
        <v>210</v>
      </c>
      <c r="I35" s="106" t="s">
        <v>169</v>
      </c>
      <c r="J35" s="106" t="s">
        <v>225</v>
      </c>
      <c r="K35" s="106" t="s">
        <v>271</v>
      </c>
      <c r="L35" s="107">
        <v>1071405909</v>
      </c>
      <c r="M35" s="109">
        <f t="shared" si="1"/>
        <v>0</v>
      </c>
    </row>
    <row r="36" spans="2:13">
      <c r="B36" s="106" t="s">
        <v>210</v>
      </c>
      <c r="C36" s="106" t="s">
        <v>170</v>
      </c>
      <c r="D36" s="106" t="s">
        <v>223</v>
      </c>
      <c r="E36" s="106" t="s">
        <v>259</v>
      </c>
      <c r="F36" s="107">
        <v>1275620000</v>
      </c>
      <c r="H36" s="106" t="s">
        <v>210</v>
      </c>
      <c r="I36" s="106" t="s">
        <v>170</v>
      </c>
      <c r="J36" s="106" t="s">
        <v>223</v>
      </c>
      <c r="K36" s="106" t="s">
        <v>259</v>
      </c>
      <c r="L36" s="107">
        <v>1275620000</v>
      </c>
      <c r="M36" s="109">
        <f t="shared" si="1"/>
        <v>0</v>
      </c>
    </row>
    <row r="37" spans="2:13">
      <c r="B37" s="106" t="s">
        <v>210</v>
      </c>
      <c r="C37" s="106" t="s">
        <v>170</v>
      </c>
      <c r="D37" s="106" t="s">
        <v>223</v>
      </c>
      <c r="E37" s="106" t="s">
        <v>269</v>
      </c>
      <c r="F37" s="107">
        <v>5739596933</v>
      </c>
      <c r="H37" s="106" t="s">
        <v>210</v>
      </c>
      <c r="I37" s="106" t="s">
        <v>170</v>
      </c>
      <c r="J37" s="106" t="s">
        <v>223</v>
      </c>
      <c r="K37" s="106" t="s">
        <v>269</v>
      </c>
      <c r="L37" s="107">
        <v>5739596933</v>
      </c>
      <c r="M37" s="109">
        <f t="shared" si="1"/>
        <v>0</v>
      </c>
    </row>
    <row r="38" spans="2:13" ht="15">
      <c r="B38" s="102" t="s">
        <v>28</v>
      </c>
      <c r="F38" s="108">
        <v>18269544959</v>
      </c>
      <c r="H38" s="102" t="s">
        <v>28</v>
      </c>
      <c r="K38" s="103"/>
      <c r="L38" s="108">
        <v>18269544959</v>
      </c>
      <c r="M38" s="105"/>
    </row>
    <row r="39" spans="2:13">
      <c r="M39" s="10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8" tint="0.39997558519241921"/>
  </sheetPr>
  <dimension ref="B2:K39"/>
  <sheetViews>
    <sheetView showGridLines="0" zoomScale="55" zoomScaleNormal="55" workbookViewId="0">
      <selection activeCell="B4" sqref="B4:G4"/>
    </sheetView>
  </sheetViews>
  <sheetFormatPr baseColWidth="10" defaultColWidth="10.85546875" defaultRowHeight="15"/>
  <cols>
    <col min="1" max="1" width="10.85546875" style="22"/>
    <col min="2" max="2" width="58.28515625" style="25" customWidth="1"/>
    <col min="3" max="3" width="15.85546875" style="23" customWidth="1"/>
    <col min="4" max="4" width="20" style="66" bestFit="1" customWidth="1"/>
    <col min="5" max="5" width="31.5703125" style="23" customWidth="1"/>
    <col min="6" max="6" width="36.5703125" style="23" customWidth="1"/>
    <col min="7" max="7" width="53.28515625" style="25" customWidth="1"/>
    <col min="8" max="11" width="10.85546875" style="25"/>
    <col min="12" max="16384" width="10.85546875" style="22"/>
  </cols>
  <sheetData>
    <row r="2" spans="2:7">
      <c r="B2" s="62">
        <v>8126</v>
      </c>
    </row>
    <row r="3" spans="2:7" ht="45">
      <c r="B3" s="62" t="s">
        <v>89</v>
      </c>
      <c r="C3" s="62" t="s">
        <v>306</v>
      </c>
      <c r="D3" s="67" t="s">
        <v>307</v>
      </c>
      <c r="E3" s="71" t="s">
        <v>207</v>
      </c>
      <c r="F3" s="62" t="s">
        <v>208</v>
      </c>
      <c r="G3" s="62" t="s">
        <v>308</v>
      </c>
    </row>
    <row r="4" spans="2:7" ht="42.75">
      <c r="B4" s="63" t="s">
        <v>94</v>
      </c>
      <c r="C4" s="64" t="s">
        <v>309</v>
      </c>
      <c r="D4" s="68">
        <v>336851064</v>
      </c>
      <c r="E4" s="64" t="s">
        <v>310</v>
      </c>
      <c r="F4" s="64" t="s">
        <v>272</v>
      </c>
      <c r="G4" s="63" t="s">
        <v>139</v>
      </c>
    </row>
    <row r="5" spans="2:7" ht="85.5">
      <c r="B5" s="63" t="s">
        <v>99</v>
      </c>
      <c r="C5" s="64" t="s">
        <v>309</v>
      </c>
      <c r="D5" s="68">
        <v>168425532</v>
      </c>
      <c r="E5" s="64" t="s">
        <v>311</v>
      </c>
      <c r="F5" s="64" t="s">
        <v>273</v>
      </c>
      <c r="G5" s="63" t="s">
        <v>139</v>
      </c>
    </row>
    <row r="6" spans="2:7" ht="28.5">
      <c r="B6" s="63" t="s">
        <v>104</v>
      </c>
      <c r="C6" s="64" t="s">
        <v>309</v>
      </c>
      <c r="D6" s="68">
        <v>56141844</v>
      </c>
      <c r="E6" s="64" t="s">
        <v>311</v>
      </c>
      <c r="F6" s="64" t="s">
        <v>273</v>
      </c>
      <c r="G6" s="63" t="s">
        <v>139</v>
      </c>
    </row>
    <row r="7" spans="2:7" ht="99.75">
      <c r="B7" s="63" t="s">
        <v>107</v>
      </c>
      <c r="C7" s="64" t="s">
        <v>312</v>
      </c>
      <c r="D7" s="68">
        <v>481960117</v>
      </c>
      <c r="E7" s="64" t="s">
        <v>313</v>
      </c>
      <c r="F7" s="64" t="s">
        <v>270</v>
      </c>
      <c r="G7" s="63" t="s">
        <v>314</v>
      </c>
    </row>
    <row r="8" spans="2:7" ht="99.75">
      <c r="B8" s="63" t="s">
        <v>112</v>
      </c>
      <c r="C8" s="64" t="s">
        <v>312</v>
      </c>
      <c r="D8" s="68">
        <v>926338572</v>
      </c>
      <c r="E8" s="64" t="s">
        <v>313</v>
      </c>
      <c r="F8" s="64" t="s">
        <v>270</v>
      </c>
      <c r="G8" s="63" t="s">
        <v>315</v>
      </c>
    </row>
    <row r="9" spans="2:7" ht="42.75">
      <c r="B9" s="63" t="s">
        <v>117</v>
      </c>
      <c r="C9" s="64" t="s">
        <v>312</v>
      </c>
      <c r="D9" s="68">
        <v>475003732</v>
      </c>
      <c r="E9" s="64" t="s">
        <v>313</v>
      </c>
      <c r="F9" s="64" t="s">
        <v>270</v>
      </c>
      <c r="G9" s="63" t="s">
        <v>139</v>
      </c>
    </row>
    <row r="10" spans="2:7" ht="42.75">
      <c r="B10" s="63" t="s">
        <v>122</v>
      </c>
      <c r="C10" s="64" t="s">
        <v>312</v>
      </c>
      <c r="D10" s="68">
        <v>175876971</v>
      </c>
      <c r="E10" s="64" t="s">
        <v>313</v>
      </c>
      <c r="F10" s="64" t="s">
        <v>270</v>
      </c>
      <c r="G10" s="63" t="s">
        <v>38</v>
      </c>
    </row>
    <row r="11" spans="2:7" ht="128.25">
      <c r="B11" s="63" t="s">
        <v>127</v>
      </c>
      <c r="C11" s="64" t="s">
        <v>316</v>
      </c>
      <c r="D11" s="68">
        <v>1239712750</v>
      </c>
      <c r="E11" s="64" t="s">
        <v>317</v>
      </c>
      <c r="F11" s="64" t="s">
        <v>267</v>
      </c>
      <c r="G11" s="63" t="s">
        <v>318</v>
      </c>
    </row>
    <row r="12" spans="2:7" ht="49.5" customHeight="1">
      <c r="B12" s="200" t="s">
        <v>132</v>
      </c>
      <c r="C12" s="64" t="s">
        <v>319</v>
      </c>
      <c r="D12" s="68">
        <v>260870960</v>
      </c>
      <c r="E12" s="64" t="s">
        <v>317</v>
      </c>
      <c r="F12" s="64" t="s">
        <v>267</v>
      </c>
      <c r="G12" s="63" t="s">
        <v>139</v>
      </c>
    </row>
    <row r="13" spans="2:7" ht="28.5">
      <c r="B13" s="204"/>
      <c r="C13" s="64" t="s">
        <v>320</v>
      </c>
      <c r="D13" s="68">
        <v>206558000</v>
      </c>
      <c r="E13" s="64" t="s">
        <v>317</v>
      </c>
      <c r="F13" s="64" t="s">
        <v>267</v>
      </c>
      <c r="G13" s="63" t="s">
        <v>139</v>
      </c>
    </row>
    <row r="14" spans="2:7" ht="28.5">
      <c r="B14" s="204"/>
      <c r="C14" s="64" t="s">
        <v>321</v>
      </c>
      <c r="D14" s="68">
        <v>171068294</v>
      </c>
      <c r="E14" s="64" t="s">
        <v>317</v>
      </c>
      <c r="F14" s="64" t="s">
        <v>267</v>
      </c>
      <c r="G14" s="63" t="s">
        <v>139</v>
      </c>
    </row>
    <row r="15" spans="2:7" ht="28.5">
      <c r="B15" s="204"/>
      <c r="C15" s="64" t="s">
        <v>322</v>
      </c>
      <c r="D15" s="68">
        <v>229431788</v>
      </c>
      <c r="E15" s="64" t="s">
        <v>317</v>
      </c>
      <c r="F15" s="64" t="s">
        <v>267</v>
      </c>
      <c r="G15" s="63" t="s">
        <v>139</v>
      </c>
    </row>
    <row r="16" spans="2:7" ht="28.5">
      <c r="B16" s="201"/>
      <c r="C16" s="64" t="s">
        <v>316</v>
      </c>
      <c r="D16" s="68">
        <v>248759474</v>
      </c>
      <c r="E16" s="64" t="s">
        <v>317</v>
      </c>
      <c r="F16" s="64" t="s">
        <v>267</v>
      </c>
      <c r="G16" s="63" t="s">
        <v>139</v>
      </c>
    </row>
    <row r="17" spans="2:11" ht="57">
      <c r="B17" s="63" t="s">
        <v>136</v>
      </c>
      <c r="C17" s="64" t="s">
        <v>319</v>
      </c>
      <c r="D17" s="68">
        <v>260870960</v>
      </c>
      <c r="E17" s="64" t="s">
        <v>323</v>
      </c>
      <c r="F17" s="64" t="s">
        <v>274</v>
      </c>
      <c r="G17" s="63" t="s">
        <v>139</v>
      </c>
    </row>
    <row r="18" spans="2:11">
      <c r="B18" s="24" t="s">
        <v>345</v>
      </c>
      <c r="D18" s="69">
        <v>5237870058</v>
      </c>
    </row>
    <row r="19" spans="2:11">
      <c r="F19" s="23" t="s">
        <v>324</v>
      </c>
    </row>
    <row r="20" spans="2:11">
      <c r="F20" s="23" t="s">
        <v>324</v>
      </c>
    </row>
    <row r="21" spans="2:11">
      <c r="B21" s="62">
        <v>8173</v>
      </c>
      <c r="C21" s="64"/>
      <c r="D21" s="68"/>
      <c r="E21" s="64"/>
      <c r="F21" s="64" t="s">
        <v>324</v>
      </c>
      <c r="G21" s="65"/>
    </row>
    <row r="22" spans="2:11" s="115" customFormat="1" ht="45">
      <c r="B22" s="62" t="s">
        <v>90</v>
      </c>
      <c r="C22" s="62" t="s">
        <v>306</v>
      </c>
      <c r="D22" s="67" t="s">
        <v>307</v>
      </c>
      <c r="E22" s="71" t="s">
        <v>207</v>
      </c>
      <c r="F22" s="62" t="s">
        <v>208</v>
      </c>
      <c r="G22" s="62" t="s">
        <v>308</v>
      </c>
      <c r="H22" s="24"/>
      <c r="I22" s="24"/>
      <c r="J22" s="24"/>
      <c r="K22" s="24"/>
    </row>
    <row r="23" spans="2:11" ht="28.5">
      <c r="B23" s="205" t="s">
        <v>95</v>
      </c>
      <c r="C23" s="208" t="s">
        <v>325</v>
      </c>
      <c r="D23" s="112">
        <v>162500000</v>
      </c>
      <c r="E23" s="114" t="s">
        <v>326</v>
      </c>
      <c r="F23" s="114" t="s">
        <v>260</v>
      </c>
      <c r="G23" s="113" t="s">
        <v>139</v>
      </c>
    </row>
    <row r="24" spans="2:11" ht="28.5">
      <c r="B24" s="206"/>
      <c r="C24" s="209"/>
      <c r="D24" s="112">
        <v>698601047</v>
      </c>
      <c r="E24" s="114" t="s">
        <v>327</v>
      </c>
      <c r="F24" s="114" t="s">
        <v>261</v>
      </c>
      <c r="G24" s="113" t="s">
        <v>328</v>
      </c>
    </row>
    <row r="25" spans="2:11" ht="28.5">
      <c r="B25" s="207"/>
      <c r="C25" s="210"/>
      <c r="D25" s="112">
        <v>387093222</v>
      </c>
      <c r="E25" s="114" t="s">
        <v>329</v>
      </c>
      <c r="F25" s="114" t="s">
        <v>263</v>
      </c>
      <c r="G25" s="113" t="s">
        <v>139</v>
      </c>
    </row>
    <row r="26" spans="2:11" ht="28.5">
      <c r="B26" s="200" t="s">
        <v>100</v>
      </c>
      <c r="C26" s="202" t="s">
        <v>330</v>
      </c>
      <c r="D26" s="68">
        <v>1275620000</v>
      </c>
      <c r="E26" s="64" t="s">
        <v>331</v>
      </c>
      <c r="F26" s="64" t="s">
        <v>259</v>
      </c>
      <c r="G26" s="63" t="s">
        <v>139</v>
      </c>
    </row>
    <row r="27" spans="2:11" ht="42.75">
      <c r="B27" s="201"/>
      <c r="C27" s="203"/>
      <c r="D27" s="68">
        <v>5739596933</v>
      </c>
      <c r="E27" s="64" t="s">
        <v>332</v>
      </c>
      <c r="F27" s="64" t="s">
        <v>269</v>
      </c>
      <c r="G27" s="63" t="s">
        <v>333</v>
      </c>
    </row>
    <row r="28" spans="2:11" ht="42.75">
      <c r="B28" s="63" t="s">
        <v>105</v>
      </c>
      <c r="C28" s="64" t="s">
        <v>330</v>
      </c>
      <c r="D28" s="68">
        <v>0</v>
      </c>
      <c r="E28" s="64" t="s">
        <v>334</v>
      </c>
      <c r="F28" s="64" t="s">
        <v>268</v>
      </c>
      <c r="G28" s="63" t="s">
        <v>305</v>
      </c>
    </row>
    <row r="29" spans="2:11" ht="99.75">
      <c r="B29" s="200" t="s">
        <v>108</v>
      </c>
      <c r="C29" s="202" t="s">
        <v>335</v>
      </c>
      <c r="D29" s="68">
        <v>4450000000</v>
      </c>
      <c r="E29" s="64" t="s">
        <v>334</v>
      </c>
      <c r="F29" s="64" t="s">
        <v>268</v>
      </c>
      <c r="G29" s="63" t="s">
        <v>662</v>
      </c>
    </row>
    <row r="30" spans="2:11" ht="28.5">
      <c r="B30" s="201"/>
      <c r="C30" s="203"/>
      <c r="D30" s="68">
        <v>1071405909</v>
      </c>
      <c r="E30" s="64" t="s">
        <v>336</v>
      </c>
      <c r="F30" s="64" t="s">
        <v>271</v>
      </c>
      <c r="G30" s="63" t="s">
        <v>139</v>
      </c>
    </row>
    <row r="31" spans="2:11" ht="28.5">
      <c r="B31" s="113" t="s">
        <v>113</v>
      </c>
      <c r="C31" s="114" t="s">
        <v>325</v>
      </c>
      <c r="D31" s="112">
        <v>639843601</v>
      </c>
      <c r="E31" s="114" t="s">
        <v>337</v>
      </c>
      <c r="F31" s="114" t="s">
        <v>262</v>
      </c>
      <c r="G31" s="113" t="s">
        <v>139</v>
      </c>
    </row>
    <row r="32" spans="2:11" ht="42.75">
      <c r="B32" s="113" t="s">
        <v>118</v>
      </c>
      <c r="C32" s="114" t="s">
        <v>325</v>
      </c>
      <c r="D32" s="112">
        <v>51767209</v>
      </c>
      <c r="E32" s="114" t="s">
        <v>337</v>
      </c>
      <c r="F32" s="114" t="s">
        <v>262</v>
      </c>
      <c r="G32" s="113" t="s">
        <v>139</v>
      </c>
    </row>
    <row r="33" spans="2:7" ht="28.5">
      <c r="B33" s="65" t="s">
        <v>123</v>
      </c>
      <c r="C33" s="64" t="s">
        <v>316</v>
      </c>
      <c r="D33" s="68">
        <v>899210268</v>
      </c>
      <c r="E33" s="64" t="s">
        <v>338</v>
      </c>
      <c r="F33" s="64" t="s">
        <v>265</v>
      </c>
      <c r="G33" s="63" t="s">
        <v>339</v>
      </c>
    </row>
    <row r="34" spans="2:7" ht="28.5">
      <c r="B34" s="65" t="s">
        <v>128</v>
      </c>
      <c r="C34" s="64" t="s">
        <v>316</v>
      </c>
      <c r="D34" s="68">
        <v>0</v>
      </c>
      <c r="E34" s="64" t="s">
        <v>340</v>
      </c>
      <c r="F34" s="64" t="s">
        <v>266</v>
      </c>
      <c r="G34" s="63" t="s">
        <v>103</v>
      </c>
    </row>
    <row r="35" spans="2:7" ht="57">
      <c r="B35" s="63" t="s">
        <v>133</v>
      </c>
      <c r="C35" s="64" t="s">
        <v>341</v>
      </c>
      <c r="D35" s="68">
        <v>2793994517</v>
      </c>
      <c r="E35" s="64" t="s">
        <v>342</v>
      </c>
      <c r="F35" s="64" t="s">
        <v>264</v>
      </c>
      <c r="G35" s="63" t="s">
        <v>343</v>
      </c>
    </row>
    <row r="36" spans="2:7" ht="28.5">
      <c r="B36" s="63" t="s">
        <v>137</v>
      </c>
      <c r="C36" s="64" t="s">
        <v>316</v>
      </c>
      <c r="D36" s="68">
        <v>99912253</v>
      </c>
      <c r="E36" s="64" t="s">
        <v>344</v>
      </c>
      <c r="F36" s="64" t="s">
        <v>275</v>
      </c>
      <c r="G36" s="63" t="s">
        <v>139</v>
      </c>
    </row>
    <row r="37" spans="2:7">
      <c r="B37" s="24" t="s">
        <v>345</v>
      </c>
      <c r="D37" s="69">
        <f>SUM(D23:D36)</f>
        <v>18269544959</v>
      </c>
      <c r="F37" s="23" t="s">
        <v>324</v>
      </c>
    </row>
    <row r="39" spans="2:7">
      <c r="B39" s="24" t="s">
        <v>346</v>
      </c>
      <c r="C39" s="24"/>
      <c r="D39" s="70">
        <v>23507415017</v>
      </c>
      <c r="F39" s="23" t="s">
        <v>324</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Z75"/>
  <sheetViews>
    <sheetView zoomScale="55" zoomScaleNormal="55" workbookViewId="0">
      <selection activeCell="F23" sqref="F23"/>
    </sheetView>
  </sheetViews>
  <sheetFormatPr baseColWidth="10" defaultRowHeight="15.75"/>
  <cols>
    <col min="2" max="2" width="64.42578125" style="15" customWidth="1"/>
    <col min="3" max="3" width="15.28515625" style="15" customWidth="1"/>
    <col min="4" max="4" width="61" style="15" customWidth="1"/>
    <col min="5" max="5" width="19.5703125" style="15" customWidth="1"/>
    <col min="6" max="6" width="36.140625" style="15" customWidth="1"/>
    <col min="7" max="7" width="23.28515625" style="15" customWidth="1"/>
    <col min="8" max="8" width="35.42578125" style="15" customWidth="1"/>
    <col min="9" max="10" width="10.85546875" style="15"/>
    <col min="11" max="11" width="13.42578125" style="15" customWidth="1"/>
    <col min="12" max="13" width="10.85546875" style="15"/>
    <col min="15" max="15" width="16.7109375" customWidth="1"/>
    <col min="19" max="19" width="16.42578125" customWidth="1"/>
  </cols>
  <sheetData>
    <row r="1" spans="2:19" ht="28.5">
      <c r="B1" s="15" t="s">
        <v>84</v>
      </c>
      <c r="D1" s="15" t="s">
        <v>83</v>
      </c>
      <c r="F1" s="15" t="s">
        <v>85</v>
      </c>
      <c r="H1" s="16"/>
      <c r="J1" s="16"/>
      <c r="L1" s="15" t="s">
        <v>211</v>
      </c>
      <c r="M1"/>
      <c r="O1" t="s">
        <v>1</v>
      </c>
      <c r="Q1" t="s">
        <v>172</v>
      </c>
      <c r="S1" s="54" t="s">
        <v>78</v>
      </c>
    </row>
    <row r="2" spans="2:19">
      <c r="B2" s="15" t="s">
        <v>86</v>
      </c>
      <c r="D2" s="15" t="s">
        <v>87</v>
      </c>
      <c r="F2" s="15" t="s">
        <v>88</v>
      </c>
      <c r="H2" s="17" t="s">
        <v>89</v>
      </c>
      <c r="J2" s="17" t="s">
        <v>90</v>
      </c>
      <c r="L2" s="15" t="s">
        <v>209</v>
      </c>
      <c r="M2"/>
      <c r="O2" t="s">
        <v>46</v>
      </c>
      <c r="Q2" t="s">
        <v>173</v>
      </c>
      <c r="S2" t="s">
        <v>205</v>
      </c>
    </row>
    <row r="3" spans="2:19">
      <c r="B3" s="15" t="s">
        <v>91</v>
      </c>
      <c r="D3" s="15" t="s">
        <v>92</v>
      </c>
      <c r="F3" s="15" t="s">
        <v>93</v>
      </c>
      <c r="H3" s="15" t="s">
        <v>94</v>
      </c>
      <c r="I3" s="16">
        <v>8126</v>
      </c>
      <c r="J3" s="17" t="s">
        <v>212</v>
      </c>
      <c r="L3" s="15" t="s">
        <v>210</v>
      </c>
      <c r="M3"/>
      <c r="O3" t="s">
        <v>162</v>
      </c>
      <c r="Q3" t="s">
        <v>174</v>
      </c>
      <c r="S3" t="s">
        <v>206</v>
      </c>
    </row>
    <row r="4" spans="2:19">
      <c r="B4" s="15" t="s">
        <v>96</v>
      </c>
      <c r="D4" s="15" t="s">
        <v>97</v>
      </c>
      <c r="F4" s="15" t="s">
        <v>98</v>
      </c>
      <c r="H4" s="15" t="s">
        <v>99</v>
      </c>
      <c r="I4" s="16">
        <v>8126</v>
      </c>
      <c r="J4" s="17" t="s">
        <v>213</v>
      </c>
      <c r="L4" s="15" t="s">
        <v>347</v>
      </c>
      <c r="M4"/>
      <c r="O4" t="s">
        <v>163</v>
      </c>
      <c r="Q4" t="s">
        <v>546</v>
      </c>
    </row>
    <row r="5" spans="2:19">
      <c r="B5" s="15" t="s">
        <v>101</v>
      </c>
      <c r="D5" s="15" t="s">
        <v>102</v>
      </c>
      <c r="F5" s="15" t="s">
        <v>103</v>
      </c>
      <c r="H5" s="15" t="s">
        <v>104</v>
      </c>
      <c r="I5" s="16">
        <v>8126</v>
      </c>
      <c r="J5" s="17" t="s">
        <v>214</v>
      </c>
      <c r="L5" s="15" t="s">
        <v>546</v>
      </c>
      <c r="M5"/>
      <c r="O5" t="s">
        <v>37</v>
      </c>
    </row>
    <row r="6" spans="2:19">
      <c r="B6" s="15" t="s">
        <v>109</v>
      </c>
      <c r="D6" s="15" t="s">
        <v>106</v>
      </c>
      <c r="F6" s="15" t="s">
        <v>103</v>
      </c>
      <c r="H6" s="15" t="s">
        <v>107</v>
      </c>
      <c r="I6" s="16">
        <v>8126</v>
      </c>
      <c r="J6" s="17" t="s">
        <v>215</v>
      </c>
      <c r="M6"/>
      <c r="O6" t="s">
        <v>47</v>
      </c>
    </row>
    <row r="7" spans="2:19">
      <c r="B7" s="15" t="s">
        <v>114</v>
      </c>
      <c r="D7" s="15" t="s">
        <v>110</v>
      </c>
      <c r="F7" s="15" t="s">
        <v>111</v>
      </c>
      <c r="H7" s="15" t="s">
        <v>112</v>
      </c>
      <c r="I7" s="16">
        <v>8126</v>
      </c>
      <c r="J7" s="17" t="s">
        <v>216</v>
      </c>
      <c r="M7"/>
      <c r="O7" t="s">
        <v>164</v>
      </c>
    </row>
    <row r="8" spans="2:19">
      <c r="B8" s="15" t="s">
        <v>119</v>
      </c>
      <c r="D8" s="15" t="s">
        <v>115</v>
      </c>
      <c r="F8" s="15" t="s">
        <v>116</v>
      </c>
      <c r="H8" s="15" t="s">
        <v>117</v>
      </c>
      <c r="I8" s="16">
        <v>8126</v>
      </c>
      <c r="J8" s="17" t="s">
        <v>217</v>
      </c>
      <c r="M8"/>
      <c r="O8" t="s">
        <v>165</v>
      </c>
    </row>
    <row r="9" spans="2:19">
      <c r="B9" s="15" t="s">
        <v>124</v>
      </c>
      <c r="D9" s="15" t="s">
        <v>120</v>
      </c>
      <c r="F9" s="15" t="s">
        <v>121</v>
      </c>
      <c r="H9" s="15" t="s">
        <v>122</v>
      </c>
      <c r="I9" s="16">
        <v>8126</v>
      </c>
      <c r="J9" s="17" t="s">
        <v>218</v>
      </c>
      <c r="M9"/>
      <c r="O9" t="s">
        <v>167</v>
      </c>
    </row>
    <row r="10" spans="2:19">
      <c r="B10" s="15" t="s">
        <v>129</v>
      </c>
      <c r="D10" s="15" t="s">
        <v>125</v>
      </c>
      <c r="F10" s="15" t="s">
        <v>126</v>
      </c>
      <c r="H10" s="15" t="s">
        <v>127</v>
      </c>
      <c r="I10" s="16">
        <v>8126</v>
      </c>
      <c r="J10" s="17" t="s">
        <v>219</v>
      </c>
      <c r="M10"/>
      <c r="O10" t="s">
        <v>166</v>
      </c>
    </row>
    <row r="11" spans="2:19">
      <c r="B11" s="15" t="s">
        <v>349</v>
      </c>
      <c r="D11" s="15" t="s">
        <v>130</v>
      </c>
      <c r="F11" s="15" t="s">
        <v>131</v>
      </c>
      <c r="H11" s="15" t="s">
        <v>132</v>
      </c>
      <c r="I11" s="16">
        <v>8126</v>
      </c>
      <c r="J11" s="17" t="s">
        <v>220</v>
      </c>
      <c r="M11"/>
      <c r="O11" t="s">
        <v>168</v>
      </c>
    </row>
    <row r="12" spans="2:19">
      <c r="D12" s="15" t="s">
        <v>134</v>
      </c>
      <c r="F12" s="15" t="s">
        <v>135</v>
      </c>
      <c r="H12" s="15" t="s">
        <v>136</v>
      </c>
      <c r="I12" s="16">
        <v>8126</v>
      </c>
      <c r="J12" s="17" t="s">
        <v>221</v>
      </c>
      <c r="M12"/>
      <c r="O12" t="s">
        <v>169</v>
      </c>
    </row>
    <row r="13" spans="2:19">
      <c r="D13" s="15" t="s">
        <v>138</v>
      </c>
      <c r="F13" s="15" t="s">
        <v>139</v>
      </c>
      <c r="H13" s="15" t="s">
        <v>95</v>
      </c>
      <c r="I13" s="16">
        <v>8173</v>
      </c>
      <c r="J13" s="17" t="s">
        <v>222</v>
      </c>
      <c r="M13"/>
      <c r="O13" t="s">
        <v>170</v>
      </c>
    </row>
    <row r="14" spans="2:19">
      <c r="D14" s="15" t="s">
        <v>140</v>
      </c>
      <c r="F14" s="15" t="s">
        <v>139</v>
      </c>
      <c r="H14" s="15" t="s">
        <v>100</v>
      </c>
      <c r="I14" s="16">
        <v>8173</v>
      </c>
      <c r="J14" s="17" t="s">
        <v>223</v>
      </c>
      <c r="M14"/>
      <c r="O14" t="s">
        <v>742</v>
      </c>
    </row>
    <row r="15" spans="2:19">
      <c r="D15" s="15" t="s">
        <v>141</v>
      </c>
      <c r="F15" s="15" t="s">
        <v>142</v>
      </c>
      <c r="H15" s="15" t="s">
        <v>105</v>
      </c>
      <c r="I15" s="16">
        <v>8173</v>
      </c>
      <c r="J15" s="17" t="s">
        <v>224</v>
      </c>
      <c r="M15"/>
      <c r="O15" t="s">
        <v>743</v>
      </c>
    </row>
    <row r="16" spans="2:19">
      <c r="D16" s="15" t="s">
        <v>143</v>
      </c>
      <c r="F16" s="15" t="s">
        <v>144</v>
      </c>
      <c r="H16" s="15" t="s">
        <v>108</v>
      </c>
      <c r="I16" s="16">
        <v>8173</v>
      </c>
      <c r="J16" s="17" t="s">
        <v>225</v>
      </c>
      <c r="M16"/>
    </row>
    <row r="17" spans="2:26">
      <c r="D17" s="15" t="s">
        <v>145</v>
      </c>
      <c r="F17" s="15" t="s">
        <v>146</v>
      </c>
      <c r="H17" s="15" t="s">
        <v>113</v>
      </c>
      <c r="I17" s="16">
        <v>8173</v>
      </c>
      <c r="J17" s="17" t="s">
        <v>226</v>
      </c>
      <c r="M17"/>
    </row>
    <row r="18" spans="2:26">
      <c r="D18" s="15" t="s">
        <v>147</v>
      </c>
      <c r="F18" s="15" t="s">
        <v>148</v>
      </c>
      <c r="H18" s="15" t="s">
        <v>118</v>
      </c>
      <c r="I18" s="16">
        <v>8173</v>
      </c>
      <c r="J18" s="17" t="s">
        <v>227</v>
      </c>
      <c r="M18"/>
    </row>
    <row r="19" spans="2:26">
      <c r="D19" s="15" t="s">
        <v>149</v>
      </c>
      <c r="F19" s="15" t="s">
        <v>171</v>
      </c>
      <c r="H19" s="15" t="s">
        <v>123</v>
      </c>
      <c r="I19" s="16">
        <v>8173</v>
      </c>
      <c r="J19" s="17" t="s">
        <v>228</v>
      </c>
      <c r="M19"/>
    </row>
    <row r="20" spans="2:26">
      <c r="D20" s="15" t="s">
        <v>150</v>
      </c>
      <c r="F20" s="15" t="s">
        <v>831</v>
      </c>
      <c r="H20" s="15" t="s">
        <v>128</v>
      </c>
      <c r="I20" s="16">
        <v>8173</v>
      </c>
      <c r="J20" s="17" t="s">
        <v>229</v>
      </c>
      <c r="M20"/>
    </row>
    <row r="21" spans="2:26">
      <c r="D21" s="15" t="s">
        <v>151</v>
      </c>
      <c r="F21" s="15" t="s">
        <v>832</v>
      </c>
      <c r="H21" s="15" t="s">
        <v>133</v>
      </c>
      <c r="I21" s="16">
        <v>8173</v>
      </c>
      <c r="J21" s="17" t="s">
        <v>230</v>
      </c>
      <c r="M21"/>
    </row>
    <row r="22" spans="2:26">
      <c r="D22" s="15" t="s">
        <v>152</v>
      </c>
      <c r="F22" s="15" t="s">
        <v>833</v>
      </c>
      <c r="H22" s="15" t="s">
        <v>137</v>
      </c>
      <c r="I22" s="16">
        <v>8173</v>
      </c>
      <c r="J22" s="17" t="s">
        <v>231</v>
      </c>
      <c r="M22"/>
    </row>
    <row r="23" spans="2:26">
      <c r="D23" s="15" t="s">
        <v>153</v>
      </c>
      <c r="F23" s="15" t="s">
        <v>349</v>
      </c>
      <c r="J23" s="15" t="s">
        <v>348</v>
      </c>
      <c r="M23"/>
    </row>
    <row r="24" spans="2:26">
      <c r="D24" s="15" t="s">
        <v>154</v>
      </c>
      <c r="M24"/>
    </row>
    <row r="25" spans="2:26">
      <c r="D25" s="15" t="s">
        <v>155</v>
      </c>
      <c r="M25"/>
    </row>
    <row r="26" spans="2:26">
      <c r="D26" s="15" t="s">
        <v>156</v>
      </c>
      <c r="M26"/>
    </row>
    <row r="27" spans="2:26">
      <c r="D27" s="15" t="s">
        <v>157</v>
      </c>
      <c r="H27" s="15" t="s">
        <v>599</v>
      </c>
      <c r="M27"/>
    </row>
    <row r="28" spans="2:26">
      <c r="D28" s="15" t="s">
        <v>158</v>
      </c>
      <c r="M28"/>
    </row>
    <row r="29" spans="2:26">
      <c r="D29" s="15" t="s">
        <v>159</v>
      </c>
      <c r="M29"/>
    </row>
    <row r="30" spans="2:26">
      <c r="M30"/>
    </row>
    <row r="32" spans="2:26" ht="45">
      <c r="B32" s="18" t="s">
        <v>211</v>
      </c>
      <c r="C32" s="18" t="s">
        <v>196</v>
      </c>
      <c r="D32" s="18" t="s">
        <v>197</v>
      </c>
      <c r="E32" s="18" t="s">
        <v>175</v>
      </c>
      <c r="F32" s="18" t="s">
        <v>204</v>
      </c>
      <c r="J32" s="18" t="s">
        <v>80</v>
      </c>
      <c r="K32" s="18" t="s">
        <v>81</v>
      </c>
      <c r="N32" s="18" t="s">
        <v>82</v>
      </c>
      <c r="O32" s="18" t="s">
        <v>258</v>
      </c>
      <c r="P32" s="20"/>
      <c r="Q32" s="15"/>
      <c r="R32" s="18" t="s">
        <v>196</v>
      </c>
      <c r="S32" s="15"/>
      <c r="T32" s="18" t="s">
        <v>197</v>
      </c>
      <c r="V32" s="18" t="s">
        <v>198</v>
      </c>
      <c r="X32" s="19" t="s">
        <v>78</v>
      </c>
      <c r="Z32" s="19" t="s">
        <v>244</v>
      </c>
    </row>
    <row r="33" spans="2:26">
      <c r="B33" s="15" t="s">
        <v>210</v>
      </c>
      <c r="C33" s="16" t="s">
        <v>199</v>
      </c>
      <c r="D33" s="16" t="s">
        <v>200</v>
      </c>
      <c r="E33" s="16">
        <v>20240255</v>
      </c>
      <c r="F33" s="15" t="s">
        <v>161</v>
      </c>
      <c r="J33" s="15" t="s">
        <v>176</v>
      </c>
      <c r="K33" t="s">
        <v>177</v>
      </c>
      <c r="N33" t="s">
        <v>234</v>
      </c>
      <c r="O33" t="s">
        <v>247</v>
      </c>
      <c r="Q33" s="15"/>
      <c r="R33" s="15" t="s">
        <v>199</v>
      </c>
      <c r="S33" s="15"/>
      <c r="T33" s="15" t="s">
        <v>200</v>
      </c>
      <c r="V33" t="s">
        <v>202</v>
      </c>
      <c r="X33" t="s">
        <v>205</v>
      </c>
      <c r="Z33" t="s">
        <v>234</v>
      </c>
    </row>
    <row r="34" spans="2:26">
      <c r="B34" s="15" t="s">
        <v>209</v>
      </c>
      <c r="C34" s="16" t="s">
        <v>199</v>
      </c>
      <c r="D34" s="16" t="s">
        <v>201</v>
      </c>
      <c r="E34" s="16">
        <v>20240207</v>
      </c>
      <c r="F34" s="15" t="s">
        <v>160</v>
      </c>
      <c r="J34" s="15" t="s">
        <v>178</v>
      </c>
      <c r="K34" t="s">
        <v>179</v>
      </c>
      <c r="N34" t="s">
        <v>233</v>
      </c>
      <c r="O34" t="s">
        <v>246</v>
      </c>
      <c r="Q34" s="15"/>
      <c r="R34" s="15"/>
      <c r="S34" s="15"/>
      <c r="T34" s="15" t="s">
        <v>201</v>
      </c>
      <c r="V34" t="s">
        <v>203</v>
      </c>
      <c r="X34" t="s">
        <v>206</v>
      </c>
      <c r="Z34" t="s">
        <v>233</v>
      </c>
    </row>
    <row r="35" spans="2:26">
      <c r="B35" s="15" t="s">
        <v>347</v>
      </c>
      <c r="C35" s="10" t="s">
        <v>350</v>
      </c>
      <c r="D35" s="10" t="s">
        <v>350</v>
      </c>
      <c r="E35" s="10" t="s">
        <v>350</v>
      </c>
      <c r="F35" s="10" t="s">
        <v>350</v>
      </c>
      <c r="J35" s="15" t="s">
        <v>182</v>
      </c>
      <c r="K35" t="s">
        <v>183</v>
      </c>
      <c r="N35" t="s">
        <v>240</v>
      </c>
      <c r="O35" t="s">
        <v>253</v>
      </c>
      <c r="Q35" s="15"/>
      <c r="R35" s="15"/>
      <c r="S35" s="15"/>
      <c r="Z35" t="s">
        <v>240</v>
      </c>
    </row>
    <row r="36" spans="2:26">
      <c r="B36" s="17" t="s">
        <v>546</v>
      </c>
      <c r="C36" s="10" t="s">
        <v>350</v>
      </c>
      <c r="D36" s="10" t="s">
        <v>350</v>
      </c>
      <c r="E36" s="10" t="s">
        <v>350</v>
      </c>
      <c r="F36" s="10" t="s">
        <v>350</v>
      </c>
      <c r="J36" s="15" t="s">
        <v>184</v>
      </c>
      <c r="K36" t="s">
        <v>185</v>
      </c>
      <c r="N36" t="s">
        <v>237</v>
      </c>
      <c r="O36" t="s">
        <v>250</v>
      </c>
      <c r="Q36" s="15"/>
      <c r="R36" s="15"/>
      <c r="S36" s="15"/>
      <c r="Z36" t="s">
        <v>237</v>
      </c>
    </row>
    <row r="37" spans="2:26">
      <c r="B37"/>
      <c r="C37"/>
      <c r="D37"/>
      <c r="E37"/>
      <c r="J37" s="15" t="s">
        <v>186</v>
      </c>
      <c r="K37" t="s">
        <v>187</v>
      </c>
      <c r="N37" t="s">
        <v>238</v>
      </c>
      <c r="O37" t="s">
        <v>251</v>
      </c>
      <c r="Q37" s="15"/>
      <c r="R37" s="15"/>
      <c r="S37" s="15"/>
      <c r="Z37" t="s">
        <v>238</v>
      </c>
    </row>
    <row r="38" spans="2:26">
      <c r="B38"/>
      <c r="C38"/>
      <c r="D38"/>
      <c r="E38"/>
      <c r="J38" s="15" t="s">
        <v>188</v>
      </c>
      <c r="K38" t="s">
        <v>189</v>
      </c>
      <c r="N38" t="s">
        <v>239</v>
      </c>
      <c r="O38" t="s">
        <v>252</v>
      </c>
      <c r="Q38" s="15"/>
      <c r="R38" s="15"/>
      <c r="S38" s="15"/>
      <c r="Z38" t="s">
        <v>239</v>
      </c>
    </row>
    <row r="39" spans="2:26">
      <c r="B39"/>
      <c r="C39"/>
      <c r="D39"/>
      <c r="E39"/>
      <c r="J39" s="15" t="s">
        <v>190</v>
      </c>
      <c r="K39" t="s">
        <v>191</v>
      </c>
      <c r="N39" t="s">
        <v>236</v>
      </c>
      <c r="O39" t="s">
        <v>249</v>
      </c>
      <c r="Q39" s="15"/>
      <c r="R39" s="15"/>
      <c r="S39" s="15"/>
      <c r="Z39" t="s">
        <v>236</v>
      </c>
    </row>
    <row r="40" spans="2:26">
      <c r="B40"/>
      <c r="C40"/>
      <c r="D40"/>
      <c r="E40"/>
      <c r="J40" s="15" t="s">
        <v>180</v>
      </c>
      <c r="K40" t="s">
        <v>181</v>
      </c>
      <c r="N40" s="15" t="s">
        <v>243</v>
      </c>
      <c r="O40" s="15" t="s">
        <v>256</v>
      </c>
      <c r="Q40" s="15"/>
      <c r="R40" s="15"/>
      <c r="S40" s="15"/>
      <c r="Z40" t="s">
        <v>243</v>
      </c>
    </row>
    <row r="41" spans="2:26">
      <c r="B41"/>
      <c r="C41"/>
      <c r="D41"/>
      <c r="E41"/>
      <c r="J41" s="15" t="s">
        <v>192</v>
      </c>
      <c r="K41" t="s">
        <v>193</v>
      </c>
      <c r="N41" s="15" t="s">
        <v>242</v>
      </c>
      <c r="O41" s="15" t="s">
        <v>255</v>
      </c>
      <c r="Q41" s="15"/>
      <c r="R41" s="15"/>
      <c r="S41" s="15"/>
      <c r="Z41" t="s">
        <v>242</v>
      </c>
    </row>
    <row r="42" spans="2:26">
      <c r="B42"/>
      <c r="C42"/>
      <c r="D42"/>
      <c r="E42"/>
      <c r="J42" s="15" t="s">
        <v>194</v>
      </c>
      <c r="K42" t="s">
        <v>195</v>
      </c>
      <c r="N42" s="15" t="s">
        <v>241</v>
      </c>
      <c r="O42" s="15" t="s">
        <v>254</v>
      </c>
      <c r="Q42" s="15"/>
      <c r="R42" s="15"/>
      <c r="S42" s="15"/>
      <c r="Z42" t="s">
        <v>241</v>
      </c>
    </row>
    <row r="43" spans="2:26">
      <c r="B43"/>
      <c r="C43"/>
      <c r="D43"/>
      <c r="E43"/>
      <c r="J43" s="15" t="s">
        <v>546</v>
      </c>
      <c r="K43" s="15" t="s">
        <v>546</v>
      </c>
      <c r="N43" s="15" t="s">
        <v>295</v>
      </c>
      <c r="O43" s="15" t="s">
        <v>257</v>
      </c>
      <c r="Q43" s="15"/>
      <c r="R43" s="15"/>
      <c r="S43" s="15"/>
      <c r="Z43" t="s">
        <v>235</v>
      </c>
    </row>
    <row r="44" spans="2:26">
      <c r="B44"/>
      <c r="C44"/>
      <c r="D44"/>
      <c r="E44"/>
      <c r="N44" t="s">
        <v>235</v>
      </c>
      <c r="O44" t="s">
        <v>248</v>
      </c>
      <c r="Q44" s="15"/>
      <c r="R44" s="15"/>
      <c r="S44" s="15"/>
    </row>
    <row r="45" spans="2:26">
      <c r="B45"/>
      <c r="C45"/>
      <c r="D45"/>
      <c r="E45"/>
      <c r="K45" s="21" t="s">
        <v>277</v>
      </c>
      <c r="L45" s="21" t="s">
        <v>294</v>
      </c>
      <c r="N45" s="15" t="s">
        <v>546</v>
      </c>
      <c r="O45" s="15" t="s">
        <v>546</v>
      </c>
      <c r="P45" s="15"/>
      <c r="Q45" s="15"/>
      <c r="R45" s="15"/>
      <c r="S45" s="15"/>
    </row>
    <row r="46" spans="2:26">
      <c r="B46"/>
      <c r="C46"/>
      <c r="D46"/>
      <c r="E46"/>
      <c r="J46"/>
      <c r="K46" s="15" t="s">
        <v>278</v>
      </c>
      <c r="L46" s="15" t="s">
        <v>259</v>
      </c>
      <c r="P46" s="15"/>
      <c r="Q46" s="15"/>
      <c r="R46" s="15"/>
      <c r="S46" s="15"/>
    </row>
    <row r="47" spans="2:26">
      <c r="B47"/>
      <c r="C47"/>
      <c r="D47"/>
      <c r="E47"/>
      <c r="K47" s="15" t="s">
        <v>279</v>
      </c>
      <c r="L47" s="15" t="s">
        <v>260</v>
      </c>
      <c r="N47" s="15"/>
      <c r="O47" s="15"/>
      <c r="P47" s="15"/>
      <c r="Q47" s="15"/>
      <c r="R47" s="15"/>
      <c r="S47" s="15"/>
    </row>
    <row r="48" spans="2:26">
      <c r="B48"/>
      <c r="C48"/>
      <c r="D48"/>
      <c r="E48"/>
      <c r="K48" s="15" t="s">
        <v>280</v>
      </c>
      <c r="L48" s="15" t="s">
        <v>261</v>
      </c>
      <c r="N48" s="15"/>
      <c r="O48" s="15"/>
      <c r="P48" s="15"/>
      <c r="Q48" s="15"/>
      <c r="R48" s="15"/>
      <c r="S48" s="15"/>
    </row>
    <row r="49" spans="2:19">
      <c r="B49"/>
      <c r="C49"/>
      <c r="D49"/>
      <c r="E49"/>
      <c r="J49"/>
      <c r="K49" s="15" t="s">
        <v>282</v>
      </c>
      <c r="L49" s="15" t="s">
        <v>263</v>
      </c>
      <c r="N49" s="15"/>
      <c r="O49" s="15"/>
      <c r="Q49" s="15"/>
      <c r="R49" s="15"/>
      <c r="S49" s="15"/>
    </row>
    <row r="50" spans="2:19">
      <c r="B50"/>
      <c r="C50"/>
      <c r="D50"/>
      <c r="E50"/>
      <c r="K50" s="15" t="s">
        <v>283</v>
      </c>
      <c r="L50" s="15" t="s">
        <v>264</v>
      </c>
      <c r="P50" s="15"/>
      <c r="Q50" s="15"/>
    </row>
    <row r="51" spans="2:19">
      <c r="B51"/>
      <c r="C51"/>
      <c r="D51"/>
      <c r="E51"/>
      <c r="K51" s="15" t="s">
        <v>284</v>
      </c>
      <c r="L51" s="15" t="s">
        <v>265</v>
      </c>
      <c r="N51" s="15"/>
      <c r="O51" s="15"/>
      <c r="P51" s="15"/>
      <c r="Q51" s="15"/>
    </row>
    <row r="52" spans="2:19">
      <c r="B52"/>
      <c r="C52"/>
      <c r="D52"/>
      <c r="E52"/>
      <c r="K52" s="15" t="s">
        <v>285</v>
      </c>
      <c r="L52" s="15" t="s">
        <v>266</v>
      </c>
      <c r="N52" s="15"/>
      <c r="O52" s="15"/>
      <c r="P52" s="15"/>
      <c r="Q52" s="15"/>
    </row>
    <row r="53" spans="2:19">
      <c r="B53"/>
      <c r="C53"/>
      <c r="D53"/>
      <c r="E53"/>
      <c r="K53" s="15" t="s">
        <v>286</v>
      </c>
      <c r="L53" s="15" t="s">
        <v>267</v>
      </c>
      <c r="N53" s="15"/>
      <c r="O53" s="15"/>
      <c r="P53" s="15"/>
      <c r="Q53" s="15"/>
    </row>
    <row r="54" spans="2:19">
      <c r="B54"/>
      <c r="C54"/>
      <c r="D54"/>
      <c r="E54"/>
      <c r="K54" s="15" t="s">
        <v>296</v>
      </c>
      <c r="L54" s="15" t="s">
        <v>275</v>
      </c>
      <c r="N54" s="15"/>
      <c r="O54" s="15"/>
      <c r="P54" s="15"/>
      <c r="Q54" s="15"/>
    </row>
    <row r="55" spans="2:19">
      <c r="B55"/>
      <c r="C55"/>
      <c r="D55"/>
      <c r="E55"/>
      <c r="K55" s="15" t="s">
        <v>287</v>
      </c>
      <c r="L55" s="15" t="s">
        <v>268</v>
      </c>
      <c r="N55" s="15"/>
      <c r="O55" s="15"/>
      <c r="P55" s="15"/>
      <c r="Q55" s="15"/>
    </row>
    <row r="56" spans="2:19">
      <c r="B56"/>
      <c r="C56"/>
      <c r="D56"/>
      <c r="E56"/>
      <c r="K56" s="15" t="s">
        <v>288</v>
      </c>
      <c r="L56" s="15" t="s">
        <v>269</v>
      </c>
      <c r="N56" s="15"/>
      <c r="O56" s="15"/>
      <c r="P56" s="15"/>
      <c r="Q56" s="15"/>
    </row>
    <row r="57" spans="2:19">
      <c r="B57"/>
      <c r="C57"/>
      <c r="D57"/>
      <c r="E57"/>
      <c r="K57" s="15" t="s">
        <v>289</v>
      </c>
      <c r="L57" s="15" t="s">
        <v>270</v>
      </c>
      <c r="P57" s="15"/>
      <c r="Q57" s="15"/>
    </row>
    <row r="58" spans="2:19">
      <c r="B58"/>
      <c r="C58"/>
      <c r="D58"/>
      <c r="K58" s="15" t="s">
        <v>281</v>
      </c>
      <c r="L58" s="15" t="s">
        <v>262</v>
      </c>
      <c r="N58" s="15"/>
      <c r="O58" s="15"/>
    </row>
    <row r="59" spans="2:19">
      <c r="B59"/>
      <c r="C59"/>
      <c r="D59"/>
      <c r="K59" s="15" t="s">
        <v>290</v>
      </c>
      <c r="L59" s="15" t="s">
        <v>271</v>
      </c>
      <c r="N59" s="15"/>
      <c r="O59" s="15"/>
    </row>
    <row r="60" spans="2:19">
      <c r="B60"/>
      <c r="C60"/>
      <c r="D60"/>
      <c r="E60"/>
      <c r="K60" s="15" t="s">
        <v>293</v>
      </c>
      <c r="L60" s="15" t="s">
        <v>274</v>
      </c>
      <c r="N60" s="15"/>
      <c r="O60" s="15"/>
      <c r="P60" s="15"/>
      <c r="Q60" s="15"/>
    </row>
    <row r="61" spans="2:19">
      <c r="B61"/>
      <c r="C61"/>
      <c r="D61"/>
      <c r="E61"/>
      <c r="K61" s="15" t="s">
        <v>292</v>
      </c>
      <c r="L61" s="15" t="s">
        <v>273</v>
      </c>
      <c r="N61" s="15"/>
      <c r="O61" s="15"/>
      <c r="P61" s="15"/>
      <c r="Q61" s="15"/>
    </row>
    <row r="62" spans="2:19">
      <c r="B62"/>
      <c r="C62"/>
      <c r="D62"/>
      <c r="E62"/>
      <c r="K62" s="15" t="s">
        <v>291</v>
      </c>
      <c r="L62" s="15" t="s">
        <v>272</v>
      </c>
      <c r="N62" s="15"/>
      <c r="O62" s="15"/>
      <c r="P62" s="15"/>
      <c r="Q62" s="15"/>
    </row>
    <row r="63" spans="2:19">
      <c r="B63"/>
      <c r="C63"/>
      <c r="D63"/>
      <c r="E63"/>
      <c r="K63" s="15" t="s">
        <v>348</v>
      </c>
      <c r="L63" s="15" t="s">
        <v>348</v>
      </c>
      <c r="N63" s="15"/>
      <c r="O63" s="15"/>
      <c r="P63" s="15"/>
      <c r="Q63" s="15"/>
    </row>
    <row r="64" spans="2:19">
      <c r="B64"/>
      <c r="C64"/>
      <c r="D64"/>
      <c r="E64"/>
      <c r="K64" s="15" t="s">
        <v>599</v>
      </c>
      <c r="L64" s="15" t="s">
        <v>546</v>
      </c>
      <c r="N64" s="15"/>
      <c r="O64" s="15"/>
      <c r="P64" s="15"/>
      <c r="Q64" s="15"/>
    </row>
    <row r="65" spans="2:17">
      <c r="B65"/>
      <c r="C65"/>
      <c r="D65"/>
      <c r="E65"/>
      <c r="N65" s="15"/>
      <c r="O65" s="15"/>
      <c r="P65" s="15"/>
      <c r="Q65" s="15"/>
    </row>
    <row r="66" spans="2:17">
      <c r="B66"/>
      <c r="C66"/>
      <c r="D66"/>
      <c r="E66"/>
      <c r="N66" s="15"/>
      <c r="O66" s="15"/>
      <c r="P66" s="15"/>
      <c r="Q66" s="15"/>
    </row>
    <row r="67" spans="2:17">
      <c r="B67"/>
      <c r="C67"/>
      <c r="D67"/>
      <c r="E67"/>
      <c r="N67" s="15"/>
      <c r="O67" s="15"/>
      <c r="P67" s="15"/>
      <c r="Q67" s="15"/>
    </row>
    <row r="68" spans="2:17">
      <c r="B68"/>
      <c r="C68"/>
      <c r="D68"/>
      <c r="E68"/>
      <c r="N68" s="15"/>
      <c r="O68" s="15"/>
      <c r="P68" s="15"/>
      <c r="Q68" s="15"/>
    </row>
    <row r="69" spans="2:17">
      <c r="B69"/>
      <c r="C69"/>
      <c r="D69"/>
      <c r="E69"/>
      <c r="N69" s="15"/>
      <c r="O69" s="15"/>
      <c r="P69" s="15"/>
      <c r="Q69" s="15"/>
    </row>
    <row r="70" spans="2:17">
      <c r="B70"/>
      <c r="C70"/>
      <c r="D70"/>
      <c r="E70"/>
      <c r="N70" s="15"/>
      <c r="O70" s="15"/>
      <c r="P70" s="15"/>
      <c r="Q70" s="15"/>
    </row>
    <row r="71" spans="2:17">
      <c r="B71"/>
      <c r="C71"/>
      <c r="D71"/>
      <c r="E71"/>
      <c r="N71" s="15"/>
      <c r="O71" s="15"/>
      <c r="P71" s="15"/>
      <c r="Q71" s="15"/>
    </row>
    <row r="72" spans="2:17">
      <c r="B72"/>
      <c r="C72"/>
      <c r="D72"/>
      <c r="E72"/>
      <c r="N72" s="15"/>
      <c r="O72" s="15"/>
      <c r="P72" s="15"/>
      <c r="Q72" s="15"/>
    </row>
    <row r="73" spans="2:17">
      <c r="B73"/>
      <c r="C73"/>
      <c r="D73"/>
      <c r="E73"/>
      <c r="N73" s="15"/>
      <c r="O73" s="15"/>
      <c r="P73" s="15"/>
      <c r="Q73" s="15"/>
    </row>
    <row r="74" spans="2:17">
      <c r="B74"/>
      <c r="C74"/>
      <c r="D74"/>
      <c r="E74"/>
      <c r="N74" s="15"/>
      <c r="O74" s="15"/>
      <c r="P74" s="15"/>
      <c r="Q74" s="15"/>
    </row>
    <row r="75" spans="2:17">
      <c r="B75"/>
      <c r="C75"/>
      <c r="D75"/>
      <c r="E75"/>
      <c r="N75" s="15"/>
      <c r="O75" s="15"/>
      <c r="P75" s="15"/>
      <c r="Q75" s="15"/>
    </row>
  </sheetData>
  <autoFilter ref="K45:L45">
    <sortState ref="K46:L62">
      <sortCondition ref="K45"/>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3:J86"/>
  <sheetViews>
    <sheetView showGridLines="0" topLeftCell="A4" zoomScale="75" zoomScaleNormal="75" workbookViewId="0">
      <selection activeCell="E74" sqref="E74:F74"/>
    </sheetView>
  </sheetViews>
  <sheetFormatPr baseColWidth="10" defaultRowHeight="15"/>
  <cols>
    <col min="2" max="2" width="10.85546875" style="10" customWidth="1"/>
    <col min="3" max="3" width="17.28515625" style="5" bestFit="1" customWidth="1"/>
    <col min="4" max="4" width="20.85546875" customWidth="1"/>
    <col min="5" max="5" width="33.42578125" bestFit="1" customWidth="1"/>
    <col min="6" max="6" width="34.28515625" customWidth="1"/>
    <col min="7" max="7" width="18.5703125" bestFit="1" customWidth="1"/>
    <col min="8" max="8" width="16.28515625" bestFit="1" customWidth="1"/>
    <col min="9" max="10" width="17.28515625" bestFit="1" customWidth="1"/>
  </cols>
  <sheetData>
    <row r="3" spans="2:10">
      <c r="B3" s="14" t="s">
        <v>60</v>
      </c>
      <c r="C3" s="14"/>
      <c r="D3" s="14"/>
      <c r="E3" s="218" t="s">
        <v>61</v>
      </c>
      <c r="F3" s="218"/>
      <c r="G3" s="218"/>
      <c r="H3" s="218"/>
      <c r="I3" s="218"/>
      <c r="J3" s="218"/>
    </row>
    <row r="5" spans="2:10">
      <c r="B5" s="9" t="s">
        <v>50</v>
      </c>
      <c r="C5" s="7" t="s">
        <v>51</v>
      </c>
      <c r="E5" s="9" t="s">
        <v>1</v>
      </c>
      <c r="F5" s="9" t="s">
        <v>53</v>
      </c>
      <c r="G5" s="11">
        <v>7637</v>
      </c>
      <c r="H5" s="11">
        <v>7655</v>
      </c>
      <c r="I5" s="11">
        <v>7658</v>
      </c>
      <c r="J5" s="9" t="s">
        <v>55</v>
      </c>
    </row>
    <row r="6" spans="2:10">
      <c r="B6" s="1">
        <v>7658</v>
      </c>
      <c r="C6" s="4">
        <v>32529175840</v>
      </c>
      <c r="E6" s="211" t="s">
        <v>46</v>
      </c>
      <c r="F6" s="211"/>
      <c r="G6" s="4"/>
      <c r="H6" s="4">
        <v>596500000</v>
      </c>
      <c r="I6" s="4"/>
      <c r="J6" s="4">
        <v>596500000</v>
      </c>
    </row>
    <row r="7" spans="2:10">
      <c r="B7" s="1">
        <v>7655</v>
      </c>
      <c r="C7" s="4">
        <v>6691034160</v>
      </c>
      <c r="E7" s="211" t="s">
        <v>45</v>
      </c>
      <c r="F7" s="211"/>
      <c r="G7" s="4"/>
      <c r="H7" s="4">
        <v>403500000</v>
      </c>
      <c r="I7" s="4"/>
      <c r="J7" s="4">
        <v>403500000</v>
      </c>
    </row>
    <row r="8" spans="2:10">
      <c r="B8" s="1">
        <v>7637</v>
      </c>
      <c r="C8" s="4">
        <v>3299800000</v>
      </c>
      <c r="E8" s="211" t="s">
        <v>37</v>
      </c>
      <c r="F8" s="211"/>
      <c r="G8" s="4">
        <v>3299800000</v>
      </c>
      <c r="H8" s="4">
        <v>900200000</v>
      </c>
      <c r="I8" s="4"/>
      <c r="J8" s="4">
        <v>4200000000</v>
      </c>
    </row>
    <row r="9" spans="2:10">
      <c r="B9" s="9" t="s">
        <v>52</v>
      </c>
      <c r="C9" s="8">
        <v>42520010000</v>
      </c>
      <c r="E9" s="211" t="s">
        <v>47</v>
      </c>
      <c r="F9" s="211"/>
      <c r="G9" s="4"/>
      <c r="H9" s="4">
        <v>432858000</v>
      </c>
      <c r="I9" s="4"/>
      <c r="J9" s="4">
        <v>432858000</v>
      </c>
    </row>
    <row r="10" spans="2:10">
      <c r="E10" s="211" t="s">
        <v>33</v>
      </c>
      <c r="F10" s="211"/>
      <c r="G10" s="4"/>
      <c r="H10" s="4">
        <v>323006000</v>
      </c>
      <c r="I10" s="4"/>
      <c r="J10" s="4">
        <v>323006000</v>
      </c>
    </row>
    <row r="11" spans="2:10">
      <c r="E11" s="211" t="s">
        <v>29</v>
      </c>
      <c r="F11" s="211"/>
      <c r="G11" s="4"/>
      <c r="H11" s="4">
        <v>1200000000</v>
      </c>
      <c r="I11" s="4"/>
      <c r="J11" s="4">
        <v>1200000000</v>
      </c>
    </row>
    <row r="12" spans="2:10">
      <c r="E12" s="211" t="s">
        <v>4</v>
      </c>
      <c r="F12" s="211"/>
      <c r="G12" s="4"/>
      <c r="H12" s="4">
        <v>2214252160</v>
      </c>
      <c r="I12" s="4">
        <v>7786929840</v>
      </c>
      <c r="J12" s="4">
        <v>10001182000</v>
      </c>
    </row>
    <row r="13" spans="2:10">
      <c r="E13" s="211" t="s">
        <v>30</v>
      </c>
      <c r="F13" s="211"/>
      <c r="G13" s="4"/>
      <c r="H13" s="4">
        <v>170000000</v>
      </c>
      <c r="I13" s="4">
        <v>3730000000</v>
      </c>
      <c r="J13" s="4">
        <v>3900000000</v>
      </c>
    </row>
    <row r="14" spans="2:10">
      <c r="E14" s="211" t="s">
        <v>34</v>
      </c>
      <c r="F14" s="211"/>
      <c r="G14" s="4"/>
      <c r="H14" s="4">
        <v>450718000</v>
      </c>
      <c r="I14" s="4">
        <v>1449282000</v>
      </c>
      <c r="J14" s="4">
        <v>1900000000</v>
      </c>
    </row>
    <row r="15" spans="2:10">
      <c r="E15" s="211" t="s">
        <v>20</v>
      </c>
      <c r="F15" s="211"/>
      <c r="G15" s="4"/>
      <c r="H15" s="4"/>
      <c r="I15" s="4">
        <v>10011982000</v>
      </c>
      <c r="J15" s="4">
        <v>10011982000</v>
      </c>
    </row>
    <row r="16" spans="2:10">
      <c r="E16" s="211" t="s">
        <v>48</v>
      </c>
      <c r="F16" s="211"/>
      <c r="G16" s="4"/>
      <c r="H16" s="4"/>
      <c r="I16" s="4">
        <v>9550982000</v>
      </c>
      <c r="J16" s="4">
        <v>9550982000</v>
      </c>
    </row>
    <row r="17" spans="3:10">
      <c r="E17" s="213" t="s">
        <v>54</v>
      </c>
      <c r="F17" s="214"/>
      <c r="G17" s="8">
        <v>3299800000</v>
      </c>
      <c r="H17" s="8">
        <v>6691034160</v>
      </c>
      <c r="I17" s="8">
        <v>32529175840</v>
      </c>
      <c r="J17" s="8">
        <v>42520010000</v>
      </c>
    </row>
    <row r="20" spans="3:10">
      <c r="C20" s="215" t="s">
        <v>63</v>
      </c>
      <c r="D20" s="215"/>
      <c r="E20" s="215"/>
      <c r="F20" s="215"/>
      <c r="G20" s="215"/>
    </row>
    <row r="22" spans="3:10">
      <c r="C22" s="12" t="s">
        <v>64</v>
      </c>
    </row>
    <row r="23" spans="3:10">
      <c r="C23" s="9" t="s">
        <v>56</v>
      </c>
      <c r="D23" s="13" t="s">
        <v>57</v>
      </c>
      <c r="E23" s="212" t="s">
        <v>1</v>
      </c>
      <c r="F23" s="212"/>
      <c r="G23" s="9" t="s">
        <v>58</v>
      </c>
    </row>
    <row r="24" spans="3:10">
      <c r="C24" s="3" t="s">
        <v>36</v>
      </c>
      <c r="D24" s="6" t="s">
        <v>35</v>
      </c>
      <c r="E24" s="211" t="s">
        <v>34</v>
      </c>
      <c r="F24" s="211"/>
      <c r="G24" s="4">
        <v>1449282000</v>
      </c>
    </row>
    <row r="25" spans="3:10">
      <c r="C25" s="3" t="s">
        <v>32</v>
      </c>
      <c r="D25" s="6" t="s">
        <v>31</v>
      </c>
      <c r="E25" s="211" t="s">
        <v>30</v>
      </c>
      <c r="F25" s="211"/>
      <c r="G25" s="4">
        <v>3730000000</v>
      </c>
    </row>
    <row r="26" spans="3:10">
      <c r="C26" s="3" t="s">
        <v>7</v>
      </c>
      <c r="D26" s="6" t="s">
        <v>10</v>
      </c>
      <c r="E26" s="211" t="s">
        <v>4</v>
      </c>
      <c r="F26" s="211"/>
      <c r="G26" s="4">
        <v>2822768000</v>
      </c>
    </row>
    <row r="27" spans="3:10">
      <c r="C27" s="3" t="s">
        <v>7</v>
      </c>
      <c r="D27" s="6" t="s">
        <v>49</v>
      </c>
      <c r="E27" s="211" t="s">
        <v>48</v>
      </c>
      <c r="F27" s="211"/>
      <c r="G27" s="4">
        <v>9550982000</v>
      </c>
    </row>
    <row r="28" spans="3:10">
      <c r="C28" s="3" t="s">
        <v>7</v>
      </c>
      <c r="D28" s="6" t="s">
        <v>24</v>
      </c>
      <c r="E28" s="211" t="s">
        <v>20</v>
      </c>
      <c r="F28" s="211"/>
      <c r="G28" s="4">
        <v>2028491000</v>
      </c>
    </row>
    <row r="29" spans="3:10">
      <c r="C29" s="3" t="s">
        <v>7</v>
      </c>
      <c r="D29" s="6" t="s">
        <v>22</v>
      </c>
      <c r="E29" s="211" t="s">
        <v>20</v>
      </c>
      <c r="F29" s="211"/>
      <c r="G29" s="4">
        <v>7983491000</v>
      </c>
    </row>
    <row r="30" spans="3:10">
      <c r="C30" s="3" t="s">
        <v>19</v>
      </c>
      <c r="D30" s="6" t="s">
        <v>18</v>
      </c>
      <c r="E30" s="211" t="s">
        <v>4</v>
      </c>
      <c r="F30" s="211"/>
      <c r="G30" s="4">
        <v>100000000</v>
      </c>
    </row>
    <row r="31" spans="3:10">
      <c r="C31" s="3" t="s">
        <v>16</v>
      </c>
      <c r="D31" s="6" t="s">
        <v>15</v>
      </c>
      <c r="E31" s="211" t="s">
        <v>4</v>
      </c>
      <c r="F31" s="211"/>
      <c r="G31" s="4">
        <v>4864161840</v>
      </c>
    </row>
    <row r="32" spans="3:10">
      <c r="C32" s="213" t="s">
        <v>28</v>
      </c>
      <c r="D32" s="217"/>
      <c r="E32" s="217"/>
      <c r="F32" s="214"/>
      <c r="G32" s="8">
        <f>SUM(G24:G31)</f>
        <v>32529175840</v>
      </c>
    </row>
    <row r="34" spans="3:7">
      <c r="C34" s="12" t="s">
        <v>65</v>
      </c>
    </row>
    <row r="35" spans="3:7">
      <c r="C35" s="9" t="s">
        <v>56</v>
      </c>
      <c r="D35" s="13" t="s">
        <v>57</v>
      </c>
      <c r="E35" s="212" t="s">
        <v>1</v>
      </c>
      <c r="F35" s="212"/>
      <c r="G35" s="9" t="s">
        <v>58</v>
      </c>
    </row>
    <row r="36" spans="3:7">
      <c r="C36" s="6" t="s">
        <v>17</v>
      </c>
      <c r="D36" s="2" t="s">
        <v>6</v>
      </c>
      <c r="E36" s="211" t="s">
        <v>46</v>
      </c>
      <c r="F36" s="211"/>
      <c r="G36" s="2">
        <v>596500000</v>
      </c>
    </row>
    <row r="37" spans="3:7">
      <c r="C37" s="6" t="s">
        <v>17</v>
      </c>
      <c r="D37" s="2" t="s">
        <v>6</v>
      </c>
      <c r="E37" s="211" t="s">
        <v>45</v>
      </c>
      <c r="F37" s="211"/>
      <c r="G37" s="2">
        <v>403500000</v>
      </c>
    </row>
    <row r="38" spans="3:7">
      <c r="C38" s="6" t="s">
        <v>17</v>
      </c>
      <c r="D38" s="2" t="s">
        <v>6</v>
      </c>
      <c r="E38" s="211" t="s">
        <v>37</v>
      </c>
      <c r="F38" s="211"/>
      <c r="G38" s="2">
        <v>900200000</v>
      </c>
    </row>
    <row r="39" spans="3:7">
      <c r="C39" s="6" t="s">
        <v>17</v>
      </c>
      <c r="D39" s="2" t="s">
        <v>6</v>
      </c>
      <c r="E39" s="211" t="s">
        <v>47</v>
      </c>
      <c r="F39" s="211"/>
      <c r="G39" s="2">
        <v>432858000</v>
      </c>
    </row>
    <row r="40" spans="3:7">
      <c r="C40" s="6" t="s">
        <v>17</v>
      </c>
      <c r="D40" s="2" t="s">
        <v>6</v>
      </c>
      <c r="E40" s="211" t="s">
        <v>33</v>
      </c>
      <c r="F40" s="211"/>
      <c r="G40" s="2">
        <v>323006000</v>
      </c>
    </row>
    <row r="41" spans="3:7">
      <c r="C41" s="6" t="s">
        <v>17</v>
      </c>
      <c r="D41" s="2" t="s">
        <v>6</v>
      </c>
      <c r="E41" s="211" t="s">
        <v>29</v>
      </c>
      <c r="F41" s="211"/>
      <c r="G41" s="2">
        <v>1200000000</v>
      </c>
    </row>
    <row r="42" spans="3:7">
      <c r="C42" s="6" t="s">
        <v>17</v>
      </c>
      <c r="D42" s="2" t="s">
        <v>6</v>
      </c>
      <c r="E42" s="211" t="s">
        <v>4</v>
      </c>
      <c r="F42" s="211"/>
      <c r="G42" s="2">
        <v>2214252160</v>
      </c>
    </row>
    <row r="43" spans="3:7">
      <c r="C43" s="6" t="s">
        <v>17</v>
      </c>
      <c r="D43" s="2" t="s">
        <v>6</v>
      </c>
      <c r="E43" s="211" t="s">
        <v>30</v>
      </c>
      <c r="F43" s="211"/>
      <c r="G43" s="2">
        <v>170000000</v>
      </c>
    </row>
    <row r="44" spans="3:7">
      <c r="C44" s="6" t="s">
        <v>17</v>
      </c>
      <c r="D44" s="2" t="s">
        <v>6</v>
      </c>
      <c r="E44" s="211" t="s">
        <v>34</v>
      </c>
      <c r="F44" s="211"/>
      <c r="G44" s="2">
        <v>450718000</v>
      </c>
    </row>
    <row r="45" spans="3:7">
      <c r="C45" s="213" t="s">
        <v>28</v>
      </c>
      <c r="D45" s="217"/>
      <c r="E45" s="217"/>
      <c r="F45" s="214"/>
      <c r="G45" s="8">
        <f>SUM(G36:G44)</f>
        <v>6691034160</v>
      </c>
    </row>
    <row r="47" spans="3:7">
      <c r="C47" s="12" t="s">
        <v>66</v>
      </c>
    </row>
    <row r="48" spans="3:7">
      <c r="C48" s="9" t="s">
        <v>56</v>
      </c>
      <c r="D48" s="13" t="s">
        <v>57</v>
      </c>
      <c r="E48" s="212" t="s">
        <v>1</v>
      </c>
      <c r="F48" s="212"/>
      <c r="G48" s="9" t="s">
        <v>58</v>
      </c>
    </row>
    <row r="49" spans="3:7">
      <c r="C49" s="6" t="s">
        <v>40</v>
      </c>
      <c r="D49" s="2" t="s">
        <v>42</v>
      </c>
      <c r="E49" s="211" t="s">
        <v>37</v>
      </c>
      <c r="F49" s="211"/>
      <c r="G49" s="6">
        <v>575315000</v>
      </c>
    </row>
    <row r="50" spans="3:7">
      <c r="C50" s="6" t="s">
        <v>40</v>
      </c>
      <c r="D50" s="2" t="s">
        <v>39</v>
      </c>
      <c r="E50" s="211" t="s">
        <v>37</v>
      </c>
      <c r="F50" s="211"/>
      <c r="G50" s="6">
        <v>2724485000</v>
      </c>
    </row>
    <row r="51" spans="3:7">
      <c r="C51" s="213" t="s">
        <v>28</v>
      </c>
      <c r="D51" s="217"/>
      <c r="E51" s="217"/>
      <c r="F51" s="214"/>
      <c r="G51" s="7">
        <f>SUM(G49:G50)</f>
        <v>3299800000</v>
      </c>
    </row>
    <row r="54" spans="3:7">
      <c r="C54" s="14"/>
      <c r="D54" s="14"/>
      <c r="E54" s="218" t="s">
        <v>59</v>
      </c>
      <c r="F54" s="218"/>
      <c r="G54" s="218"/>
    </row>
    <row r="56" spans="3:7">
      <c r="E56" s="12" t="s">
        <v>64</v>
      </c>
    </row>
    <row r="57" spans="3:7">
      <c r="E57" s="212" t="s">
        <v>62</v>
      </c>
      <c r="F57" s="212"/>
      <c r="G57" s="9" t="s">
        <v>58</v>
      </c>
    </row>
    <row r="58" spans="3:7">
      <c r="E58" s="216" t="s">
        <v>11</v>
      </c>
      <c r="F58" s="216"/>
      <c r="G58" s="6">
        <v>2490000000</v>
      </c>
    </row>
    <row r="59" spans="3:7">
      <c r="E59" s="216" t="s">
        <v>23</v>
      </c>
      <c r="F59" s="216"/>
      <c r="G59" s="6">
        <v>1400000000</v>
      </c>
    </row>
    <row r="60" spans="3:7">
      <c r="E60" s="216" t="s">
        <v>27</v>
      </c>
      <c r="F60" s="216"/>
      <c r="G60" s="6">
        <v>60000000</v>
      </c>
    </row>
    <row r="61" spans="3:7">
      <c r="E61" s="216" t="s">
        <v>12</v>
      </c>
      <c r="F61" s="216"/>
      <c r="G61" s="6">
        <v>12229155840</v>
      </c>
    </row>
    <row r="62" spans="3:7">
      <c r="E62" s="216" t="s">
        <v>25</v>
      </c>
      <c r="F62" s="216"/>
      <c r="G62" s="6">
        <v>375000000</v>
      </c>
    </row>
    <row r="63" spans="3:7">
      <c r="E63" s="216" t="s">
        <v>8</v>
      </c>
      <c r="F63" s="216"/>
      <c r="G63" s="6">
        <v>92758400</v>
      </c>
    </row>
    <row r="64" spans="3:7">
      <c r="E64" s="216" t="s">
        <v>26</v>
      </c>
      <c r="F64" s="216"/>
      <c r="G64" s="6">
        <v>120000000</v>
      </c>
    </row>
    <row r="65" spans="5:7">
      <c r="E65" s="216" t="s">
        <v>5</v>
      </c>
      <c r="F65" s="216"/>
      <c r="G65" s="6">
        <v>10259061600</v>
      </c>
    </row>
    <row r="66" spans="5:7">
      <c r="E66" s="216" t="s">
        <v>14</v>
      </c>
      <c r="F66" s="216"/>
      <c r="G66" s="6">
        <v>500000000</v>
      </c>
    </row>
    <row r="67" spans="5:7">
      <c r="E67" s="216" t="s">
        <v>13</v>
      </c>
      <c r="F67" s="216"/>
      <c r="G67" s="6">
        <v>100000000</v>
      </c>
    </row>
    <row r="68" spans="5:7">
      <c r="E68" s="216" t="s">
        <v>21</v>
      </c>
      <c r="F68" s="216"/>
      <c r="G68" s="6">
        <v>4350000000</v>
      </c>
    </row>
    <row r="69" spans="5:7">
      <c r="E69" s="216" t="s">
        <v>9</v>
      </c>
      <c r="F69" s="216"/>
      <c r="G69" s="6">
        <v>553200000</v>
      </c>
    </row>
    <row r="70" spans="5:7">
      <c r="E70" s="219" t="s">
        <v>28</v>
      </c>
      <c r="F70" s="219"/>
      <c r="G70" s="7">
        <f>SUM(G58:G69)</f>
        <v>32529175840</v>
      </c>
    </row>
    <row r="72" spans="5:7">
      <c r="E72" s="12" t="s">
        <v>65</v>
      </c>
    </row>
    <row r="73" spans="5:7">
      <c r="E73" s="212" t="s">
        <v>62</v>
      </c>
      <c r="F73" s="212"/>
      <c r="G73" s="9" t="s">
        <v>58</v>
      </c>
    </row>
    <row r="74" spans="5:7">
      <c r="E74" s="216" t="s">
        <v>8</v>
      </c>
      <c r="F74" s="216"/>
      <c r="G74" s="6">
        <v>1177022750</v>
      </c>
    </row>
    <row r="75" spans="5:7">
      <c r="E75" s="216" t="s">
        <v>5</v>
      </c>
      <c r="F75" s="216"/>
      <c r="G75" s="6">
        <v>5514011410</v>
      </c>
    </row>
    <row r="76" spans="5:7">
      <c r="E76" s="219" t="s">
        <v>28</v>
      </c>
      <c r="F76" s="219"/>
      <c r="G76" s="7">
        <f>SUM(G74:G75)</f>
        <v>6691034160</v>
      </c>
    </row>
    <row r="79" spans="5:7">
      <c r="E79" s="12" t="s">
        <v>66</v>
      </c>
    </row>
    <row r="80" spans="5:7">
      <c r="E80" s="212" t="s">
        <v>62</v>
      </c>
      <c r="F80" s="212"/>
      <c r="G80" s="9" t="s">
        <v>58</v>
      </c>
    </row>
    <row r="81" spans="5:7">
      <c r="E81" s="2" t="s">
        <v>44</v>
      </c>
      <c r="F81" s="2"/>
      <c r="G81" s="6">
        <v>60000000</v>
      </c>
    </row>
    <row r="82" spans="5:7">
      <c r="E82" s="2" t="s">
        <v>43</v>
      </c>
      <c r="F82" s="2"/>
      <c r="G82" s="6">
        <v>100000000</v>
      </c>
    </row>
    <row r="83" spans="5:7">
      <c r="E83" s="2" t="s">
        <v>41</v>
      </c>
      <c r="F83" s="2"/>
      <c r="G83" s="6">
        <v>1103500000</v>
      </c>
    </row>
    <row r="84" spans="5:7">
      <c r="E84" s="2" t="s">
        <v>38</v>
      </c>
      <c r="F84" s="2"/>
      <c r="G84" s="6">
        <v>1015756100</v>
      </c>
    </row>
    <row r="85" spans="5:7">
      <c r="E85" s="2" t="s">
        <v>5</v>
      </c>
      <c r="F85" s="2"/>
      <c r="G85" s="6">
        <v>1020543900</v>
      </c>
    </row>
    <row r="86" spans="5:7">
      <c r="E86" s="219" t="s">
        <v>28</v>
      </c>
      <c r="F86" s="219"/>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VR9 -2024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Juan David Garzón Burbano</cp:lastModifiedBy>
  <cp:lastPrinted>2024-06-25T20:21:52Z</cp:lastPrinted>
  <dcterms:created xsi:type="dcterms:W3CDTF">2023-10-09T19:40:49Z</dcterms:created>
  <dcterms:modified xsi:type="dcterms:W3CDTF">2024-11-26T21:18:18Z</dcterms:modified>
</cp:coreProperties>
</file>