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hidePivotFieldList="1"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5/PAA 2025 BOGOTA CAMINA SEGURA/MODIF PAA VR 3 A VR 4 - 2025 UAECOB/"/>
    </mc:Choice>
  </mc:AlternateContent>
  <xr:revisionPtr revIDLastSave="110" documentId="13_ncr:1_{0C788509-F53F-4C0C-88DD-A732EEB503B8}" xr6:coauthVersionLast="47" xr6:coauthVersionMax="47" xr10:uidLastSave="{ECE4DC7F-3D22-4AE6-82C2-6DEFF32C20AF}"/>
  <bookViews>
    <workbookView xWindow="-110" yWindow="-110" windowWidth="19420" windowHeight="10420" tabRatio="702" firstSheet="1" activeTab="1" xr2:uid="{00000000-000D-0000-FFFF-FFFF00000000}"/>
  </bookViews>
  <sheets>
    <sheet name="Hoja1" sheetId="13" state="hidden" r:id="rId1"/>
    <sheet name="PAA VR4 -2025 UAECOB BCS" sheetId="1" r:id="rId2"/>
    <sheet name="Control PAA Vr0" sheetId="9" state="hidden" r:id="rId3"/>
    <sheet name="Distribución Pptal Inv" sheetId="6" state="hidden" r:id="rId4"/>
    <sheet name="TD" sheetId="4" state="hidden" r:id="rId5"/>
    <sheet name="resumen" sheetId="2" state="hidden" r:id="rId6"/>
  </sheets>
  <externalReferences>
    <externalReference r:id="rId7"/>
    <externalReference r:id="rId8"/>
  </externalReferences>
  <definedNames>
    <definedName name="_xlnm._FilterDatabase" localSheetId="1" hidden="1">'PAA VR4 -2025 UAECOB BCS'!$B$10:$AC$832</definedName>
    <definedName name="_xlnm._FilterDatabase" localSheetId="4" hidden="1">TD!$K$45:$L$45</definedName>
    <definedName name="Sec_Prog_MGA">[1]MGA!$A$7990:$A$8085</definedName>
  </definedNames>
  <calcPr calcId="191029"/>
  <pivotCaches>
    <pivotCache cacheId="4" r:id="rId9"/>
    <pivotCache cacheId="5"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5" i="1" l="1"/>
  <c r="L440" i="1" l="1"/>
  <c r="L263" i="1"/>
  <c r="L262" i="1"/>
  <c r="L638" i="1"/>
  <c r="L637" i="1"/>
  <c r="L636" i="1"/>
  <c r="L634" i="1"/>
  <c r="L609" i="1" l="1"/>
  <c r="L497" i="1" l="1"/>
  <c r="L496" i="1"/>
  <c r="L494" i="1"/>
  <c r="L489" i="1"/>
  <c r="L484" i="1"/>
  <c r="L483" i="1"/>
  <c r="L481" i="1"/>
  <c r="L479" i="1"/>
  <c r="L478" i="1"/>
  <c r="L477" i="1"/>
  <c r="L396" i="1"/>
  <c r="L633" i="1" l="1"/>
  <c r="L340" i="1"/>
  <c r="L339" i="1"/>
  <c r="L154" i="1" l="1"/>
  <c r="L153" i="1"/>
  <c r="L149" i="1"/>
  <c r="L146" i="1"/>
  <c r="L145" i="1"/>
  <c r="L548" i="1" l="1"/>
  <c r="L99" i="1"/>
  <c r="L98" i="1"/>
  <c r="L95" i="1"/>
  <c r="L467" i="1" l="1"/>
  <c r="L480" i="1"/>
  <c r="L391" i="1" l="1"/>
  <c r="L601" i="1"/>
  <c r="L78" i="1"/>
  <c r="L254" i="1" l="1"/>
  <c r="L253" i="1"/>
  <c r="L540" i="1" l="1"/>
  <c r="L476" i="1"/>
  <c r="S4" i="1" s="1"/>
  <c r="L423" i="1" l="1"/>
  <c r="L422" i="1"/>
  <c r="L419" i="1"/>
  <c r="L418" i="1"/>
  <c r="L417" i="1"/>
  <c r="L416" i="1"/>
  <c r="L415" i="1"/>
  <c r="L414" i="1"/>
  <c r="L413" i="1"/>
  <c r="L412" i="1"/>
  <c r="L411" i="1"/>
  <c r="L409" i="1"/>
  <c r="L408" i="1"/>
  <c r="L407" i="1"/>
  <c r="L405" i="1"/>
  <c r="L404" i="1"/>
  <c r="L403" i="1"/>
  <c r="L402" i="1"/>
  <c r="L401" i="1"/>
  <c r="L400" i="1"/>
  <c r="L398" i="1"/>
  <c r="L28" i="1"/>
  <c r="L33" i="1"/>
  <c r="L42" i="1"/>
  <c r="L41" i="1"/>
  <c r="L35" i="1"/>
  <c r="L26" i="1"/>
  <c r="L25" i="1"/>
  <c r="L92" i="1" l="1"/>
  <c r="L23" i="1"/>
  <c r="L22" i="1"/>
  <c r="L20" i="1"/>
  <c r="L109" i="1" l="1"/>
  <c r="L133" i="1" l="1"/>
  <c r="L141" i="1"/>
  <c r="L140" i="1"/>
  <c r="L137" i="1"/>
  <c r="L136" i="1"/>
  <c r="L132" i="1"/>
  <c r="L131" i="1"/>
  <c r="L129" i="1"/>
  <c r="L125" i="1"/>
  <c r="L123" i="1" l="1"/>
  <c r="L120" i="1"/>
  <c r="L116" i="1"/>
  <c r="L111" i="1"/>
  <c r="L107" i="1"/>
  <c r="L142" i="1" l="1"/>
  <c r="L143" i="1"/>
  <c r="L139" i="1"/>
  <c r="L138" i="1"/>
  <c r="L135" i="1"/>
  <c r="L134" i="1"/>
  <c r="L128" i="1" l="1"/>
  <c r="L127" i="1"/>
  <c r="L126" i="1"/>
  <c r="L124" i="1"/>
  <c r="L122" i="1"/>
  <c r="L121" i="1"/>
  <c r="L119" i="1"/>
  <c r="L118" i="1"/>
  <c r="L117" i="1"/>
  <c r="L115" i="1"/>
  <c r="L112" i="1"/>
  <c r="L110" i="1"/>
  <c r="L108" i="1"/>
  <c r="B552" i="1"/>
  <c r="B553" i="1" s="1"/>
  <c r="B554" i="1" s="1"/>
  <c r="B555" i="1" s="1"/>
  <c r="B556" i="1" s="1"/>
  <c r="B557" i="1" s="1"/>
  <c r="P5" i="1" l="1"/>
  <c r="L285" i="1"/>
  <c r="L284" i="1"/>
  <c r="L282" i="1"/>
  <c r="L281" i="1"/>
  <c r="L280" i="1"/>
  <c r="L279" i="1"/>
  <c r="L278" i="1"/>
  <c r="L277" i="1"/>
  <c r="L276" i="1"/>
  <c r="L275" i="1"/>
  <c r="L274" i="1"/>
  <c r="L273" i="1"/>
  <c r="L272" i="1"/>
  <c r="L271" i="1"/>
  <c r="L270" i="1"/>
  <c r="L269" i="1"/>
  <c r="L268" i="1"/>
  <c r="L267" i="1"/>
  <c r="L266" i="1"/>
  <c r="L265" i="1"/>
  <c r="L261" i="1"/>
  <c r="L260" i="1"/>
  <c r="L259" i="1"/>
  <c r="L258" i="1"/>
  <c r="L257" i="1"/>
  <c r="L256" i="1"/>
  <c r="L255" i="1"/>
  <c r="L251" i="1"/>
  <c r="L250" i="1"/>
  <c r="L249" i="1"/>
  <c r="L248" i="1"/>
  <c r="L247" i="1"/>
  <c r="L246" i="1"/>
  <c r="L245" i="1"/>
  <c r="L244" i="1"/>
  <c r="L243" i="1"/>
  <c r="L242" i="1"/>
  <c r="L241" i="1"/>
  <c r="L240" i="1"/>
  <c r="L239" i="1"/>
  <c r="L238" i="1"/>
  <c r="L237" i="1"/>
  <c r="L235" i="1"/>
  <c r="L234" i="1"/>
  <c r="L229" i="1"/>
  <c r="L106" i="1" l="1"/>
  <c r="L105" i="1"/>
  <c r="L104" i="1"/>
  <c r="L103" i="1"/>
  <c r="L101" i="1"/>
  <c r="L97" i="1"/>
  <c r="L88" i="1"/>
  <c r="L85" i="1"/>
  <c r="L84" i="1"/>
  <c r="P4" i="1" s="1"/>
  <c r="T540" i="1" l="1"/>
  <c r="T488" i="1"/>
  <c r="T487" i="1"/>
  <c r="T486" i="1"/>
  <c r="T485" i="1"/>
  <c r="T484" i="1"/>
  <c r="T483" i="1"/>
  <c r="T482" i="1"/>
  <c r="T481" i="1"/>
  <c r="T480" i="1"/>
  <c r="T479" i="1"/>
  <c r="T478" i="1"/>
  <c r="T477" i="1"/>
  <c r="T476" i="1"/>
  <c r="T475" i="1"/>
  <c r="T474" i="1"/>
  <c r="T473" i="1"/>
  <c r="T472" i="1"/>
  <c r="T471" i="1"/>
  <c r="T470" i="1"/>
  <c r="T469" i="1"/>
  <c r="T468" i="1"/>
  <c r="T467" i="1"/>
  <c r="T341" i="1"/>
  <c r="T225" i="1"/>
  <c r="T158" i="1"/>
  <c r="T157" i="1"/>
  <c r="T156" i="1"/>
  <c r="W540" i="1"/>
  <c r="W488" i="1"/>
  <c r="W487" i="1"/>
  <c r="W486" i="1"/>
  <c r="W485" i="1"/>
  <c r="W484" i="1"/>
  <c r="W483" i="1"/>
  <c r="W482" i="1"/>
  <c r="W481" i="1"/>
  <c r="W480" i="1"/>
  <c r="W479" i="1"/>
  <c r="W478" i="1"/>
  <c r="W477" i="1"/>
  <c r="W476" i="1"/>
  <c r="W475" i="1"/>
  <c r="W474" i="1"/>
  <c r="W473" i="1"/>
  <c r="W472" i="1"/>
  <c r="W471" i="1"/>
  <c r="W470" i="1"/>
  <c r="W469" i="1"/>
  <c r="W468" i="1"/>
  <c r="W467" i="1"/>
  <c r="W341" i="1"/>
  <c r="W225" i="1"/>
  <c r="W158" i="1"/>
  <c r="W157" i="1"/>
  <c r="W156" i="1"/>
  <c r="W397" i="1" l="1"/>
  <c r="P341" i="1" l="1"/>
  <c r="Q341" i="1"/>
  <c r="R341" i="1"/>
  <c r="U341" i="1"/>
  <c r="X341" i="1"/>
  <c r="Z341" i="1" l="1"/>
  <c r="Y341" i="1"/>
  <c r="AA341" i="1" s="1"/>
  <c r="P225" i="1" l="1"/>
  <c r="Q225" i="1"/>
  <c r="R225" i="1"/>
  <c r="U225" i="1"/>
  <c r="X225" i="1"/>
  <c r="Z225" i="1" l="1"/>
  <c r="Y225" i="1"/>
  <c r="AA225" i="1" s="1"/>
  <c r="P11" i="1" l="1"/>
  <c r="Q11" i="1"/>
  <c r="R11" i="1"/>
  <c r="T11" i="1"/>
  <c r="P12" i="1"/>
  <c r="Q12" i="1"/>
  <c r="R12" i="1"/>
  <c r="T12" i="1"/>
  <c r="P13" i="1"/>
  <c r="Q13" i="1"/>
  <c r="R13" i="1"/>
  <c r="T13" i="1"/>
  <c r="P14" i="1"/>
  <c r="Q14" i="1"/>
  <c r="R14" i="1"/>
  <c r="T14" i="1"/>
  <c r="P15" i="1"/>
  <c r="Q15" i="1"/>
  <c r="R15" i="1"/>
  <c r="T15" i="1"/>
  <c r="P16" i="1"/>
  <c r="Q16" i="1"/>
  <c r="R16" i="1"/>
  <c r="T16" i="1"/>
  <c r="P17" i="1"/>
  <c r="Q17" i="1"/>
  <c r="R17" i="1"/>
  <c r="T17" i="1"/>
  <c r="P18" i="1"/>
  <c r="Q18" i="1"/>
  <c r="R18" i="1"/>
  <c r="T18" i="1"/>
  <c r="P19" i="1"/>
  <c r="Q19" i="1"/>
  <c r="R19" i="1"/>
  <c r="T19" i="1"/>
  <c r="P20" i="1"/>
  <c r="Q20" i="1"/>
  <c r="R20" i="1"/>
  <c r="T20" i="1"/>
  <c r="P21" i="1"/>
  <c r="Q21" i="1"/>
  <c r="R21" i="1"/>
  <c r="T21" i="1"/>
  <c r="P22" i="1"/>
  <c r="Q22" i="1"/>
  <c r="R22" i="1"/>
  <c r="T22" i="1"/>
  <c r="P23" i="1"/>
  <c r="Q23" i="1"/>
  <c r="R23" i="1"/>
  <c r="T23" i="1"/>
  <c r="P24" i="1"/>
  <c r="Q24" i="1"/>
  <c r="R24" i="1"/>
  <c r="T24" i="1"/>
  <c r="P25" i="1"/>
  <c r="Q25" i="1"/>
  <c r="R25" i="1"/>
  <c r="T25" i="1"/>
  <c r="P26" i="1"/>
  <c r="Q26" i="1"/>
  <c r="R26" i="1"/>
  <c r="T26" i="1"/>
  <c r="P27" i="1"/>
  <c r="Q27" i="1"/>
  <c r="R27" i="1"/>
  <c r="T27" i="1"/>
  <c r="P28" i="1"/>
  <c r="Q28" i="1"/>
  <c r="R28" i="1"/>
  <c r="T28" i="1"/>
  <c r="P29" i="1"/>
  <c r="Q29" i="1"/>
  <c r="R29" i="1"/>
  <c r="T29" i="1"/>
  <c r="P30" i="1"/>
  <c r="Q30" i="1"/>
  <c r="R30" i="1"/>
  <c r="T30" i="1"/>
  <c r="P31" i="1"/>
  <c r="Q31" i="1"/>
  <c r="R31" i="1"/>
  <c r="T31" i="1"/>
  <c r="P32" i="1"/>
  <c r="Q32" i="1"/>
  <c r="R32" i="1"/>
  <c r="T32" i="1"/>
  <c r="P33" i="1"/>
  <c r="Q33" i="1"/>
  <c r="R33" i="1"/>
  <c r="T33" i="1"/>
  <c r="P34" i="1"/>
  <c r="Q34" i="1"/>
  <c r="R34" i="1"/>
  <c r="T34" i="1"/>
  <c r="P35" i="1"/>
  <c r="Q35" i="1"/>
  <c r="R35" i="1"/>
  <c r="T35" i="1"/>
  <c r="P36" i="1"/>
  <c r="Q36" i="1"/>
  <c r="R36" i="1"/>
  <c r="T36" i="1"/>
  <c r="P37" i="1"/>
  <c r="Q37" i="1"/>
  <c r="R37" i="1"/>
  <c r="T37" i="1"/>
  <c r="P38" i="1"/>
  <c r="Q38" i="1"/>
  <c r="R38" i="1"/>
  <c r="T38" i="1"/>
  <c r="P39" i="1"/>
  <c r="Q39" i="1"/>
  <c r="R39" i="1"/>
  <c r="T39" i="1"/>
  <c r="P40" i="1"/>
  <c r="Q40" i="1"/>
  <c r="R40" i="1"/>
  <c r="T40" i="1"/>
  <c r="P41" i="1"/>
  <c r="Q41" i="1"/>
  <c r="R41" i="1"/>
  <c r="T41" i="1"/>
  <c r="P42" i="1"/>
  <c r="Q42" i="1"/>
  <c r="R42" i="1"/>
  <c r="T42" i="1"/>
  <c r="P43" i="1"/>
  <c r="Q43" i="1"/>
  <c r="R43" i="1"/>
  <c r="T43" i="1"/>
  <c r="P44" i="1"/>
  <c r="Q44" i="1"/>
  <c r="R44" i="1"/>
  <c r="T44" i="1"/>
  <c r="P45" i="1"/>
  <c r="Q45" i="1"/>
  <c r="R45" i="1"/>
  <c r="T45" i="1"/>
  <c r="P46" i="1"/>
  <c r="Q46" i="1"/>
  <c r="R46" i="1"/>
  <c r="T46" i="1"/>
  <c r="P47" i="1"/>
  <c r="Q47" i="1"/>
  <c r="R47" i="1"/>
  <c r="T47" i="1"/>
  <c r="P48" i="1"/>
  <c r="Q48" i="1"/>
  <c r="R48" i="1"/>
  <c r="T48" i="1"/>
  <c r="P49" i="1"/>
  <c r="Q49" i="1"/>
  <c r="R49" i="1"/>
  <c r="T49" i="1"/>
  <c r="P50" i="1"/>
  <c r="Q50" i="1"/>
  <c r="R50" i="1"/>
  <c r="T50" i="1"/>
  <c r="P51" i="1"/>
  <c r="Q51" i="1"/>
  <c r="R51" i="1"/>
  <c r="T51" i="1"/>
  <c r="P52" i="1"/>
  <c r="Q52" i="1"/>
  <c r="R52" i="1"/>
  <c r="T52" i="1"/>
  <c r="P53" i="1"/>
  <c r="Q53" i="1"/>
  <c r="R53" i="1"/>
  <c r="T53" i="1"/>
  <c r="P54" i="1"/>
  <c r="Q54" i="1"/>
  <c r="R54" i="1"/>
  <c r="T54" i="1"/>
  <c r="P55" i="1"/>
  <c r="Q55" i="1"/>
  <c r="R55" i="1"/>
  <c r="T55" i="1"/>
  <c r="P56" i="1"/>
  <c r="Q56" i="1"/>
  <c r="R56" i="1"/>
  <c r="T56" i="1"/>
  <c r="P57" i="1"/>
  <c r="Q57" i="1"/>
  <c r="R57" i="1"/>
  <c r="T57" i="1"/>
  <c r="P58" i="1"/>
  <c r="Q58" i="1"/>
  <c r="R58" i="1"/>
  <c r="T58" i="1"/>
  <c r="P59" i="1"/>
  <c r="Q59" i="1"/>
  <c r="R59" i="1"/>
  <c r="T59" i="1"/>
  <c r="P60" i="1"/>
  <c r="Q60" i="1"/>
  <c r="R60" i="1"/>
  <c r="T60" i="1"/>
  <c r="P61" i="1"/>
  <c r="Q61" i="1"/>
  <c r="R61" i="1"/>
  <c r="T61" i="1"/>
  <c r="P62" i="1"/>
  <c r="Q62" i="1"/>
  <c r="R62" i="1"/>
  <c r="T62" i="1"/>
  <c r="P63" i="1"/>
  <c r="Q63" i="1"/>
  <c r="R63" i="1"/>
  <c r="T63" i="1"/>
  <c r="P64" i="1"/>
  <c r="Q64" i="1"/>
  <c r="R64" i="1"/>
  <c r="T64" i="1"/>
  <c r="P65" i="1"/>
  <c r="Q65" i="1"/>
  <c r="R65" i="1"/>
  <c r="T65" i="1"/>
  <c r="P66" i="1"/>
  <c r="Q66" i="1"/>
  <c r="R66" i="1"/>
  <c r="T66" i="1"/>
  <c r="P67" i="1"/>
  <c r="Q67" i="1"/>
  <c r="R67" i="1"/>
  <c r="T67" i="1"/>
  <c r="P68" i="1"/>
  <c r="Q68" i="1"/>
  <c r="R68" i="1"/>
  <c r="T68" i="1"/>
  <c r="P69" i="1"/>
  <c r="Q69" i="1"/>
  <c r="R69" i="1"/>
  <c r="T69" i="1"/>
  <c r="P70" i="1"/>
  <c r="Q70" i="1"/>
  <c r="R70" i="1"/>
  <c r="T70" i="1"/>
  <c r="P71" i="1"/>
  <c r="Q71" i="1"/>
  <c r="R71" i="1"/>
  <c r="T71" i="1"/>
  <c r="P72" i="1"/>
  <c r="Q72" i="1"/>
  <c r="R72" i="1"/>
  <c r="T72" i="1"/>
  <c r="P73" i="1"/>
  <c r="Q73" i="1"/>
  <c r="R73" i="1"/>
  <c r="T73" i="1"/>
  <c r="P74" i="1"/>
  <c r="Q74" i="1"/>
  <c r="R74" i="1"/>
  <c r="T74" i="1"/>
  <c r="P75" i="1"/>
  <c r="Q75" i="1"/>
  <c r="R75" i="1"/>
  <c r="T75" i="1"/>
  <c r="P76" i="1"/>
  <c r="Q76" i="1"/>
  <c r="R76" i="1"/>
  <c r="T76" i="1"/>
  <c r="P77" i="1"/>
  <c r="Q77" i="1"/>
  <c r="R77" i="1"/>
  <c r="T77" i="1"/>
  <c r="P78" i="1"/>
  <c r="Q78" i="1"/>
  <c r="R78" i="1"/>
  <c r="T78" i="1"/>
  <c r="P79" i="1"/>
  <c r="Q79" i="1"/>
  <c r="R79" i="1"/>
  <c r="T79" i="1"/>
  <c r="P80" i="1"/>
  <c r="Q80" i="1"/>
  <c r="R80" i="1"/>
  <c r="T80" i="1"/>
  <c r="P81" i="1"/>
  <c r="Q81" i="1"/>
  <c r="R81" i="1"/>
  <c r="T81" i="1"/>
  <c r="P82" i="1"/>
  <c r="Q82" i="1"/>
  <c r="R82" i="1"/>
  <c r="T82" i="1"/>
  <c r="P83" i="1"/>
  <c r="Q83" i="1"/>
  <c r="R83" i="1"/>
  <c r="T83" i="1"/>
  <c r="P84" i="1"/>
  <c r="Q84" i="1"/>
  <c r="R84" i="1"/>
  <c r="T84" i="1"/>
  <c r="P85" i="1"/>
  <c r="Q85" i="1"/>
  <c r="R85" i="1"/>
  <c r="T85" i="1"/>
  <c r="P86" i="1"/>
  <c r="Q86" i="1"/>
  <c r="R86" i="1"/>
  <c r="T86" i="1"/>
  <c r="P87" i="1"/>
  <c r="Q87" i="1"/>
  <c r="R87" i="1"/>
  <c r="T87" i="1"/>
  <c r="P88" i="1"/>
  <c r="Q88" i="1"/>
  <c r="R88" i="1"/>
  <c r="T88" i="1"/>
  <c r="P89" i="1"/>
  <c r="Q89" i="1"/>
  <c r="R89" i="1"/>
  <c r="T89" i="1"/>
  <c r="P90" i="1"/>
  <c r="Q90" i="1"/>
  <c r="R90" i="1"/>
  <c r="T90" i="1"/>
  <c r="P91" i="1"/>
  <c r="Q91" i="1"/>
  <c r="R91" i="1"/>
  <c r="T91" i="1"/>
  <c r="P92" i="1"/>
  <c r="Q92" i="1"/>
  <c r="R92" i="1"/>
  <c r="T92" i="1"/>
  <c r="P93" i="1"/>
  <c r="Q93" i="1"/>
  <c r="R93" i="1"/>
  <c r="T93" i="1"/>
  <c r="P94" i="1"/>
  <c r="Q94" i="1"/>
  <c r="R94" i="1"/>
  <c r="T94" i="1"/>
  <c r="P95" i="1"/>
  <c r="Q95" i="1"/>
  <c r="R95" i="1"/>
  <c r="T95" i="1"/>
  <c r="P96" i="1"/>
  <c r="Q96" i="1"/>
  <c r="R96" i="1"/>
  <c r="T96" i="1"/>
  <c r="P97" i="1"/>
  <c r="Q97" i="1"/>
  <c r="R97" i="1"/>
  <c r="T97" i="1"/>
  <c r="P98" i="1"/>
  <c r="Q98" i="1"/>
  <c r="R98" i="1"/>
  <c r="T98" i="1"/>
  <c r="P99" i="1"/>
  <c r="Q99" i="1"/>
  <c r="R99" i="1"/>
  <c r="T99" i="1"/>
  <c r="P100" i="1"/>
  <c r="Q100" i="1"/>
  <c r="R100" i="1"/>
  <c r="T100" i="1"/>
  <c r="P101" i="1"/>
  <c r="Q101" i="1"/>
  <c r="R101" i="1"/>
  <c r="T101" i="1"/>
  <c r="P102" i="1"/>
  <c r="Q102" i="1"/>
  <c r="R102" i="1"/>
  <c r="T102" i="1"/>
  <c r="P103" i="1"/>
  <c r="Q103" i="1"/>
  <c r="R103" i="1"/>
  <c r="T103" i="1"/>
  <c r="P104" i="1"/>
  <c r="Q104" i="1"/>
  <c r="R104" i="1"/>
  <c r="T104" i="1"/>
  <c r="P105" i="1"/>
  <c r="Q105" i="1"/>
  <c r="R105" i="1"/>
  <c r="T105" i="1"/>
  <c r="P106" i="1"/>
  <c r="Q106" i="1"/>
  <c r="R106" i="1"/>
  <c r="T106" i="1"/>
  <c r="P107" i="1"/>
  <c r="Q107" i="1"/>
  <c r="R107" i="1"/>
  <c r="T107" i="1"/>
  <c r="P108" i="1"/>
  <c r="Q108" i="1"/>
  <c r="R108" i="1"/>
  <c r="T108" i="1"/>
  <c r="P109" i="1"/>
  <c r="Q109" i="1"/>
  <c r="R109" i="1"/>
  <c r="T109" i="1"/>
  <c r="P110" i="1"/>
  <c r="Q110" i="1"/>
  <c r="R110" i="1"/>
  <c r="T110" i="1"/>
  <c r="P111" i="1"/>
  <c r="Q111" i="1"/>
  <c r="R111" i="1"/>
  <c r="T111" i="1"/>
  <c r="P112" i="1"/>
  <c r="Q112" i="1"/>
  <c r="R112" i="1"/>
  <c r="T112" i="1"/>
  <c r="P113" i="1"/>
  <c r="Q113" i="1"/>
  <c r="R113" i="1"/>
  <c r="T113" i="1"/>
  <c r="P114" i="1"/>
  <c r="Q114" i="1"/>
  <c r="R114" i="1"/>
  <c r="T114" i="1"/>
  <c r="P115" i="1"/>
  <c r="Q115" i="1"/>
  <c r="R115" i="1"/>
  <c r="T115" i="1"/>
  <c r="P116" i="1"/>
  <c r="Q116" i="1"/>
  <c r="R116" i="1"/>
  <c r="T116" i="1"/>
  <c r="P117" i="1"/>
  <c r="Q117" i="1"/>
  <c r="R117" i="1"/>
  <c r="T117" i="1"/>
  <c r="P118" i="1"/>
  <c r="Q118" i="1"/>
  <c r="R118" i="1"/>
  <c r="T118" i="1"/>
  <c r="P119" i="1"/>
  <c r="Q119" i="1"/>
  <c r="R119" i="1"/>
  <c r="T119" i="1"/>
  <c r="P120" i="1"/>
  <c r="Q120" i="1"/>
  <c r="R120" i="1"/>
  <c r="T120" i="1"/>
  <c r="P121" i="1"/>
  <c r="Q121" i="1"/>
  <c r="R121" i="1"/>
  <c r="T121" i="1"/>
  <c r="P122" i="1"/>
  <c r="Q122" i="1"/>
  <c r="R122" i="1"/>
  <c r="T122" i="1"/>
  <c r="P123" i="1"/>
  <c r="Q123" i="1"/>
  <c r="R123" i="1"/>
  <c r="T123" i="1"/>
  <c r="P124" i="1"/>
  <c r="Q124" i="1"/>
  <c r="R124" i="1"/>
  <c r="T124" i="1"/>
  <c r="P125" i="1"/>
  <c r="Q125" i="1"/>
  <c r="R125" i="1"/>
  <c r="T125" i="1"/>
  <c r="P126" i="1"/>
  <c r="Q126" i="1"/>
  <c r="R126" i="1"/>
  <c r="T126" i="1"/>
  <c r="P127" i="1"/>
  <c r="Q127" i="1"/>
  <c r="R127" i="1"/>
  <c r="T127" i="1"/>
  <c r="P128" i="1"/>
  <c r="Q128" i="1"/>
  <c r="R128" i="1"/>
  <c r="T128" i="1"/>
  <c r="P129" i="1"/>
  <c r="Q129" i="1"/>
  <c r="R129" i="1"/>
  <c r="T129" i="1"/>
  <c r="P130" i="1"/>
  <c r="Q130" i="1"/>
  <c r="R130" i="1"/>
  <c r="T130" i="1"/>
  <c r="P131" i="1"/>
  <c r="Q131" i="1"/>
  <c r="R131" i="1"/>
  <c r="T131" i="1"/>
  <c r="P132" i="1"/>
  <c r="Q132" i="1"/>
  <c r="R132" i="1"/>
  <c r="T132" i="1"/>
  <c r="P133" i="1"/>
  <c r="Q133" i="1"/>
  <c r="R133" i="1"/>
  <c r="T133" i="1"/>
  <c r="P134" i="1"/>
  <c r="Q134" i="1"/>
  <c r="R134" i="1"/>
  <c r="T134" i="1"/>
  <c r="P135" i="1"/>
  <c r="Q135" i="1"/>
  <c r="R135" i="1"/>
  <c r="T135" i="1"/>
  <c r="P136" i="1"/>
  <c r="Q136" i="1"/>
  <c r="R136" i="1"/>
  <c r="T136" i="1"/>
  <c r="P137" i="1"/>
  <c r="Q137" i="1"/>
  <c r="R137" i="1"/>
  <c r="T137" i="1"/>
  <c r="P138" i="1"/>
  <c r="Q138" i="1"/>
  <c r="R138" i="1"/>
  <c r="T138" i="1"/>
  <c r="P139" i="1"/>
  <c r="Q139" i="1"/>
  <c r="R139" i="1"/>
  <c r="T139" i="1"/>
  <c r="P140" i="1"/>
  <c r="Q140" i="1"/>
  <c r="R140" i="1"/>
  <c r="T140" i="1"/>
  <c r="P141" i="1"/>
  <c r="Q141" i="1"/>
  <c r="R141" i="1"/>
  <c r="T141" i="1"/>
  <c r="P142" i="1"/>
  <c r="Q142" i="1"/>
  <c r="R142" i="1"/>
  <c r="T142" i="1"/>
  <c r="P143" i="1"/>
  <c r="Q143" i="1"/>
  <c r="R143" i="1"/>
  <c r="T143" i="1"/>
  <c r="P144" i="1"/>
  <c r="Q144" i="1"/>
  <c r="R144" i="1"/>
  <c r="T144" i="1"/>
  <c r="P145" i="1"/>
  <c r="Q145" i="1"/>
  <c r="R145" i="1"/>
  <c r="T145" i="1"/>
  <c r="P146" i="1"/>
  <c r="Q146" i="1"/>
  <c r="R146" i="1"/>
  <c r="T146" i="1"/>
  <c r="P147" i="1"/>
  <c r="Q147" i="1"/>
  <c r="R147" i="1"/>
  <c r="T147" i="1"/>
  <c r="P148" i="1"/>
  <c r="Q148" i="1"/>
  <c r="R148" i="1"/>
  <c r="T148" i="1"/>
  <c r="P149" i="1"/>
  <c r="Q149" i="1"/>
  <c r="R149" i="1"/>
  <c r="T149" i="1"/>
  <c r="P150" i="1"/>
  <c r="Q150" i="1"/>
  <c r="R150" i="1"/>
  <c r="T150" i="1"/>
  <c r="P151" i="1"/>
  <c r="Q151" i="1"/>
  <c r="R151" i="1"/>
  <c r="T151" i="1"/>
  <c r="P152" i="1"/>
  <c r="Q152" i="1"/>
  <c r="R152" i="1"/>
  <c r="T152" i="1"/>
  <c r="P153" i="1"/>
  <c r="Q153" i="1"/>
  <c r="R153" i="1"/>
  <c r="T153" i="1"/>
  <c r="P154" i="1"/>
  <c r="Q154" i="1"/>
  <c r="R154" i="1"/>
  <c r="T154" i="1"/>
  <c r="P155" i="1"/>
  <c r="Q155" i="1"/>
  <c r="R155" i="1"/>
  <c r="T155" i="1"/>
  <c r="P156" i="1"/>
  <c r="Q156" i="1"/>
  <c r="R156" i="1"/>
  <c r="P157" i="1"/>
  <c r="Q157" i="1"/>
  <c r="R157" i="1"/>
  <c r="P158" i="1"/>
  <c r="Q158" i="1"/>
  <c r="R158" i="1"/>
  <c r="P159" i="1"/>
  <c r="Q159" i="1"/>
  <c r="R159" i="1"/>
  <c r="T159" i="1"/>
  <c r="P160" i="1"/>
  <c r="Q160" i="1"/>
  <c r="R160" i="1"/>
  <c r="T160" i="1"/>
  <c r="P161" i="1"/>
  <c r="Q161" i="1"/>
  <c r="R161" i="1"/>
  <c r="T161" i="1"/>
  <c r="P162" i="1"/>
  <c r="Q162" i="1"/>
  <c r="R162" i="1"/>
  <c r="T162" i="1"/>
  <c r="P163" i="1"/>
  <c r="Q163" i="1"/>
  <c r="R163" i="1"/>
  <c r="T163" i="1"/>
  <c r="P164" i="1"/>
  <c r="Q164" i="1"/>
  <c r="R164" i="1"/>
  <c r="T164" i="1"/>
  <c r="P165" i="1"/>
  <c r="Q165" i="1"/>
  <c r="R165" i="1"/>
  <c r="T165" i="1"/>
  <c r="P166" i="1"/>
  <c r="Q166" i="1"/>
  <c r="R166" i="1"/>
  <c r="T166" i="1"/>
  <c r="P167" i="1"/>
  <c r="Q167" i="1"/>
  <c r="R167" i="1"/>
  <c r="T167" i="1"/>
  <c r="P168" i="1"/>
  <c r="Q168" i="1"/>
  <c r="R168" i="1"/>
  <c r="T168" i="1"/>
  <c r="P169" i="1"/>
  <c r="Q169" i="1"/>
  <c r="R169" i="1"/>
  <c r="T169" i="1"/>
  <c r="P170" i="1"/>
  <c r="Q170" i="1"/>
  <c r="R170" i="1"/>
  <c r="T170" i="1"/>
  <c r="P171" i="1"/>
  <c r="Q171" i="1"/>
  <c r="R171" i="1"/>
  <c r="T171" i="1"/>
  <c r="P172" i="1"/>
  <c r="Q172" i="1"/>
  <c r="R172" i="1"/>
  <c r="T172" i="1"/>
  <c r="P173" i="1"/>
  <c r="Q173" i="1"/>
  <c r="R173" i="1"/>
  <c r="T173" i="1"/>
  <c r="P174" i="1"/>
  <c r="Q174" i="1"/>
  <c r="R174" i="1"/>
  <c r="T174" i="1"/>
  <c r="P175" i="1"/>
  <c r="Q175" i="1"/>
  <c r="R175" i="1"/>
  <c r="T175" i="1"/>
  <c r="P176" i="1"/>
  <c r="Q176" i="1"/>
  <c r="R176" i="1"/>
  <c r="T176" i="1"/>
  <c r="P177" i="1"/>
  <c r="Q177" i="1"/>
  <c r="R177" i="1"/>
  <c r="T177" i="1"/>
  <c r="P178" i="1"/>
  <c r="Q178" i="1"/>
  <c r="R178" i="1"/>
  <c r="T178" i="1"/>
  <c r="P179" i="1"/>
  <c r="Q179" i="1"/>
  <c r="R179" i="1"/>
  <c r="T179" i="1"/>
  <c r="P180" i="1"/>
  <c r="Q180" i="1"/>
  <c r="R180" i="1"/>
  <c r="T180" i="1"/>
  <c r="P181" i="1"/>
  <c r="Q181" i="1"/>
  <c r="R181" i="1"/>
  <c r="T181" i="1"/>
  <c r="P182" i="1"/>
  <c r="Q182" i="1"/>
  <c r="R182" i="1"/>
  <c r="T182" i="1"/>
  <c r="P183" i="1"/>
  <c r="Q183" i="1"/>
  <c r="R183" i="1"/>
  <c r="T183" i="1"/>
  <c r="P184" i="1"/>
  <c r="Q184" i="1"/>
  <c r="R184" i="1"/>
  <c r="T184" i="1"/>
  <c r="P185" i="1"/>
  <c r="Q185" i="1"/>
  <c r="R185" i="1"/>
  <c r="T185" i="1"/>
  <c r="P186" i="1"/>
  <c r="Q186" i="1"/>
  <c r="R186" i="1"/>
  <c r="T186" i="1"/>
  <c r="P187" i="1"/>
  <c r="Q187" i="1"/>
  <c r="R187" i="1"/>
  <c r="T187" i="1"/>
  <c r="P188" i="1"/>
  <c r="Q188" i="1"/>
  <c r="R188" i="1"/>
  <c r="T188" i="1"/>
  <c r="P189" i="1"/>
  <c r="Q189" i="1"/>
  <c r="R189" i="1"/>
  <c r="T189" i="1"/>
  <c r="P190" i="1"/>
  <c r="Q190" i="1"/>
  <c r="R190" i="1"/>
  <c r="T190" i="1"/>
  <c r="P191" i="1"/>
  <c r="Q191" i="1"/>
  <c r="R191" i="1"/>
  <c r="T191" i="1"/>
  <c r="P192" i="1"/>
  <c r="Q192" i="1"/>
  <c r="R192" i="1"/>
  <c r="T192" i="1"/>
  <c r="P193" i="1"/>
  <c r="Q193" i="1"/>
  <c r="R193" i="1"/>
  <c r="T193" i="1"/>
  <c r="P194" i="1"/>
  <c r="Q194" i="1"/>
  <c r="R194" i="1"/>
  <c r="T194" i="1"/>
  <c r="P195" i="1"/>
  <c r="Q195" i="1"/>
  <c r="R195" i="1"/>
  <c r="T195" i="1"/>
  <c r="P196" i="1"/>
  <c r="Q196" i="1"/>
  <c r="R196" i="1"/>
  <c r="T196" i="1"/>
  <c r="P197" i="1"/>
  <c r="Q197" i="1"/>
  <c r="R197" i="1"/>
  <c r="T197" i="1"/>
  <c r="P198" i="1"/>
  <c r="Q198" i="1"/>
  <c r="R198" i="1"/>
  <c r="T198" i="1"/>
  <c r="P199" i="1"/>
  <c r="Q199" i="1"/>
  <c r="R199" i="1"/>
  <c r="T199" i="1"/>
  <c r="P200" i="1"/>
  <c r="Q200" i="1"/>
  <c r="R200" i="1"/>
  <c r="T200" i="1"/>
  <c r="P201" i="1"/>
  <c r="Q201" i="1"/>
  <c r="R201" i="1"/>
  <c r="T201" i="1"/>
  <c r="P202" i="1"/>
  <c r="Q202" i="1"/>
  <c r="R202" i="1"/>
  <c r="T202" i="1"/>
  <c r="P203" i="1"/>
  <c r="Q203" i="1"/>
  <c r="R203" i="1"/>
  <c r="T203" i="1"/>
  <c r="P204" i="1"/>
  <c r="Q204" i="1"/>
  <c r="R204" i="1"/>
  <c r="T204" i="1"/>
  <c r="P205" i="1"/>
  <c r="Q205" i="1"/>
  <c r="R205" i="1"/>
  <c r="T205" i="1"/>
  <c r="P206" i="1"/>
  <c r="Q206" i="1"/>
  <c r="R206" i="1"/>
  <c r="T206" i="1"/>
  <c r="P207" i="1"/>
  <c r="Q207" i="1"/>
  <c r="R207" i="1"/>
  <c r="T207" i="1"/>
  <c r="P208" i="1"/>
  <c r="Q208" i="1"/>
  <c r="R208" i="1"/>
  <c r="T208" i="1"/>
  <c r="P209" i="1"/>
  <c r="Q209" i="1"/>
  <c r="R209" i="1"/>
  <c r="T209" i="1"/>
  <c r="P210" i="1"/>
  <c r="Q210" i="1"/>
  <c r="R210" i="1"/>
  <c r="T210" i="1"/>
  <c r="P211" i="1"/>
  <c r="Q211" i="1"/>
  <c r="R211" i="1"/>
  <c r="T211" i="1"/>
  <c r="P212" i="1"/>
  <c r="Q212" i="1"/>
  <c r="R212" i="1"/>
  <c r="T212" i="1"/>
  <c r="P213" i="1"/>
  <c r="Q213" i="1"/>
  <c r="R213" i="1"/>
  <c r="T213" i="1"/>
  <c r="P214" i="1"/>
  <c r="Q214" i="1"/>
  <c r="R214" i="1"/>
  <c r="T214" i="1"/>
  <c r="P215" i="1"/>
  <c r="Q215" i="1"/>
  <c r="R215" i="1"/>
  <c r="T215" i="1"/>
  <c r="P216" i="1"/>
  <c r="Q216" i="1"/>
  <c r="R216" i="1"/>
  <c r="T216" i="1"/>
  <c r="P217" i="1"/>
  <c r="Q217" i="1"/>
  <c r="R217" i="1"/>
  <c r="T217" i="1"/>
  <c r="P218" i="1"/>
  <c r="Q218" i="1"/>
  <c r="R218" i="1"/>
  <c r="T218" i="1"/>
  <c r="P219" i="1"/>
  <c r="Q219" i="1"/>
  <c r="R219" i="1"/>
  <c r="T219" i="1"/>
  <c r="P220" i="1"/>
  <c r="Q220" i="1"/>
  <c r="R220" i="1"/>
  <c r="T220" i="1"/>
  <c r="P221" i="1"/>
  <c r="Q221" i="1"/>
  <c r="R221" i="1"/>
  <c r="T221" i="1"/>
  <c r="P222" i="1"/>
  <c r="Q222" i="1"/>
  <c r="R222" i="1"/>
  <c r="T222" i="1"/>
  <c r="P223" i="1"/>
  <c r="Q223" i="1"/>
  <c r="R223" i="1"/>
  <c r="T223" i="1"/>
  <c r="P224" i="1"/>
  <c r="Q224" i="1"/>
  <c r="R224" i="1"/>
  <c r="T224" i="1"/>
  <c r="P226" i="1"/>
  <c r="Q226" i="1"/>
  <c r="R226" i="1"/>
  <c r="T226" i="1"/>
  <c r="P227" i="1"/>
  <c r="Q227" i="1"/>
  <c r="R227" i="1"/>
  <c r="T227" i="1"/>
  <c r="P228" i="1"/>
  <c r="Q228" i="1"/>
  <c r="R228" i="1"/>
  <c r="T228" i="1"/>
  <c r="P229" i="1"/>
  <c r="Q229" i="1"/>
  <c r="R229" i="1"/>
  <c r="T229" i="1"/>
  <c r="P230" i="1"/>
  <c r="Q230" i="1"/>
  <c r="R230" i="1"/>
  <c r="T230" i="1"/>
  <c r="P231" i="1"/>
  <c r="Q231" i="1"/>
  <c r="R231" i="1"/>
  <c r="T231" i="1"/>
  <c r="P232" i="1"/>
  <c r="Q232" i="1"/>
  <c r="R232" i="1"/>
  <c r="T232" i="1"/>
  <c r="P233" i="1"/>
  <c r="Q233" i="1"/>
  <c r="R233" i="1"/>
  <c r="T233" i="1"/>
  <c r="P234" i="1"/>
  <c r="Q234" i="1"/>
  <c r="R234" i="1"/>
  <c r="T234" i="1"/>
  <c r="P235" i="1"/>
  <c r="Q235" i="1"/>
  <c r="R235" i="1"/>
  <c r="T235" i="1"/>
  <c r="P236" i="1"/>
  <c r="Q236" i="1"/>
  <c r="R236" i="1"/>
  <c r="T236" i="1"/>
  <c r="P237" i="1"/>
  <c r="Q237" i="1"/>
  <c r="R237" i="1"/>
  <c r="T237" i="1"/>
  <c r="P238" i="1"/>
  <c r="Q238" i="1"/>
  <c r="R238" i="1"/>
  <c r="T238" i="1"/>
  <c r="P239" i="1"/>
  <c r="Q239" i="1"/>
  <c r="R239" i="1"/>
  <c r="T239" i="1"/>
  <c r="P240" i="1"/>
  <c r="Q240" i="1"/>
  <c r="R240" i="1"/>
  <c r="T240" i="1"/>
  <c r="P241" i="1"/>
  <c r="Q241" i="1"/>
  <c r="R241" i="1"/>
  <c r="T241" i="1"/>
  <c r="P242" i="1"/>
  <c r="Q242" i="1"/>
  <c r="R242" i="1"/>
  <c r="T242" i="1"/>
  <c r="P243" i="1"/>
  <c r="Q243" i="1"/>
  <c r="R243" i="1"/>
  <c r="T243" i="1"/>
  <c r="P244" i="1"/>
  <c r="Q244" i="1"/>
  <c r="R244" i="1"/>
  <c r="T244" i="1"/>
  <c r="P245" i="1"/>
  <c r="Q245" i="1"/>
  <c r="R245" i="1"/>
  <c r="T245" i="1"/>
  <c r="P246" i="1"/>
  <c r="Q246" i="1"/>
  <c r="R246" i="1"/>
  <c r="T246" i="1"/>
  <c r="P247" i="1"/>
  <c r="Q247" i="1"/>
  <c r="R247" i="1"/>
  <c r="T247" i="1"/>
  <c r="P248" i="1"/>
  <c r="Q248" i="1"/>
  <c r="R248" i="1"/>
  <c r="T248" i="1"/>
  <c r="P249" i="1"/>
  <c r="Q249" i="1"/>
  <c r="R249" i="1"/>
  <c r="T249" i="1"/>
  <c r="P250" i="1"/>
  <c r="Q250" i="1"/>
  <c r="R250" i="1"/>
  <c r="T250" i="1"/>
  <c r="P251" i="1"/>
  <c r="Q251" i="1"/>
  <c r="R251" i="1"/>
  <c r="T251" i="1"/>
  <c r="P252" i="1"/>
  <c r="Q252" i="1"/>
  <c r="R252" i="1"/>
  <c r="T252" i="1"/>
  <c r="P253" i="1"/>
  <c r="Q253" i="1"/>
  <c r="R253" i="1"/>
  <c r="T253" i="1"/>
  <c r="P254" i="1"/>
  <c r="Q254" i="1"/>
  <c r="R254" i="1"/>
  <c r="T254" i="1"/>
  <c r="P255" i="1"/>
  <c r="Q255" i="1"/>
  <c r="R255" i="1"/>
  <c r="T255" i="1"/>
  <c r="P256" i="1"/>
  <c r="Q256" i="1"/>
  <c r="R256" i="1"/>
  <c r="T256" i="1"/>
  <c r="P257" i="1"/>
  <c r="Q257" i="1"/>
  <c r="R257" i="1"/>
  <c r="T257" i="1"/>
  <c r="P258" i="1"/>
  <c r="Q258" i="1"/>
  <c r="R258" i="1"/>
  <c r="T258" i="1"/>
  <c r="P259" i="1"/>
  <c r="Q259" i="1"/>
  <c r="R259" i="1"/>
  <c r="T259" i="1"/>
  <c r="P260" i="1"/>
  <c r="Q260" i="1"/>
  <c r="R260" i="1"/>
  <c r="T260" i="1"/>
  <c r="P261" i="1"/>
  <c r="Q261" i="1"/>
  <c r="R261" i="1"/>
  <c r="T261" i="1"/>
  <c r="P262" i="1"/>
  <c r="Q262" i="1"/>
  <c r="R262" i="1"/>
  <c r="T262" i="1"/>
  <c r="P263" i="1"/>
  <c r="Q263" i="1"/>
  <c r="R263" i="1"/>
  <c r="T263" i="1"/>
  <c r="P264" i="1"/>
  <c r="Q264" i="1"/>
  <c r="R264" i="1"/>
  <c r="T264" i="1"/>
  <c r="P265" i="1"/>
  <c r="Q265" i="1"/>
  <c r="R265" i="1"/>
  <c r="T265" i="1"/>
  <c r="P266" i="1"/>
  <c r="Q266" i="1"/>
  <c r="R266" i="1"/>
  <c r="T266" i="1"/>
  <c r="P267" i="1"/>
  <c r="Q267" i="1"/>
  <c r="R267" i="1"/>
  <c r="T267" i="1"/>
  <c r="P268" i="1"/>
  <c r="Q268" i="1"/>
  <c r="R268" i="1"/>
  <c r="T268" i="1"/>
  <c r="P269" i="1"/>
  <c r="Q269" i="1"/>
  <c r="R269" i="1"/>
  <c r="T269" i="1"/>
  <c r="P270" i="1"/>
  <c r="Q270" i="1"/>
  <c r="R270" i="1"/>
  <c r="T270" i="1"/>
  <c r="P271" i="1"/>
  <c r="Q271" i="1"/>
  <c r="R271" i="1"/>
  <c r="T271" i="1"/>
  <c r="P272" i="1"/>
  <c r="Q272" i="1"/>
  <c r="R272" i="1"/>
  <c r="T272" i="1"/>
  <c r="P273" i="1"/>
  <c r="Q273" i="1"/>
  <c r="R273" i="1"/>
  <c r="T273" i="1"/>
  <c r="P274" i="1"/>
  <c r="Q274" i="1"/>
  <c r="R274" i="1"/>
  <c r="T274" i="1"/>
  <c r="P275" i="1"/>
  <c r="Q275" i="1"/>
  <c r="R275" i="1"/>
  <c r="T275" i="1"/>
  <c r="P276" i="1"/>
  <c r="Q276" i="1"/>
  <c r="R276" i="1"/>
  <c r="T276" i="1"/>
  <c r="P277" i="1"/>
  <c r="Q277" i="1"/>
  <c r="R277" i="1"/>
  <c r="T277" i="1"/>
  <c r="P278" i="1"/>
  <c r="Q278" i="1"/>
  <c r="R278" i="1"/>
  <c r="T278" i="1"/>
  <c r="P279" i="1"/>
  <c r="Q279" i="1"/>
  <c r="R279" i="1"/>
  <c r="T279" i="1"/>
  <c r="P280" i="1"/>
  <c r="Q280" i="1"/>
  <c r="R280" i="1"/>
  <c r="T280" i="1"/>
  <c r="P281" i="1"/>
  <c r="Q281" i="1"/>
  <c r="R281" i="1"/>
  <c r="T281" i="1"/>
  <c r="P282" i="1"/>
  <c r="Q282" i="1"/>
  <c r="R282" i="1"/>
  <c r="T282" i="1"/>
  <c r="P283" i="1"/>
  <c r="Q283" i="1"/>
  <c r="R283" i="1"/>
  <c r="T283" i="1"/>
  <c r="P284" i="1"/>
  <c r="Q284" i="1"/>
  <c r="R284" i="1"/>
  <c r="T284" i="1"/>
  <c r="P285" i="1"/>
  <c r="Q285" i="1"/>
  <c r="R285" i="1"/>
  <c r="T285" i="1"/>
  <c r="P286" i="1"/>
  <c r="Q286" i="1"/>
  <c r="R286" i="1"/>
  <c r="T286" i="1"/>
  <c r="P287" i="1"/>
  <c r="Q287" i="1"/>
  <c r="R287" i="1"/>
  <c r="T287" i="1"/>
  <c r="P288" i="1"/>
  <c r="Q288" i="1"/>
  <c r="R288" i="1"/>
  <c r="T288" i="1"/>
  <c r="P289" i="1"/>
  <c r="Q289" i="1"/>
  <c r="R289" i="1"/>
  <c r="T289" i="1"/>
  <c r="P290" i="1"/>
  <c r="Q290" i="1"/>
  <c r="R290" i="1"/>
  <c r="T290" i="1"/>
  <c r="P291" i="1"/>
  <c r="Q291" i="1"/>
  <c r="R291" i="1"/>
  <c r="T291" i="1"/>
  <c r="P292" i="1"/>
  <c r="Q292" i="1"/>
  <c r="R292" i="1"/>
  <c r="T292" i="1"/>
  <c r="P293" i="1"/>
  <c r="Q293" i="1"/>
  <c r="R293" i="1"/>
  <c r="T293" i="1"/>
  <c r="P294" i="1"/>
  <c r="Q294" i="1"/>
  <c r="R294" i="1"/>
  <c r="T294" i="1"/>
  <c r="P295" i="1"/>
  <c r="Q295" i="1"/>
  <c r="R295" i="1"/>
  <c r="T295" i="1"/>
  <c r="P296" i="1"/>
  <c r="Q296" i="1"/>
  <c r="R296" i="1"/>
  <c r="T296" i="1"/>
  <c r="P297" i="1"/>
  <c r="Q297" i="1"/>
  <c r="R297" i="1"/>
  <c r="T297" i="1"/>
  <c r="P298" i="1"/>
  <c r="Q298" i="1"/>
  <c r="R298" i="1"/>
  <c r="T298" i="1"/>
  <c r="P299" i="1"/>
  <c r="Q299" i="1"/>
  <c r="R299" i="1"/>
  <c r="T299" i="1"/>
  <c r="P300" i="1"/>
  <c r="Q300" i="1"/>
  <c r="R300" i="1"/>
  <c r="T300" i="1"/>
  <c r="P301" i="1"/>
  <c r="Q301" i="1"/>
  <c r="R301" i="1"/>
  <c r="T301" i="1"/>
  <c r="P302" i="1"/>
  <c r="Q302" i="1"/>
  <c r="R302" i="1"/>
  <c r="T302" i="1"/>
  <c r="P303" i="1"/>
  <c r="Q303" i="1"/>
  <c r="R303" i="1"/>
  <c r="T303" i="1"/>
  <c r="P304" i="1"/>
  <c r="Q304" i="1"/>
  <c r="R304" i="1"/>
  <c r="T304" i="1"/>
  <c r="P305" i="1"/>
  <c r="Q305" i="1"/>
  <c r="R305" i="1"/>
  <c r="T305" i="1"/>
  <c r="P306" i="1"/>
  <c r="Q306" i="1"/>
  <c r="R306" i="1"/>
  <c r="T306" i="1"/>
  <c r="P307" i="1"/>
  <c r="Q307" i="1"/>
  <c r="R307" i="1"/>
  <c r="T307" i="1"/>
  <c r="P308" i="1"/>
  <c r="Q308" i="1"/>
  <c r="R308" i="1"/>
  <c r="T308" i="1"/>
  <c r="P309" i="1"/>
  <c r="Q309" i="1"/>
  <c r="R309" i="1"/>
  <c r="T309" i="1"/>
  <c r="P310" i="1"/>
  <c r="Q310" i="1"/>
  <c r="R310" i="1"/>
  <c r="T310" i="1"/>
  <c r="P311" i="1"/>
  <c r="Q311" i="1"/>
  <c r="R311" i="1"/>
  <c r="T311" i="1"/>
  <c r="P312" i="1"/>
  <c r="Q312" i="1"/>
  <c r="R312" i="1"/>
  <c r="T312" i="1"/>
  <c r="P313" i="1"/>
  <c r="Q313" i="1"/>
  <c r="R313" i="1"/>
  <c r="T313" i="1"/>
  <c r="P314" i="1"/>
  <c r="Q314" i="1"/>
  <c r="R314" i="1"/>
  <c r="T314" i="1"/>
  <c r="P315" i="1"/>
  <c r="Q315" i="1"/>
  <c r="R315" i="1"/>
  <c r="T315" i="1"/>
  <c r="P316" i="1"/>
  <c r="Q316" i="1"/>
  <c r="R316" i="1"/>
  <c r="T316" i="1"/>
  <c r="P317" i="1"/>
  <c r="Q317" i="1"/>
  <c r="R317" i="1"/>
  <c r="T317" i="1"/>
  <c r="P318" i="1"/>
  <c r="Q318" i="1"/>
  <c r="R318" i="1"/>
  <c r="T318" i="1"/>
  <c r="P319" i="1"/>
  <c r="Q319" i="1"/>
  <c r="R319" i="1"/>
  <c r="T319" i="1"/>
  <c r="P320" i="1"/>
  <c r="Q320" i="1"/>
  <c r="R320" i="1"/>
  <c r="T320" i="1"/>
  <c r="P321" i="1"/>
  <c r="Q321" i="1"/>
  <c r="R321" i="1"/>
  <c r="T321" i="1"/>
  <c r="P322" i="1"/>
  <c r="Q322" i="1"/>
  <c r="R322" i="1"/>
  <c r="T322" i="1"/>
  <c r="P323" i="1"/>
  <c r="Q323" i="1"/>
  <c r="R323" i="1"/>
  <c r="T323" i="1"/>
  <c r="P324" i="1"/>
  <c r="Q324" i="1"/>
  <c r="R324" i="1"/>
  <c r="T324" i="1"/>
  <c r="P325" i="1"/>
  <c r="Q325" i="1"/>
  <c r="R325" i="1"/>
  <c r="T325" i="1"/>
  <c r="P326" i="1"/>
  <c r="Q326" i="1"/>
  <c r="R326" i="1"/>
  <c r="T326" i="1"/>
  <c r="P327" i="1"/>
  <c r="Q327" i="1"/>
  <c r="R327" i="1"/>
  <c r="T327" i="1"/>
  <c r="P328" i="1"/>
  <c r="Q328" i="1"/>
  <c r="R328" i="1"/>
  <c r="T328" i="1"/>
  <c r="P329" i="1"/>
  <c r="Q329" i="1"/>
  <c r="R329" i="1"/>
  <c r="T329" i="1"/>
  <c r="P330" i="1"/>
  <c r="Q330" i="1"/>
  <c r="R330" i="1"/>
  <c r="T330" i="1"/>
  <c r="P331" i="1"/>
  <c r="Q331" i="1"/>
  <c r="R331" i="1"/>
  <c r="T331" i="1"/>
  <c r="P332" i="1"/>
  <c r="Q332" i="1"/>
  <c r="R332" i="1"/>
  <c r="T332" i="1"/>
  <c r="P333" i="1"/>
  <c r="Q333" i="1"/>
  <c r="R333" i="1"/>
  <c r="T333" i="1"/>
  <c r="P334" i="1"/>
  <c r="Q334" i="1"/>
  <c r="R334" i="1"/>
  <c r="T334" i="1"/>
  <c r="P335" i="1"/>
  <c r="Q335" i="1"/>
  <c r="R335" i="1"/>
  <c r="T335" i="1"/>
  <c r="P336" i="1"/>
  <c r="Q336" i="1"/>
  <c r="R336" i="1"/>
  <c r="T336" i="1"/>
  <c r="P337" i="1"/>
  <c r="Q337" i="1"/>
  <c r="R337" i="1"/>
  <c r="T337" i="1"/>
  <c r="P338" i="1"/>
  <c r="Q338" i="1"/>
  <c r="R338" i="1"/>
  <c r="T338" i="1"/>
  <c r="P339" i="1"/>
  <c r="Q339" i="1"/>
  <c r="R339" i="1"/>
  <c r="T339" i="1"/>
  <c r="P340" i="1"/>
  <c r="Q340" i="1"/>
  <c r="R340" i="1"/>
  <c r="T340" i="1"/>
  <c r="P342" i="1"/>
  <c r="Q342" i="1"/>
  <c r="R342" i="1"/>
  <c r="T342" i="1"/>
  <c r="P343" i="1"/>
  <c r="Q343" i="1"/>
  <c r="R343" i="1"/>
  <c r="T343" i="1"/>
  <c r="P344" i="1"/>
  <c r="Q344" i="1"/>
  <c r="R344" i="1"/>
  <c r="T344" i="1"/>
  <c r="P345" i="1"/>
  <c r="Q345" i="1"/>
  <c r="R345" i="1"/>
  <c r="T345" i="1"/>
  <c r="P346" i="1"/>
  <c r="Q346" i="1"/>
  <c r="R346" i="1"/>
  <c r="T346" i="1"/>
  <c r="P347" i="1"/>
  <c r="Q347" i="1"/>
  <c r="R347" i="1"/>
  <c r="T347" i="1"/>
  <c r="P348" i="1"/>
  <c r="Q348" i="1"/>
  <c r="R348" i="1"/>
  <c r="T348" i="1"/>
  <c r="P349" i="1"/>
  <c r="Q349" i="1"/>
  <c r="R349" i="1"/>
  <c r="T349" i="1"/>
  <c r="P350" i="1"/>
  <c r="Q350" i="1"/>
  <c r="R350" i="1"/>
  <c r="T350" i="1"/>
  <c r="P351" i="1"/>
  <c r="Q351" i="1"/>
  <c r="R351" i="1"/>
  <c r="T351" i="1"/>
  <c r="P352" i="1"/>
  <c r="Q352" i="1"/>
  <c r="R352" i="1"/>
  <c r="T352" i="1"/>
  <c r="P353" i="1"/>
  <c r="Q353" i="1"/>
  <c r="R353" i="1"/>
  <c r="T353" i="1"/>
  <c r="P354" i="1"/>
  <c r="Q354" i="1"/>
  <c r="R354" i="1"/>
  <c r="T354" i="1"/>
  <c r="P355" i="1"/>
  <c r="Q355" i="1"/>
  <c r="R355" i="1"/>
  <c r="T355" i="1"/>
  <c r="P356" i="1"/>
  <c r="Q356" i="1"/>
  <c r="R356" i="1"/>
  <c r="T356" i="1"/>
  <c r="P357" i="1"/>
  <c r="Q357" i="1"/>
  <c r="R357" i="1"/>
  <c r="T357" i="1"/>
  <c r="P358" i="1"/>
  <c r="Q358" i="1"/>
  <c r="R358" i="1"/>
  <c r="T358" i="1"/>
  <c r="P359" i="1"/>
  <c r="Q359" i="1"/>
  <c r="R359" i="1"/>
  <c r="T359" i="1"/>
  <c r="P360" i="1"/>
  <c r="Q360" i="1"/>
  <c r="R360" i="1"/>
  <c r="T360" i="1"/>
  <c r="P361" i="1"/>
  <c r="Q361" i="1"/>
  <c r="R361" i="1"/>
  <c r="T361" i="1"/>
  <c r="P362" i="1"/>
  <c r="Q362" i="1"/>
  <c r="R362" i="1"/>
  <c r="T362" i="1"/>
  <c r="P363" i="1"/>
  <c r="Q363" i="1"/>
  <c r="R363" i="1"/>
  <c r="T363" i="1"/>
  <c r="P364" i="1"/>
  <c r="Q364" i="1"/>
  <c r="R364" i="1"/>
  <c r="T364" i="1"/>
  <c r="P365" i="1"/>
  <c r="Q365" i="1"/>
  <c r="R365" i="1"/>
  <c r="T365" i="1"/>
  <c r="P366" i="1"/>
  <c r="Q366" i="1"/>
  <c r="R366" i="1"/>
  <c r="T366" i="1"/>
  <c r="P367" i="1"/>
  <c r="Q367" i="1"/>
  <c r="R367" i="1"/>
  <c r="T367" i="1"/>
  <c r="P368" i="1"/>
  <c r="Q368" i="1"/>
  <c r="R368" i="1"/>
  <c r="T368" i="1"/>
  <c r="P369" i="1"/>
  <c r="Q369" i="1"/>
  <c r="R369" i="1"/>
  <c r="T369" i="1"/>
  <c r="P370" i="1"/>
  <c r="Q370" i="1"/>
  <c r="R370" i="1"/>
  <c r="T370" i="1"/>
  <c r="P371" i="1"/>
  <c r="Q371" i="1"/>
  <c r="R371" i="1"/>
  <c r="T371" i="1"/>
  <c r="P372" i="1"/>
  <c r="Q372" i="1"/>
  <c r="R372" i="1"/>
  <c r="T372" i="1"/>
  <c r="P373" i="1"/>
  <c r="Q373" i="1"/>
  <c r="R373" i="1"/>
  <c r="T373" i="1"/>
  <c r="P374" i="1"/>
  <c r="Q374" i="1"/>
  <c r="R374" i="1"/>
  <c r="T374" i="1"/>
  <c r="P375" i="1"/>
  <c r="Q375" i="1"/>
  <c r="R375" i="1"/>
  <c r="T375" i="1"/>
  <c r="P376" i="1"/>
  <c r="Q376" i="1"/>
  <c r="R376" i="1"/>
  <c r="T376" i="1"/>
  <c r="P377" i="1"/>
  <c r="Q377" i="1"/>
  <c r="R377" i="1"/>
  <c r="T377" i="1"/>
  <c r="P378" i="1"/>
  <c r="Q378" i="1"/>
  <c r="R378" i="1"/>
  <c r="T378" i="1"/>
  <c r="P379" i="1"/>
  <c r="Q379" i="1"/>
  <c r="R379" i="1"/>
  <c r="T379" i="1"/>
  <c r="P380" i="1"/>
  <c r="Q380" i="1"/>
  <c r="R380" i="1"/>
  <c r="T380" i="1"/>
  <c r="P381" i="1"/>
  <c r="Q381" i="1"/>
  <c r="R381" i="1"/>
  <c r="T381" i="1"/>
  <c r="P382" i="1"/>
  <c r="Q382" i="1"/>
  <c r="R382" i="1"/>
  <c r="T382" i="1"/>
  <c r="P383" i="1"/>
  <c r="Q383" i="1"/>
  <c r="R383" i="1"/>
  <c r="T383" i="1"/>
  <c r="P384" i="1"/>
  <c r="Q384" i="1"/>
  <c r="R384" i="1"/>
  <c r="T384" i="1"/>
  <c r="P385" i="1"/>
  <c r="Q385" i="1"/>
  <c r="R385" i="1"/>
  <c r="T385" i="1"/>
  <c r="P386" i="1"/>
  <c r="Q386" i="1"/>
  <c r="R386" i="1"/>
  <c r="T386" i="1"/>
  <c r="P387" i="1"/>
  <c r="Q387" i="1"/>
  <c r="R387" i="1"/>
  <c r="T387" i="1"/>
  <c r="P388" i="1"/>
  <c r="Q388" i="1"/>
  <c r="R388" i="1"/>
  <c r="T388" i="1"/>
  <c r="P389" i="1"/>
  <c r="Q389" i="1"/>
  <c r="R389" i="1"/>
  <c r="T389" i="1"/>
  <c r="P390" i="1"/>
  <c r="Q390" i="1"/>
  <c r="R390" i="1"/>
  <c r="T390" i="1"/>
  <c r="P391" i="1"/>
  <c r="Q391" i="1"/>
  <c r="R391" i="1"/>
  <c r="T391" i="1"/>
  <c r="P392" i="1"/>
  <c r="Q392" i="1"/>
  <c r="R392" i="1"/>
  <c r="T392" i="1"/>
  <c r="P393" i="1"/>
  <c r="Q393" i="1"/>
  <c r="R393" i="1"/>
  <c r="T393" i="1"/>
  <c r="P394" i="1"/>
  <c r="Q394" i="1"/>
  <c r="R394" i="1"/>
  <c r="T394" i="1"/>
  <c r="P395" i="1"/>
  <c r="Q395" i="1"/>
  <c r="R395" i="1"/>
  <c r="T395" i="1"/>
  <c r="P396" i="1"/>
  <c r="Q396" i="1"/>
  <c r="R396" i="1"/>
  <c r="T396" i="1"/>
  <c r="P397" i="1"/>
  <c r="Q397" i="1"/>
  <c r="R397" i="1"/>
  <c r="T397" i="1"/>
  <c r="P398" i="1"/>
  <c r="Q398" i="1"/>
  <c r="R398" i="1"/>
  <c r="T398" i="1"/>
  <c r="P399" i="1"/>
  <c r="Q399" i="1"/>
  <c r="R399" i="1"/>
  <c r="T399" i="1"/>
  <c r="P400" i="1"/>
  <c r="Q400" i="1"/>
  <c r="R400" i="1"/>
  <c r="T400" i="1"/>
  <c r="P401" i="1"/>
  <c r="Q401" i="1"/>
  <c r="R401" i="1"/>
  <c r="T401" i="1"/>
  <c r="P402" i="1"/>
  <c r="Q402" i="1"/>
  <c r="R402" i="1"/>
  <c r="T402" i="1"/>
  <c r="P403" i="1"/>
  <c r="Q403" i="1"/>
  <c r="R403" i="1"/>
  <c r="T403" i="1"/>
  <c r="P404" i="1"/>
  <c r="Q404" i="1"/>
  <c r="R404" i="1"/>
  <c r="T404" i="1"/>
  <c r="P405" i="1"/>
  <c r="Q405" i="1"/>
  <c r="R405" i="1"/>
  <c r="T405" i="1"/>
  <c r="P406" i="1"/>
  <c r="Q406" i="1"/>
  <c r="R406" i="1"/>
  <c r="T406" i="1"/>
  <c r="P407" i="1"/>
  <c r="Q407" i="1"/>
  <c r="R407" i="1"/>
  <c r="T407" i="1"/>
  <c r="P408" i="1"/>
  <c r="Q408" i="1"/>
  <c r="R408" i="1"/>
  <c r="T408" i="1"/>
  <c r="P409" i="1"/>
  <c r="Q409" i="1"/>
  <c r="R409" i="1"/>
  <c r="T409" i="1"/>
  <c r="P410" i="1"/>
  <c r="Q410" i="1"/>
  <c r="R410" i="1"/>
  <c r="T410" i="1"/>
  <c r="P411" i="1"/>
  <c r="Q411" i="1"/>
  <c r="R411" i="1"/>
  <c r="T411" i="1"/>
  <c r="P412" i="1"/>
  <c r="Q412" i="1"/>
  <c r="R412" i="1"/>
  <c r="T412" i="1"/>
  <c r="P413" i="1"/>
  <c r="Q413" i="1"/>
  <c r="R413" i="1"/>
  <c r="T413" i="1"/>
  <c r="P414" i="1"/>
  <c r="Q414" i="1"/>
  <c r="R414" i="1"/>
  <c r="T414" i="1"/>
  <c r="P415" i="1"/>
  <c r="Q415" i="1"/>
  <c r="R415" i="1"/>
  <c r="T415" i="1"/>
  <c r="P416" i="1"/>
  <c r="Q416" i="1"/>
  <c r="R416" i="1"/>
  <c r="T416" i="1"/>
  <c r="P417" i="1"/>
  <c r="Q417" i="1"/>
  <c r="R417" i="1"/>
  <c r="T417" i="1"/>
  <c r="P418" i="1"/>
  <c r="Q418" i="1"/>
  <c r="R418" i="1"/>
  <c r="T418" i="1"/>
  <c r="P419" i="1"/>
  <c r="Q419" i="1"/>
  <c r="R419" i="1"/>
  <c r="T419" i="1"/>
  <c r="P420" i="1"/>
  <c r="Q420" i="1"/>
  <c r="R420" i="1"/>
  <c r="T420" i="1"/>
  <c r="P421" i="1"/>
  <c r="Q421" i="1"/>
  <c r="R421" i="1"/>
  <c r="T421" i="1"/>
  <c r="P422" i="1"/>
  <c r="Q422" i="1"/>
  <c r="R422" i="1"/>
  <c r="T422" i="1"/>
  <c r="P423" i="1"/>
  <c r="Q423" i="1"/>
  <c r="R423" i="1"/>
  <c r="T423" i="1"/>
  <c r="P424" i="1"/>
  <c r="Q424" i="1"/>
  <c r="R424" i="1"/>
  <c r="T424" i="1"/>
  <c r="P425" i="1"/>
  <c r="Q425" i="1"/>
  <c r="R425" i="1"/>
  <c r="T425" i="1"/>
  <c r="P426" i="1"/>
  <c r="Q426" i="1"/>
  <c r="R426" i="1"/>
  <c r="T426" i="1"/>
  <c r="P427" i="1"/>
  <c r="Q427" i="1"/>
  <c r="R427" i="1"/>
  <c r="T427" i="1"/>
  <c r="P428" i="1"/>
  <c r="Q428" i="1"/>
  <c r="R428" i="1"/>
  <c r="T428" i="1"/>
  <c r="P429" i="1"/>
  <c r="Q429" i="1"/>
  <c r="R429" i="1"/>
  <c r="T429" i="1"/>
  <c r="P430" i="1"/>
  <c r="Q430" i="1"/>
  <c r="R430" i="1"/>
  <c r="T430" i="1"/>
  <c r="P431" i="1"/>
  <c r="Q431" i="1"/>
  <c r="R431" i="1"/>
  <c r="T431" i="1"/>
  <c r="P432" i="1"/>
  <c r="Q432" i="1"/>
  <c r="R432" i="1"/>
  <c r="T432" i="1"/>
  <c r="P433" i="1"/>
  <c r="Q433" i="1"/>
  <c r="R433" i="1"/>
  <c r="T433" i="1"/>
  <c r="P434" i="1"/>
  <c r="Q434" i="1"/>
  <c r="R434" i="1"/>
  <c r="T434" i="1"/>
  <c r="P435" i="1"/>
  <c r="Q435" i="1"/>
  <c r="R435" i="1"/>
  <c r="T435" i="1"/>
  <c r="P436" i="1"/>
  <c r="Q436" i="1"/>
  <c r="R436" i="1"/>
  <c r="T436" i="1"/>
  <c r="P437" i="1"/>
  <c r="Q437" i="1"/>
  <c r="R437" i="1"/>
  <c r="T437" i="1"/>
  <c r="P438" i="1"/>
  <c r="Q438" i="1"/>
  <c r="R438" i="1"/>
  <c r="T438" i="1"/>
  <c r="P439" i="1"/>
  <c r="Q439" i="1"/>
  <c r="R439" i="1"/>
  <c r="T439" i="1"/>
  <c r="P440" i="1"/>
  <c r="Q440" i="1"/>
  <c r="R440" i="1"/>
  <c r="T440" i="1"/>
  <c r="P441" i="1"/>
  <c r="Q441" i="1"/>
  <c r="R441" i="1"/>
  <c r="T441" i="1"/>
  <c r="P442" i="1"/>
  <c r="Q442" i="1"/>
  <c r="R442" i="1"/>
  <c r="T442" i="1"/>
  <c r="P443" i="1"/>
  <c r="Q443" i="1"/>
  <c r="R443" i="1"/>
  <c r="T443" i="1"/>
  <c r="P444" i="1"/>
  <c r="Q444" i="1"/>
  <c r="R444" i="1"/>
  <c r="T444" i="1"/>
  <c r="P445" i="1"/>
  <c r="Q445" i="1"/>
  <c r="R445" i="1"/>
  <c r="T445" i="1"/>
  <c r="P446" i="1"/>
  <c r="Q446" i="1"/>
  <c r="R446" i="1"/>
  <c r="T446" i="1"/>
  <c r="P447" i="1"/>
  <c r="Q447" i="1"/>
  <c r="R447" i="1"/>
  <c r="T447" i="1"/>
  <c r="P448" i="1"/>
  <c r="Q448" i="1"/>
  <c r="R448" i="1"/>
  <c r="T448" i="1"/>
  <c r="P449" i="1"/>
  <c r="Q449" i="1"/>
  <c r="R449" i="1"/>
  <c r="T449" i="1"/>
  <c r="P450" i="1"/>
  <c r="Q450" i="1"/>
  <c r="R450" i="1"/>
  <c r="T450" i="1"/>
  <c r="P451" i="1"/>
  <c r="Q451" i="1"/>
  <c r="R451" i="1"/>
  <c r="T451" i="1"/>
  <c r="P452" i="1"/>
  <c r="Q452" i="1"/>
  <c r="R452" i="1"/>
  <c r="T452" i="1"/>
  <c r="P453" i="1"/>
  <c r="Q453" i="1"/>
  <c r="R453" i="1"/>
  <c r="T453" i="1"/>
  <c r="P454" i="1"/>
  <c r="Q454" i="1"/>
  <c r="R454" i="1"/>
  <c r="T454" i="1"/>
  <c r="P455" i="1"/>
  <c r="Q455" i="1"/>
  <c r="R455" i="1"/>
  <c r="T455" i="1"/>
  <c r="P456" i="1"/>
  <c r="Q456" i="1"/>
  <c r="R456" i="1"/>
  <c r="T456" i="1"/>
  <c r="P457" i="1"/>
  <c r="Q457" i="1"/>
  <c r="R457" i="1"/>
  <c r="T457" i="1"/>
  <c r="P458" i="1"/>
  <c r="Q458" i="1"/>
  <c r="R458" i="1"/>
  <c r="T458" i="1"/>
  <c r="P459" i="1"/>
  <c r="Q459" i="1"/>
  <c r="R459" i="1"/>
  <c r="T459" i="1"/>
  <c r="P460" i="1"/>
  <c r="Q460" i="1"/>
  <c r="R460" i="1"/>
  <c r="T460" i="1"/>
  <c r="P461" i="1"/>
  <c r="Q461" i="1"/>
  <c r="R461" i="1"/>
  <c r="T461" i="1"/>
  <c r="P462" i="1"/>
  <c r="Q462" i="1"/>
  <c r="R462" i="1"/>
  <c r="T462" i="1"/>
  <c r="P463" i="1"/>
  <c r="Q463" i="1"/>
  <c r="R463" i="1"/>
  <c r="T463" i="1"/>
  <c r="P464" i="1"/>
  <c r="Q464" i="1"/>
  <c r="R464" i="1"/>
  <c r="T464" i="1"/>
  <c r="P465" i="1"/>
  <c r="Q465" i="1"/>
  <c r="R465" i="1"/>
  <c r="T465" i="1"/>
  <c r="P466" i="1"/>
  <c r="Q466" i="1"/>
  <c r="R466" i="1"/>
  <c r="T466" i="1"/>
  <c r="P467" i="1"/>
  <c r="Q467" i="1"/>
  <c r="R467" i="1"/>
  <c r="P468" i="1"/>
  <c r="Q468" i="1"/>
  <c r="R468" i="1"/>
  <c r="P469" i="1"/>
  <c r="Q469" i="1"/>
  <c r="R469" i="1"/>
  <c r="P470" i="1"/>
  <c r="Q470" i="1"/>
  <c r="R470" i="1"/>
  <c r="P471" i="1"/>
  <c r="Q471" i="1"/>
  <c r="R471" i="1"/>
  <c r="P472" i="1"/>
  <c r="Q472" i="1"/>
  <c r="R472" i="1"/>
  <c r="P473" i="1"/>
  <c r="Q473" i="1"/>
  <c r="R473" i="1"/>
  <c r="P474" i="1"/>
  <c r="Q474" i="1"/>
  <c r="R474" i="1"/>
  <c r="P475" i="1"/>
  <c r="Q475" i="1"/>
  <c r="R475" i="1"/>
  <c r="P476" i="1"/>
  <c r="Q476" i="1"/>
  <c r="R476" i="1"/>
  <c r="P477" i="1"/>
  <c r="Q477" i="1"/>
  <c r="R477" i="1"/>
  <c r="P478" i="1"/>
  <c r="Q478" i="1"/>
  <c r="R478" i="1"/>
  <c r="P479" i="1"/>
  <c r="Q479" i="1"/>
  <c r="R479" i="1"/>
  <c r="P480" i="1"/>
  <c r="Q480" i="1"/>
  <c r="R480" i="1"/>
  <c r="P481" i="1"/>
  <c r="Q481" i="1"/>
  <c r="R481" i="1"/>
  <c r="P482" i="1"/>
  <c r="Q482" i="1"/>
  <c r="R482" i="1"/>
  <c r="P483" i="1"/>
  <c r="Q483" i="1"/>
  <c r="R483" i="1"/>
  <c r="P484" i="1"/>
  <c r="Q484" i="1"/>
  <c r="R484" i="1"/>
  <c r="P485" i="1"/>
  <c r="Q485" i="1"/>
  <c r="R485" i="1"/>
  <c r="P486" i="1"/>
  <c r="Q486" i="1"/>
  <c r="R486" i="1"/>
  <c r="P487" i="1"/>
  <c r="Q487" i="1"/>
  <c r="R487" i="1"/>
  <c r="P488" i="1"/>
  <c r="Q488" i="1"/>
  <c r="R488" i="1"/>
  <c r="P489" i="1"/>
  <c r="Q489" i="1"/>
  <c r="R489" i="1"/>
  <c r="T489" i="1"/>
  <c r="P490" i="1"/>
  <c r="Q490" i="1"/>
  <c r="R490" i="1"/>
  <c r="T490" i="1"/>
  <c r="P491" i="1"/>
  <c r="Q491" i="1"/>
  <c r="R491" i="1"/>
  <c r="T491" i="1"/>
  <c r="P492" i="1"/>
  <c r="Q492" i="1"/>
  <c r="R492" i="1"/>
  <c r="T492" i="1"/>
  <c r="P493" i="1"/>
  <c r="Q493" i="1"/>
  <c r="R493" i="1"/>
  <c r="T493" i="1"/>
  <c r="P494" i="1"/>
  <c r="Q494" i="1"/>
  <c r="R494" i="1"/>
  <c r="T494" i="1"/>
  <c r="P495" i="1"/>
  <c r="Q495" i="1"/>
  <c r="R495" i="1"/>
  <c r="T495" i="1"/>
  <c r="P496" i="1"/>
  <c r="Q496" i="1"/>
  <c r="R496" i="1"/>
  <c r="T496" i="1"/>
  <c r="P497" i="1"/>
  <c r="Q497" i="1"/>
  <c r="R497" i="1"/>
  <c r="T497" i="1"/>
  <c r="P498" i="1"/>
  <c r="Q498" i="1"/>
  <c r="R498" i="1"/>
  <c r="T498" i="1"/>
  <c r="P499" i="1"/>
  <c r="Q499" i="1"/>
  <c r="R499" i="1"/>
  <c r="T499" i="1"/>
  <c r="P500" i="1"/>
  <c r="Q500" i="1"/>
  <c r="R500" i="1"/>
  <c r="T500" i="1"/>
  <c r="P501" i="1"/>
  <c r="Q501" i="1"/>
  <c r="R501" i="1"/>
  <c r="T501" i="1"/>
  <c r="P502" i="1"/>
  <c r="Q502" i="1"/>
  <c r="R502" i="1"/>
  <c r="T502" i="1"/>
  <c r="P503" i="1"/>
  <c r="Q503" i="1"/>
  <c r="R503" i="1"/>
  <c r="T503" i="1"/>
  <c r="P504" i="1"/>
  <c r="Q504" i="1"/>
  <c r="R504" i="1"/>
  <c r="T504" i="1"/>
  <c r="P505" i="1"/>
  <c r="Q505" i="1"/>
  <c r="R505" i="1"/>
  <c r="T505" i="1"/>
  <c r="P506" i="1"/>
  <c r="Q506" i="1"/>
  <c r="R506" i="1"/>
  <c r="T506" i="1"/>
  <c r="P507" i="1"/>
  <c r="Q507" i="1"/>
  <c r="R507" i="1"/>
  <c r="T507" i="1"/>
  <c r="P508" i="1"/>
  <c r="Q508" i="1"/>
  <c r="R508" i="1"/>
  <c r="T508" i="1"/>
  <c r="P509" i="1"/>
  <c r="Q509" i="1"/>
  <c r="R509" i="1"/>
  <c r="T509" i="1"/>
  <c r="P510" i="1"/>
  <c r="Q510" i="1"/>
  <c r="R510" i="1"/>
  <c r="T510" i="1"/>
  <c r="P511" i="1"/>
  <c r="Q511" i="1"/>
  <c r="R511" i="1"/>
  <c r="T511" i="1"/>
  <c r="P512" i="1"/>
  <c r="Q512" i="1"/>
  <c r="R512" i="1"/>
  <c r="T512" i="1"/>
  <c r="P513" i="1"/>
  <c r="Q513" i="1"/>
  <c r="R513" i="1"/>
  <c r="T513" i="1"/>
  <c r="P514" i="1"/>
  <c r="Q514" i="1"/>
  <c r="R514" i="1"/>
  <c r="T514" i="1"/>
  <c r="P515" i="1"/>
  <c r="Q515" i="1"/>
  <c r="R515" i="1"/>
  <c r="T515" i="1"/>
  <c r="P516" i="1"/>
  <c r="Q516" i="1"/>
  <c r="R516" i="1"/>
  <c r="T516" i="1"/>
  <c r="P517" i="1"/>
  <c r="Q517" i="1"/>
  <c r="R517" i="1"/>
  <c r="T517" i="1"/>
  <c r="P518" i="1"/>
  <c r="Q518" i="1"/>
  <c r="R518" i="1"/>
  <c r="T518" i="1"/>
  <c r="P519" i="1"/>
  <c r="Q519" i="1"/>
  <c r="R519" i="1"/>
  <c r="T519" i="1"/>
  <c r="P520" i="1"/>
  <c r="Q520" i="1"/>
  <c r="R520" i="1"/>
  <c r="T520" i="1"/>
  <c r="P521" i="1"/>
  <c r="Q521" i="1"/>
  <c r="R521" i="1"/>
  <c r="T521" i="1"/>
  <c r="P522" i="1"/>
  <c r="Q522" i="1"/>
  <c r="R522" i="1"/>
  <c r="T522" i="1"/>
  <c r="P523" i="1"/>
  <c r="Q523" i="1"/>
  <c r="R523" i="1"/>
  <c r="T523" i="1"/>
  <c r="P524" i="1"/>
  <c r="Q524" i="1"/>
  <c r="R524" i="1"/>
  <c r="T524" i="1"/>
  <c r="P525" i="1"/>
  <c r="Q525" i="1"/>
  <c r="R525" i="1"/>
  <c r="T525" i="1"/>
  <c r="P526" i="1"/>
  <c r="Q526" i="1"/>
  <c r="R526" i="1"/>
  <c r="T526" i="1"/>
  <c r="P527" i="1"/>
  <c r="Q527" i="1"/>
  <c r="R527" i="1"/>
  <c r="T527" i="1"/>
  <c r="P528" i="1"/>
  <c r="Q528" i="1"/>
  <c r="R528" i="1"/>
  <c r="T528" i="1"/>
  <c r="P529" i="1"/>
  <c r="Q529" i="1"/>
  <c r="R529" i="1"/>
  <c r="T529" i="1"/>
  <c r="P530" i="1"/>
  <c r="Q530" i="1"/>
  <c r="R530" i="1"/>
  <c r="T530" i="1"/>
  <c r="P531" i="1"/>
  <c r="Q531" i="1"/>
  <c r="R531" i="1"/>
  <c r="T531" i="1"/>
  <c r="P532" i="1"/>
  <c r="Q532" i="1"/>
  <c r="R532" i="1"/>
  <c r="T532" i="1"/>
  <c r="P533" i="1"/>
  <c r="Q533" i="1"/>
  <c r="R533" i="1"/>
  <c r="T533" i="1"/>
  <c r="P534" i="1"/>
  <c r="Q534" i="1"/>
  <c r="R534" i="1"/>
  <c r="T534" i="1"/>
  <c r="P535" i="1"/>
  <c r="Q535" i="1"/>
  <c r="R535" i="1"/>
  <c r="T535" i="1"/>
  <c r="P536" i="1"/>
  <c r="Q536" i="1"/>
  <c r="R536" i="1"/>
  <c r="T536" i="1"/>
  <c r="P537" i="1"/>
  <c r="Q537" i="1"/>
  <c r="R537" i="1"/>
  <c r="T537" i="1"/>
  <c r="P538" i="1"/>
  <c r="Q538" i="1"/>
  <c r="R538" i="1"/>
  <c r="T538" i="1"/>
  <c r="P539" i="1"/>
  <c r="Q539" i="1"/>
  <c r="R539" i="1"/>
  <c r="T539" i="1"/>
  <c r="P540" i="1"/>
  <c r="Q540" i="1"/>
  <c r="R540" i="1"/>
  <c r="P541" i="1"/>
  <c r="Q541" i="1"/>
  <c r="R541" i="1"/>
  <c r="T541" i="1"/>
  <c r="P542" i="1"/>
  <c r="Q542" i="1"/>
  <c r="R542" i="1"/>
  <c r="T542" i="1"/>
  <c r="P543" i="1"/>
  <c r="Q543" i="1"/>
  <c r="R543" i="1"/>
  <c r="T543" i="1"/>
  <c r="P544" i="1"/>
  <c r="Q544" i="1"/>
  <c r="R544" i="1"/>
  <c r="T544" i="1"/>
  <c r="P545" i="1"/>
  <c r="Q545" i="1"/>
  <c r="R545" i="1"/>
  <c r="T545" i="1"/>
  <c r="P546" i="1"/>
  <c r="Q546" i="1"/>
  <c r="R546" i="1"/>
  <c r="T546" i="1"/>
  <c r="P547" i="1"/>
  <c r="Q547" i="1"/>
  <c r="R547" i="1"/>
  <c r="T547" i="1"/>
  <c r="P548" i="1"/>
  <c r="Q548" i="1"/>
  <c r="R548" i="1"/>
  <c r="T548" i="1"/>
  <c r="P549" i="1"/>
  <c r="Q549" i="1"/>
  <c r="R549" i="1"/>
  <c r="T549" i="1"/>
  <c r="P550" i="1"/>
  <c r="Q550" i="1"/>
  <c r="R550" i="1"/>
  <c r="T550" i="1"/>
  <c r="P551" i="1"/>
  <c r="Q551" i="1"/>
  <c r="R551" i="1"/>
  <c r="T551" i="1"/>
  <c r="P552" i="1"/>
  <c r="Q552" i="1"/>
  <c r="R552" i="1"/>
  <c r="T552" i="1"/>
  <c r="P553" i="1"/>
  <c r="Q553" i="1"/>
  <c r="R553" i="1"/>
  <c r="T553" i="1"/>
  <c r="P554" i="1"/>
  <c r="Q554" i="1"/>
  <c r="R554" i="1"/>
  <c r="T554" i="1"/>
  <c r="P555" i="1"/>
  <c r="Q555" i="1"/>
  <c r="R555" i="1"/>
  <c r="T555" i="1"/>
  <c r="P556" i="1"/>
  <c r="Q556" i="1"/>
  <c r="R556" i="1"/>
  <c r="T556" i="1"/>
  <c r="P557" i="1"/>
  <c r="Q557" i="1"/>
  <c r="R557" i="1"/>
  <c r="T557" i="1"/>
  <c r="P558" i="1"/>
  <c r="Q558" i="1"/>
  <c r="R558" i="1"/>
  <c r="T558" i="1"/>
  <c r="P559" i="1"/>
  <c r="Q559" i="1"/>
  <c r="R559" i="1"/>
  <c r="T559" i="1"/>
  <c r="P560" i="1"/>
  <c r="Q560" i="1"/>
  <c r="R560" i="1"/>
  <c r="T560" i="1"/>
  <c r="P561" i="1"/>
  <c r="Q561" i="1"/>
  <c r="R561" i="1"/>
  <c r="T561" i="1"/>
  <c r="P562" i="1"/>
  <c r="Q562" i="1"/>
  <c r="R562" i="1"/>
  <c r="T562" i="1"/>
  <c r="P563" i="1"/>
  <c r="Q563" i="1"/>
  <c r="R563" i="1"/>
  <c r="T563" i="1"/>
  <c r="P564" i="1"/>
  <c r="Q564" i="1"/>
  <c r="R564" i="1"/>
  <c r="T564" i="1"/>
  <c r="P565" i="1"/>
  <c r="Q565" i="1"/>
  <c r="R565" i="1"/>
  <c r="T565" i="1"/>
  <c r="P566" i="1"/>
  <c r="Q566" i="1"/>
  <c r="R566" i="1"/>
  <c r="T566" i="1"/>
  <c r="P567" i="1"/>
  <c r="Q567" i="1"/>
  <c r="R567" i="1"/>
  <c r="T567" i="1"/>
  <c r="P568" i="1"/>
  <c r="Q568" i="1"/>
  <c r="R568" i="1"/>
  <c r="T568" i="1"/>
  <c r="P569" i="1"/>
  <c r="Q569" i="1"/>
  <c r="R569" i="1"/>
  <c r="T569" i="1"/>
  <c r="P570" i="1"/>
  <c r="Q570" i="1"/>
  <c r="R570" i="1"/>
  <c r="T570" i="1"/>
  <c r="P571" i="1"/>
  <c r="Q571" i="1"/>
  <c r="R571" i="1"/>
  <c r="T571" i="1"/>
  <c r="P572" i="1"/>
  <c r="Q572" i="1"/>
  <c r="R572" i="1"/>
  <c r="T572" i="1"/>
  <c r="P573" i="1"/>
  <c r="Q573" i="1"/>
  <c r="R573" i="1"/>
  <c r="T573" i="1"/>
  <c r="P574" i="1"/>
  <c r="Q574" i="1"/>
  <c r="R574" i="1"/>
  <c r="T574" i="1"/>
  <c r="P575" i="1"/>
  <c r="Q575" i="1"/>
  <c r="R575" i="1"/>
  <c r="T575" i="1"/>
  <c r="P576" i="1"/>
  <c r="Q576" i="1"/>
  <c r="R576" i="1"/>
  <c r="T576" i="1"/>
  <c r="P577" i="1"/>
  <c r="Q577" i="1"/>
  <c r="R577" i="1"/>
  <c r="T577" i="1"/>
  <c r="P578" i="1"/>
  <c r="Q578" i="1"/>
  <c r="R578" i="1"/>
  <c r="T578" i="1"/>
  <c r="P579" i="1"/>
  <c r="Q579" i="1"/>
  <c r="R579" i="1"/>
  <c r="T579" i="1"/>
  <c r="P580" i="1"/>
  <c r="Q580" i="1"/>
  <c r="R580" i="1"/>
  <c r="T580" i="1"/>
  <c r="P581" i="1"/>
  <c r="Q581" i="1"/>
  <c r="R581" i="1"/>
  <c r="T581" i="1"/>
  <c r="P582" i="1"/>
  <c r="Q582" i="1"/>
  <c r="R582" i="1"/>
  <c r="T582" i="1"/>
  <c r="P583" i="1"/>
  <c r="Q583" i="1"/>
  <c r="R583" i="1"/>
  <c r="T583" i="1"/>
  <c r="P584" i="1"/>
  <c r="Q584" i="1"/>
  <c r="R584" i="1"/>
  <c r="T584" i="1"/>
  <c r="P585" i="1"/>
  <c r="Q585" i="1"/>
  <c r="R585" i="1"/>
  <c r="T585" i="1"/>
  <c r="P586" i="1"/>
  <c r="Q586" i="1"/>
  <c r="R586" i="1"/>
  <c r="T586" i="1"/>
  <c r="P587" i="1"/>
  <c r="Q587" i="1"/>
  <c r="R587" i="1"/>
  <c r="T587" i="1"/>
  <c r="P588" i="1"/>
  <c r="Q588" i="1"/>
  <c r="R588" i="1"/>
  <c r="T588" i="1"/>
  <c r="P589" i="1"/>
  <c r="Q589" i="1"/>
  <c r="R589" i="1"/>
  <c r="T589" i="1"/>
  <c r="P590" i="1"/>
  <c r="Q590" i="1"/>
  <c r="R590" i="1"/>
  <c r="T590" i="1"/>
  <c r="P591" i="1"/>
  <c r="Q591" i="1"/>
  <c r="R591" i="1"/>
  <c r="T591" i="1"/>
  <c r="P592" i="1"/>
  <c r="Q592" i="1"/>
  <c r="R592" i="1"/>
  <c r="T592" i="1"/>
  <c r="P593" i="1"/>
  <c r="Q593" i="1"/>
  <c r="R593" i="1"/>
  <c r="T593" i="1"/>
  <c r="P594" i="1"/>
  <c r="Q594" i="1"/>
  <c r="R594" i="1"/>
  <c r="T594" i="1"/>
  <c r="P595" i="1"/>
  <c r="Q595" i="1"/>
  <c r="R595" i="1"/>
  <c r="T595" i="1"/>
  <c r="P596" i="1"/>
  <c r="Q596" i="1"/>
  <c r="R596" i="1"/>
  <c r="T596" i="1"/>
  <c r="P597" i="1"/>
  <c r="Q597" i="1"/>
  <c r="R597" i="1"/>
  <c r="T597" i="1"/>
  <c r="P598" i="1"/>
  <c r="Q598" i="1"/>
  <c r="R598" i="1"/>
  <c r="T598" i="1"/>
  <c r="P599" i="1"/>
  <c r="Q599" i="1"/>
  <c r="R599" i="1"/>
  <c r="T599" i="1"/>
  <c r="P600" i="1"/>
  <c r="Q600" i="1"/>
  <c r="R600" i="1"/>
  <c r="T600" i="1"/>
  <c r="P601" i="1"/>
  <c r="Q601" i="1"/>
  <c r="R601" i="1"/>
  <c r="T601" i="1"/>
  <c r="P602" i="1"/>
  <c r="Q602" i="1"/>
  <c r="R602" i="1"/>
  <c r="T602" i="1"/>
  <c r="P603" i="1"/>
  <c r="Q603" i="1"/>
  <c r="R603" i="1"/>
  <c r="T603" i="1"/>
  <c r="P604" i="1"/>
  <c r="Q604" i="1"/>
  <c r="R604" i="1"/>
  <c r="T604" i="1"/>
  <c r="P605" i="1"/>
  <c r="Q605" i="1"/>
  <c r="R605" i="1"/>
  <c r="T605" i="1"/>
  <c r="P606" i="1"/>
  <c r="Q606" i="1"/>
  <c r="R606" i="1"/>
  <c r="T606" i="1"/>
  <c r="P607" i="1"/>
  <c r="Q607" i="1"/>
  <c r="R607" i="1"/>
  <c r="T607" i="1"/>
  <c r="P608" i="1"/>
  <c r="Q608" i="1"/>
  <c r="R608" i="1"/>
  <c r="T608" i="1"/>
  <c r="P609" i="1"/>
  <c r="Q609" i="1"/>
  <c r="R609" i="1"/>
  <c r="T609" i="1"/>
  <c r="P610" i="1"/>
  <c r="Q610" i="1"/>
  <c r="R610" i="1"/>
  <c r="T610" i="1"/>
  <c r="P611" i="1"/>
  <c r="Q611" i="1"/>
  <c r="R611" i="1"/>
  <c r="T611" i="1"/>
  <c r="P612" i="1"/>
  <c r="Q612" i="1"/>
  <c r="R612" i="1"/>
  <c r="T612" i="1"/>
  <c r="P613" i="1"/>
  <c r="Q613" i="1"/>
  <c r="R613" i="1"/>
  <c r="T613" i="1"/>
  <c r="P614" i="1"/>
  <c r="Q614" i="1"/>
  <c r="R614" i="1"/>
  <c r="T614" i="1"/>
  <c r="P615" i="1"/>
  <c r="Q615" i="1"/>
  <c r="R615" i="1"/>
  <c r="T615" i="1"/>
  <c r="P616" i="1"/>
  <c r="Q616" i="1"/>
  <c r="R616" i="1"/>
  <c r="T616" i="1"/>
  <c r="P617" i="1"/>
  <c r="Q617" i="1"/>
  <c r="R617" i="1"/>
  <c r="T617" i="1"/>
  <c r="P618" i="1"/>
  <c r="Q618" i="1"/>
  <c r="R618" i="1"/>
  <c r="T618" i="1"/>
  <c r="P619" i="1"/>
  <c r="Q619" i="1"/>
  <c r="R619" i="1"/>
  <c r="T619" i="1"/>
  <c r="P620" i="1"/>
  <c r="Q620" i="1"/>
  <c r="R620" i="1"/>
  <c r="T620" i="1"/>
  <c r="P621" i="1"/>
  <c r="Q621" i="1"/>
  <c r="R621" i="1"/>
  <c r="T621" i="1"/>
  <c r="P622" i="1"/>
  <c r="Q622" i="1"/>
  <c r="R622" i="1"/>
  <c r="T622" i="1"/>
  <c r="P623" i="1"/>
  <c r="Q623" i="1"/>
  <c r="R623" i="1"/>
  <c r="T623" i="1"/>
  <c r="P624" i="1"/>
  <c r="Q624" i="1"/>
  <c r="R624" i="1"/>
  <c r="T624" i="1"/>
  <c r="P625" i="1"/>
  <c r="Q625" i="1"/>
  <c r="R625" i="1"/>
  <c r="T625" i="1"/>
  <c r="P626" i="1"/>
  <c r="Q626" i="1"/>
  <c r="R626" i="1"/>
  <c r="T626" i="1"/>
  <c r="P627" i="1"/>
  <c r="Q627" i="1"/>
  <c r="R627" i="1"/>
  <c r="T627"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P832" i="1" l="1"/>
  <c r="Q832" i="1"/>
  <c r="R832" i="1"/>
  <c r="U832" i="1"/>
  <c r="X832" i="1"/>
  <c r="B18" i="13"/>
  <c r="Z832" i="1" l="1"/>
  <c r="Y832" i="1"/>
  <c r="AA832" i="1" s="1"/>
  <c r="P831" i="1" l="1"/>
  <c r="Q831" i="1"/>
  <c r="R831" i="1"/>
  <c r="U831" i="1"/>
  <c r="X831" i="1"/>
  <c r="Y831" i="1" l="1"/>
  <c r="AA831" i="1" s="1"/>
  <c r="Z831" i="1"/>
  <c r="V4" i="1" l="1"/>
  <c r="P830" i="1"/>
  <c r="Q830" i="1"/>
  <c r="R830" i="1"/>
  <c r="U830" i="1"/>
  <c r="X830" i="1"/>
  <c r="Z830" i="1" l="1"/>
  <c r="Y830" i="1"/>
  <c r="AA830" i="1" s="1"/>
  <c r="Q628" i="1" l="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R628" i="1" l="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Z19" i="1" l="1"/>
  <c r="Z409" i="1"/>
  <c r="Z397" i="1"/>
  <c r="Z362" i="1"/>
  <c r="Z358" i="1"/>
  <c r="Z354" i="1"/>
  <c r="Z352" i="1"/>
  <c r="Z348" i="1"/>
  <c r="Z294" i="1"/>
  <c r="Z290" i="1"/>
  <c r="Z283" i="1"/>
  <c r="Z280" i="1"/>
  <c r="Z276" i="1"/>
  <c r="Z266" i="1"/>
  <c r="Z262" i="1"/>
  <c r="Z258" i="1"/>
  <c r="Z254" i="1"/>
  <c r="Z250" i="1"/>
  <c r="Z246" i="1"/>
  <c r="Z395" i="1"/>
  <c r="Z370" i="1"/>
  <c r="Z363" i="1"/>
  <c r="Z359" i="1"/>
  <c r="Z355" i="1"/>
  <c r="Z349" i="1"/>
  <c r="Z298" i="1"/>
  <c r="Z295" i="1"/>
  <c r="Z291" i="1"/>
  <c r="Z287" i="1"/>
  <c r="Z281" i="1"/>
  <c r="Z277" i="1"/>
  <c r="Z273" i="1"/>
  <c r="Z271" i="1"/>
  <c r="Z268" i="1"/>
  <c r="Z263" i="1"/>
  <c r="Z259" i="1"/>
  <c r="Z255" i="1"/>
  <c r="Z251" i="1"/>
  <c r="Z247" i="1"/>
  <c r="Z243" i="1"/>
  <c r="Z241" i="1"/>
  <c r="Z396" i="1"/>
  <c r="Z372" i="1"/>
  <c r="Z361" i="1"/>
  <c r="Z357" i="1"/>
  <c r="Z353" i="1"/>
  <c r="Z351" i="1"/>
  <c r="Z16" i="1"/>
  <c r="Z297" i="1"/>
  <c r="Z293" i="1"/>
  <c r="Z289" i="1"/>
  <c r="Z286" i="1"/>
  <c r="Z285" i="1"/>
  <c r="Z279" i="1"/>
  <c r="Z275" i="1"/>
  <c r="Z272" i="1"/>
  <c r="Z270" i="1"/>
  <c r="Z265" i="1"/>
  <c r="Z261" i="1"/>
  <c r="Z257" i="1"/>
  <c r="Z253" i="1"/>
  <c r="Z249" i="1"/>
  <c r="Z245" i="1"/>
  <c r="Z371" i="1"/>
  <c r="Z364" i="1"/>
  <c r="Z360" i="1"/>
  <c r="Z356" i="1"/>
  <c r="Z350" i="1"/>
  <c r="Z11" i="1"/>
  <c r="Z296" i="1"/>
  <c r="Z292" i="1"/>
  <c r="Z288" i="1"/>
  <c r="Z284" i="1"/>
  <c r="Z282" i="1"/>
  <c r="Z278" i="1"/>
  <c r="Z274" i="1"/>
  <c r="Z269" i="1"/>
  <c r="Z264" i="1"/>
  <c r="Z260" i="1"/>
  <c r="Z256" i="1"/>
  <c r="Z252" i="1"/>
  <c r="Z248" i="1"/>
  <c r="Z244" i="1"/>
  <c r="Z242" i="1"/>
  <c r="V5" i="1"/>
  <c r="U829" i="1" l="1"/>
  <c r="X829" i="1"/>
  <c r="Z829" i="1" l="1"/>
  <c r="Y829" i="1"/>
  <c r="AA829" i="1" s="1"/>
  <c r="T628" i="1" l="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M37" i="9"/>
  <c r="M36" i="9"/>
  <c r="M35" i="9"/>
  <c r="M34" i="9"/>
  <c r="M33" i="9"/>
  <c r="M32" i="9"/>
  <c r="M31" i="9"/>
  <c r="M30" i="9"/>
  <c r="M29" i="9"/>
  <c r="M28" i="9"/>
  <c r="M27" i="9"/>
  <c r="M26" i="9"/>
  <c r="M7" i="9" l="1"/>
  <c r="M8" i="9"/>
  <c r="M9" i="9"/>
  <c r="M10" i="9"/>
  <c r="M11" i="9"/>
  <c r="M12" i="9"/>
  <c r="M13" i="9"/>
  <c r="M14" i="9"/>
  <c r="M15" i="9"/>
  <c r="M16" i="9"/>
  <c r="M17" i="9"/>
  <c r="M18" i="9"/>
  <c r="M19" i="9"/>
  <c r="M6" i="9"/>
  <c r="L20" i="9"/>
  <c r="F20" i="9"/>
  <c r="U21" i="1"/>
  <c r="X21" i="1"/>
  <c r="U22" i="1"/>
  <c r="X22" i="1"/>
  <c r="U23" i="1"/>
  <c r="X23" i="1"/>
  <c r="U24" i="1"/>
  <c r="X24" i="1"/>
  <c r="U25" i="1"/>
  <c r="X25" i="1"/>
  <c r="U26" i="1"/>
  <c r="X26" i="1"/>
  <c r="U27" i="1"/>
  <c r="X27" i="1"/>
  <c r="U28" i="1"/>
  <c r="X28" i="1"/>
  <c r="U29" i="1"/>
  <c r="X29" i="1"/>
  <c r="U30" i="1"/>
  <c r="X30" i="1"/>
  <c r="U31" i="1"/>
  <c r="X31" i="1"/>
  <c r="U32" i="1"/>
  <c r="X32" i="1"/>
  <c r="U33" i="1"/>
  <c r="X33" i="1"/>
  <c r="U34" i="1"/>
  <c r="X34" i="1"/>
  <c r="U35" i="1"/>
  <c r="X35" i="1"/>
  <c r="U36" i="1"/>
  <c r="X36" i="1"/>
  <c r="U37" i="1"/>
  <c r="X37" i="1"/>
  <c r="U38" i="1"/>
  <c r="X38" i="1"/>
  <c r="U39" i="1"/>
  <c r="X39" i="1"/>
  <c r="U40" i="1"/>
  <c r="X40" i="1"/>
  <c r="U41" i="1"/>
  <c r="X41" i="1"/>
  <c r="U42" i="1"/>
  <c r="X42" i="1"/>
  <c r="U43" i="1"/>
  <c r="X43" i="1"/>
  <c r="U44" i="1"/>
  <c r="X44" i="1"/>
  <c r="U45" i="1"/>
  <c r="X45" i="1"/>
  <c r="U46" i="1"/>
  <c r="X46" i="1"/>
  <c r="U47" i="1"/>
  <c r="X47" i="1"/>
  <c r="U49" i="1"/>
  <c r="X49" i="1"/>
  <c r="U50" i="1"/>
  <c r="X50" i="1"/>
  <c r="U51" i="1"/>
  <c r="X51" i="1"/>
  <c r="U52" i="1"/>
  <c r="X52" i="1"/>
  <c r="U53" i="1"/>
  <c r="X53" i="1"/>
  <c r="U54" i="1"/>
  <c r="X54" i="1"/>
  <c r="U55" i="1"/>
  <c r="X55" i="1"/>
  <c r="U56" i="1"/>
  <c r="X56" i="1"/>
  <c r="U57" i="1"/>
  <c r="X57" i="1"/>
  <c r="U58" i="1"/>
  <c r="X58" i="1"/>
  <c r="U59" i="1"/>
  <c r="X59" i="1"/>
  <c r="U60" i="1"/>
  <c r="X60" i="1"/>
  <c r="U61" i="1"/>
  <c r="X61" i="1"/>
  <c r="U62" i="1"/>
  <c r="X62" i="1"/>
  <c r="U63" i="1"/>
  <c r="X63" i="1"/>
  <c r="U64" i="1"/>
  <c r="X64" i="1"/>
  <c r="U65" i="1"/>
  <c r="X65" i="1"/>
  <c r="U66" i="1"/>
  <c r="X66" i="1"/>
  <c r="U67" i="1"/>
  <c r="X67" i="1"/>
  <c r="U68" i="1"/>
  <c r="X68" i="1"/>
  <c r="U69" i="1"/>
  <c r="X69" i="1"/>
  <c r="U70" i="1"/>
  <c r="X70" i="1"/>
  <c r="U71" i="1"/>
  <c r="X71" i="1"/>
  <c r="U72" i="1"/>
  <c r="X72" i="1"/>
  <c r="U73" i="1"/>
  <c r="X73" i="1"/>
  <c r="U74" i="1"/>
  <c r="X74" i="1"/>
  <c r="U75" i="1"/>
  <c r="X75" i="1"/>
  <c r="U76" i="1"/>
  <c r="X76" i="1"/>
  <c r="U77" i="1"/>
  <c r="X77" i="1"/>
  <c r="U78" i="1"/>
  <c r="X78" i="1"/>
  <c r="U79" i="1"/>
  <c r="X79" i="1"/>
  <c r="U80" i="1"/>
  <c r="X80" i="1"/>
  <c r="U81" i="1"/>
  <c r="X81" i="1"/>
  <c r="U82" i="1"/>
  <c r="X82" i="1"/>
  <c r="U83" i="1"/>
  <c r="X83" i="1"/>
  <c r="U84" i="1"/>
  <c r="X84" i="1"/>
  <c r="U85" i="1"/>
  <c r="X85" i="1"/>
  <c r="U86" i="1"/>
  <c r="X86" i="1"/>
  <c r="U87" i="1"/>
  <c r="X87" i="1"/>
  <c r="U88" i="1"/>
  <c r="X88" i="1"/>
  <c r="U89" i="1"/>
  <c r="X89" i="1"/>
  <c r="U90" i="1"/>
  <c r="X90" i="1"/>
  <c r="U91" i="1"/>
  <c r="X91" i="1"/>
  <c r="U92" i="1"/>
  <c r="X92" i="1"/>
  <c r="U93" i="1"/>
  <c r="X93" i="1"/>
  <c r="U94" i="1"/>
  <c r="X94" i="1"/>
  <c r="U95" i="1"/>
  <c r="X95" i="1"/>
  <c r="U96" i="1"/>
  <c r="X96" i="1"/>
  <c r="U97" i="1"/>
  <c r="X97" i="1"/>
  <c r="U98" i="1"/>
  <c r="X98" i="1"/>
  <c r="U99" i="1"/>
  <c r="X99" i="1"/>
  <c r="U100" i="1"/>
  <c r="X100" i="1"/>
  <c r="U101" i="1"/>
  <c r="X101" i="1"/>
  <c r="U102" i="1"/>
  <c r="X102" i="1"/>
  <c r="U103" i="1"/>
  <c r="X103" i="1"/>
  <c r="U104" i="1"/>
  <c r="X104" i="1"/>
  <c r="U105" i="1"/>
  <c r="X105" i="1"/>
  <c r="U106" i="1"/>
  <c r="X106" i="1"/>
  <c r="U107" i="1"/>
  <c r="X107" i="1"/>
  <c r="U413" i="1"/>
  <c r="X413" i="1"/>
  <c r="U108" i="1"/>
  <c r="X108" i="1"/>
  <c r="U109" i="1"/>
  <c r="X109" i="1"/>
  <c r="U110" i="1"/>
  <c r="X110" i="1"/>
  <c r="U111" i="1"/>
  <c r="X111" i="1"/>
  <c r="U112" i="1"/>
  <c r="X112" i="1"/>
  <c r="U14" i="1"/>
  <c r="X14" i="1"/>
  <c r="U114" i="1"/>
  <c r="X114" i="1"/>
  <c r="U115" i="1"/>
  <c r="X115" i="1"/>
  <c r="U116" i="1"/>
  <c r="X116" i="1"/>
  <c r="U117" i="1"/>
  <c r="X117" i="1"/>
  <c r="U118" i="1"/>
  <c r="X118" i="1"/>
  <c r="U119" i="1"/>
  <c r="X119" i="1"/>
  <c r="U120" i="1"/>
  <c r="X120" i="1"/>
  <c r="U121" i="1"/>
  <c r="X121" i="1"/>
  <c r="U122" i="1"/>
  <c r="X122" i="1"/>
  <c r="U123" i="1"/>
  <c r="X123" i="1"/>
  <c r="U13" i="1"/>
  <c r="X13" i="1"/>
  <c r="U12" i="1"/>
  <c r="X12" i="1"/>
  <c r="U125" i="1"/>
  <c r="X125" i="1"/>
  <c r="U126" i="1"/>
  <c r="X126" i="1"/>
  <c r="U127" i="1"/>
  <c r="X127" i="1"/>
  <c r="U128" i="1"/>
  <c r="X128" i="1"/>
  <c r="U129" i="1"/>
  <c r="X129" i="1"/>
  <c r="U130" i="1"/>
  <c r="X130" i="1"/>
  <c r="U131" i="1"/>
  <c r="X131" i="1"/>
  <c r="U132" i="1"/>
  <c r="X132" i="1"/>
  <c r="U133" i="1"/>
  <c r="X133" i="1"/>
  <c r="U134" i="1"/>
  <c r="X134" i="1"/>
  <c r="U135" i="1"/>
  <c r="X135" i="1"/>
  <c r="U136" i="1"/>
  <c r="X136" i="1"/>
  <c r="U137" i="1"/>
  <c r="X137" i="1"/>
  <c r="U138" i="1"/>
  <c r="X138" i="1"/>
  <c r="U139" i="1"/>
  <c r="X139" i="1"/>
  <c r="U140" i="1"/>
  <c r="X140" i="1"/>
  <c r="U141" i="1"/>
  <c r="X141" i="1"/>
  <c r="U142" i="1"/>
  <c r="X142" i="1"/>
  <c r="U143" i="1"/>
  <c r="X143" i="1"/>
  <c r="U144" i="1"/>
  <c r="X144" i="1"/>
  <c r="U145" i="1"/>
  <c r="X145" i="1"/>
  <c r="U146" i="1"/>
  <c r="X146" i="1"/>
  <c r="U147" i="1"/>
  <c r="X147" i="1"/>
  <c r="U148" i="1"/>
  <c r="X148" i="1"/>
  <c r="U149" i="1"/>
  <c r="X149" i="1"/>
  <c r="U150" i="1"/>
  <c r="X150" i="1"/>
  <c r="U151" i="1"/>
  <c r="X151" i="1"/>
  <c r="U152" i="1"/>
  <c r="X152" i="1"/>
  <c r="U153" i="1"/>
  <c r="X153" i="1"/>
  <c r="U154" i="1"/>
  <c r="X154" i="1"/>
  <c r="U155" i="1"/>
  <c r="X155" i="1"/>
  <c r="U156" i="1"/>
  <c r="X156" i="1"/>
  <c r="U157" i="1"/>
  <c r="X157" i="1"/>
  <c r="U158" i="1"/>
  <c r="X158" i="1"/>
  <c r="U159" i="1"/>
  <c r="X159" i="1"/>
  <c r="U160" i="1"/>
  <c r="X160" i="1"/>
  <c r="U161" i="1"/>
  <c r="X161" i="1"/>
  <c r="U162" i="1"/>
  <c r="X162" i="1"/>
  <c r="U163" i="1"/>
  <c r="X163" i="1"/>
  <c r="U164" i="1"/>
  <c r="X164" i="1"/>
  <c r="U165" i="1"/>
  <c r="X165" i="1"/>
  <c r="U166" i="1"/>
  <c r="X166" i="1"/>
  <c r="U167" i="1"/>
  <c r="X167" i="1"/>
  <c r="U168" i="1"/>
  <c r="X168" i="1"/>
  <c r="U169" i="1"/>
  <c r="X169" i="1"/>
  <c r="U170" i="1"/>
  <c r="X170" i="1"/>
  <c r="U171" i="1"/>
  <c r="X171" i="1"/>
  <c r="U172" i="1"/>
  <c r="X172" i="1"/>
  <c r="U173" i="1"/>
  <c r="X173" i="1"/>
  <c r="U174" i="1"/>
  <c r="X174" i="1"/>
  <c r="U175" i="1"/>
  <c r="X175" i="1"/>
  <c r="U176" i="1"/>
  <c r="X176" i="1"/>
  <c r="U177" i="1"/>
  <c r="X177" i="1"/>
  <c r="U178" i="1"/>
  <c r="X178" i="1"/>
  <c r="U179" i="1"/>
  <c r="X179" i="1"/>
  <c r="U180" i="1"/>
  <c r="X180" i="1"/>
  <c r="U181" i="1"/>
  <c r="X181" i="1"/>
  <c r="U182" i="1"/>
  <c r="X182" i="1"/>
  <c r="U183" i="1"/>
  <c r="X183" i="1"/>
  <c r="U184" i="1"/>
  <c r="X184" i="1"/>
  <c r="U185" i="1"/>
  <c r="X185" i="1"/>
  <c r="U186" i="1"/>
  <c r="X186" i="1"/>
  <c r="U187" i="1"/>
  <c r="X187" i="1"/>
  <c r="U188" i="1"/>
  <c r="X188" i="1"/>
  <c r="U189" i="1"/>
  <c r="X189" i="1"/>
  <c r="U190" i="1"/>
  <c r="X190" i="1"/>
  <c r="U191" i="1"/>
  <c r="X191" i="1"/>
  <c r="U192" i="1"/>
  <c r="X192" i="1"/>
  <c r="U193" i="1"/>
  <c r="X193" i="1"/>
  <c r="U194" i="1"/>
  <c r="X194" i="1"/>
  <c r="U195" i="1"/>
  <c r="X195" i="1"/>
  <c r="U196" i="1"/>
  <c r="X196" i="1"/>
  <c r="U197" i="1"/>
  <c r="X197" i="1"/>
  <c r="U198" i="1"/>
  <c r="X198" i="1"/>
  <c r="U199" i="1"/>
  <c r="X199" i="1"/>
  <c r="U200" i="1"/>
  <c r="X200" i="1"/>
  <c r="U201" i="1"/>
  <c r="X201" i="1"/>
  <c r="U202" i="1"/>
  <c r="X202" i="1"/>
  <c r="U203" i="1"/>
  <c r="X203" i="1"/>
  <c r="U204" i="1"/>
  <c r="X204" i="1"/>
  <c r="U205" i="1"/>
  <c r="X205" i="1"/>
  <c r="U206" i="1"/>
  <c r="X206" i="1"/>
  <c r="U207" i="1"/>
  <c r="X207" i="1"/>
  <c r="U208" i="1"/>
  <c r="X208" i="1"/>
  <c r="U209" i="1"/>
  <c r="X209" i="1"/>
  <c r="U210" i="1"/>
  <c r="X210" i="1"/>
  <c r="U211" i="1"/>
  <c r="X211" i="1"/>
  <c r="U212" i="1"/>
  <c r="X212" i="1"/>
  <c r="U17" i="1"/>
  <c r="X17" i="1"/>
  <c r="U215" i="1"/>
  <c r="X215" i="1"/>
  <c r="U216" i="1"/>
  <c r="X216" i="1"/>
  <c r="U217" i="1"/>
  <c r="X217" i="1"/>
  <c r="U218" i="1"/>
  <c r="X218" i="1"/>
  <c r="U219" i="1"/>
  <c r="X219" i="1"/>
  <c r="U220" i="1"/>
  <c r="X220" i="1"/>
  <c r="U221" i="1"/>
  <c r="X221" i="1"/>
  <c r="U222" i="1"/>
  <c r="X222" i="1"/>
  <c r="U223" i="1"/>
  <c r="X223" i="1"/>
  <c r="U224" i="1"/>
  <c r="X224" i="1"/>
  <c r="U226" i="1"/>
  <c r="X226" i="1"/>
  <c r="U227" i="1"/>
  <c r="X227" i="1"/>
  <c r="U228" i="1"/>
  <c r="X228" i="1"/>
  <c r="U229" i="1"/>
  <c r="X229" i="1"/>
  <c r="U230" i="1"/>
  <c r="X230" i="1"/>
  <c r="U231" i="1"/>
  <c r="X231" i="1"/>
  <c r="U232" i="1"/>
  <c r="X232" i="1"/>
  <c r="U233" i="1"/>
  <c r="X233" i="1"/>
  <c r="U234" i="1"/>
  <c r="X234" i="1"/>
  <c r="U235" i="1"/>
  <c r="X235" i="1"/>
  <c r="U236" i="1"/>
  <c r="X236" i="1"/>
  <c r="U237" i="1"/>
  <c r="X237" i="1"/>
  <c r="U238" i="1"/>
  <c r="X238" i="1"/>
  <c r="U239" i="1"/>
  <c r="X239" i="1"/>
  <c r="U240" i="1"/>
  <c r="X240" i="1"/>
  <c r="U241" i="1"/>
  <c r="X241" i="1"/>
  <c r="U242" i="1"/>
  <c r="X242" i="1"/>
  <c r="U243" i="1"/>
  <c r="X243" i="1"/>
  <c r="U244" i="1"/>
  <c r="X244" i="1"/>
  <c r="U245" i="1"/>
  <c r="X245" i="1"/>
  <c r="U246" i="1"/>
  <c r="X246" i="1"/>
  <c r="U247" i="1"/>
  <c r="X247" i="1"/>
  <c r="U248" i="1"/>
  <c r="X248" i="1"/>
  <c r="U249" i="1"/>
  <c r="X249" i="1"/>
  <c r="U250" i="1"/>
  <c r="X250" i="1"/>
  <c r="U251" i="1"/>
  <c r="X251" i="1"/>
  <c r="U252" i="1"/>
  <c r="X252" i="1"/>
  <c r="U253" i="1"/>
  <c r="X253" i="1"/>
  <c r="U254" i="1"/>
  <c r="X254" i="1"/>
  <c r="U255" i="1"/>
  <c r="X255" i="1"/>
  <c r="U256" i="1"/>
  <c r="X256" i="1"/>
  <c r="U257" i="1"/>
  <c r="X257" i="1"/>
  <c r="U258" i="1"/>
  <c r="X258" i="1"/>
  <c r="U259" i="1"/>
  <c r="X259" i="1"/>
  <c r="U260" i="1"/>
  <c r="X260" i="1"/>
  <c r="U261" i="1"/>
  <c r="X261" i="1"/>
  <c r="U262" i="1"/>
  <c r="X262" i="1"/>
  <c r="U263" i="1"/>
  <c r="X263" i="1"/>
  <c r="U264" i="1"/>
  <c r="X264" i="1"/>
  <c r="U265" i="1"/>
  <c r="X265" i="1"/>
  <c r="U266" i="1"/>
  <c r="X266" i="1"/>
  <c r="U19" i="1"/>
  <c r="X19" i="1"/>
  <c r="U268" i="1"/>
  <c r="X268" i="1"/>
  <c r="U269" i="1"/>
  <c r="X269" i="1"/>
  <c r="U270" i="1"/>
  <c r="X270" i="1"/>
  <c r="U271" i="1"/>
  <c r="X271" i="1"/>
  <c r="U272" i="1"/>
  <c r="X272" i="1"/>
  <c r="U273" i="1"/>
  <c r="X273" i="1"/>
  <c r="U274" i="1"/>
  <c r="X274" i="1"/>
  <c r="U275" i="1"/>
  <c r="X275" i="1"/>
  <c r="U276" i="1"/>
  <c r="X276" i="1"/>
  <c r="U277" i="1"/>
  <c r="X277" i="1"/>
  <c r="U278" i="1"/>
  <c r="X278" i="1"/>
  <c r="U279" i="1"/>
  <c r="X279" i="1"/>
  <c r="U280" i="1"/>
  <c r="X280" i="1"/>
  <c r="U281" i="1"/>
  <c r="X281" i="1"/>
  <c r="U282" i="1"/>
  <c r="X282" i="1"/>
  <c r="U283" i="1"/>
  <c r="X283" i="1"/>
  <c r="U284" i="1"/>
  <c r="X284" i="1"/>
  <c r="U285" i="1"/>
  <c r="X285" i="1"/>
  <c r="U286" i="1"/>
  <c r="X286" i="1"/>
  <c r="U287" i="1"/>
  <c r="X287" i="1"/>
  <c r="U288" i="1"/>
  <c r="X288" i="1"/>
  <c r="U289" i="1"/>
  <c r="X289" i="1"/>
  <c r="U290" i="1"/>
  <c r="X290" i="1"/>
  <c r="U291" i="1"/>
  <c r="X291" i="1"/>
  <c r="U292" i="1"/>
  <c r="X292" i="1"/>
  <c r="U293" i="1"/>
  <c r="X293" i="1"/>
  <c r="U294" i="1"/>
  <c r="X294" i="1"/>
  <c r="U295" i="1"/>
  <c r="X295" i="1"/>
  <c r="U296" i="1"/>
  <c r="X296" i="1"/>
  <c r="U297" i="1"/>
  <c r="X297" i="1"/>
  <c r="U298" i="1"/>
  <c r="X298" i="1"/>
  <c r="U15" i="1"/>
  <c r="X15" i="1"/>
  <c r="U301" i="1"/>
  <c r="X301" i="1"/>
  <c r="U18" i="1"/>
  <c r="X18" i="1"/>
  <c r="U303" i="1"/>
  <c r="X303" i="1"/>
  <c r="U304" i="1"/>
  <c r="X304" i="1"/>
  <c r="U305" i="1"/>
  <c r="X305" i="1"/>
  <c r="U306" i="1"/>
  <c r="X306" i="1"/>
  <c r="U307" i="1"/>
  <c r="X307" i="1"/>
  <c r="U308" i="1"/>
  <c r="X308" i="1"/>
  <c r="U309" i="1"/>
  <c r="X309" i="1"/>
  <c r="U310" i="1"/>
  <c r="X310" i="1"/>
  <c r="U311" i="1"/>
  <c r="X311" i="1"/>
  <c r="U312" i="1"/>
  <c r="X312" i="1"/>
  <c r="U313" i="1"/>
  <c r="X313" i="1"/>
  <c r="U314" i="1"/>
  <c r="X314" i="1"/>
  <c r="U315" i="1"/>
  <c r="X315" i="1"/>
  <c r="U316" i="1"/>
  <c r="X316" i="1"/>
  <c r="U317" i="1"/>
  <c r="X317" i="1"/>
  <c r="U318" i="1"/>
  <c r="X318" i="1"/>
  <c r="U319" i="1"/>
  <c r="X319" i="1"/>
  <c r="U320" i="1"/>
  <c r="X320" i="1"/>
  <c r="U321" i="1"/>
  <c r="X321" i="1"/>
  <c r="U322" i="1"/>
  <c r="X322" i="1"/>
  <c r="U323" i="1"/>
  <c r="X323" i="1"/>
  <c r="U324" i="1"/>
  <c r="X324" i="1"/>
  <c r="U325" i="1"/>
  <c r="X325" i="1"/>
  <c r="U326" i="1"/>
  <c r="X326" i="1"/>
  <c r="U327" i="1"/>
  <c r="X327" i="1"/>
  <c r="U328" i="1"/>
  <c r="X328" i="1"/>
  <c r="U329" i="1"/>
  <c r="X329" i="1"/>
  <c r="U330" i="1"/>
  <c r="X330" i="1"/>
  <c r="U331" i="1"/>
  <c r="X331" i="1"/>
  <c r="U332" i="1"/>
  <c r="X332" i="1"/>
  <c r="U333" i="1"/>
  <c r="X333" i="1"/>
  <c r="U334" i="1"/>
  <c r="X334" i="1"/>
  <c r="U335" i="1"/>
  <c r="X335" i="1"/>
  <c r="U336" i="1"/>
  <c r="X336" i="1"/>
  <c r="U337" i="1"/>
  <c r="X337" i="1"/>
  <c r="U338" i="1"/>
  <c r="X338" i="1"/>
  <c r="U48" i="1"/>
  <c r="X48" i="1"/>
  <c r="U113" i="1"/>
  <c r="X113" i="1"/>
  <c r="U124" i="1"/>
  <c r="X124" i="1"/>
  <c r="U213" i="1"/>
  <c r="X213" i="1"/>
  <c r="U11" i="1"/>
  <c r="X11" i="1"/>
  <c r="U16" i="1"/>
  <c r="X16" i="1"/>
  <c r="U214" i="1"/>
  <c r="X214" i="1"/>
  <c r="U267" i="1"/>
  <c r="X267" i="1"/>
  <c r="U299" i="1"/>
  <c r="X299" i="1"/>
  <c r="U300" i="1"/>
  <c r="X300" i="1"/>
  <c r="U302" i="1"/>
  <c r="X302" i="1"/>
  <c r="U339" i="1"/>
  <c r="X339" i="1"/>
  <c r="U340" i="1"/>
  <c r="X340" i="1"/>
  <c r="U342" i="1"/>
  <c r="X342" i="1"/>
  <c r="U343" i="1"/>
  <c r="X343" i="1"/>
  <c r="U344" i="1"/>
  <c r="X344" i="1"/>
  <c r="U345" i="1"/>
  <c r="X345" i="1"/>
  <c r="U346" i="1"/>
  <c r="X346" i="1"/>
  <c r="U347" i="1"/>
  <c r="X347" i="1"/>
  <c r="U348" i="1"/>
  <c r="X348" i="1"/>
  <c r="U349" i="1"/>
  <c r="X349" i="1"/>
  <c r="U350" i="1"/>
  <c r="X350" i="1"/>
  <c r="U351" i="1"/>
  <c r="X351" i="1"/>
  <c r="U352" i="1"/>
  <c r="X352" i="1"/>
  <c r="U353" i="1"/>
  <c r="X353" i="1"/>
  <c r="U354" i="1"/>
  <c r="X354" i="1"/>
  <c r="U355" i="1"/>
  <c r="X355" i="1"/>
  <c r="U356" i="1"/>
  <c r="X356" i="1"/>
  <c r="U357" i="1"/>
  <c r="X357" i="1"/>
  <c r="U358" i="1"/>
  <c r="X358" i="1"/>
  <c r="U359" i="1"/>
  <c r="X359" i="1"/>
  <c r="U360" i="1"/>
  <c r="X360" i="1"/>
  <c r="U361" i="1"/>
  <c r="X361" i="1"/>
  <c r="U362" i="1"/>
  <c r="X362" i="1"/>
  <c r="U363" i="1"/>
  <c r="X363" i="1"/>
  <c r="U364" i="1"/>
  <c r="X364" i="1"/>
  <c r="U365" i="1"/>
  <c r="X365" i="1"/>
  <c r="U366" i="1"/>
  <c r="X366" i="1"/>
  <c r="U367" i="1"/>
  <c r="X367" i="1"/>
  <c r="U368" i="1"/>
  <c r="X368" i="1"/>
  <c r="U369" i="1"/>
  <c r="X369" i="1"/>
  <c r="U370" i="1"/>
  <c r="X370" i="1"/>
  <c r="U371" i="1"/>
  <c r="X371" i="1"/>
  <c r="U372" i="1"/>
  <c r="X372" i="1"/>
  <c r="U373" i="1"/>
  <c r="X373" i="1"/>
  <c r="U374" i="1"/>
  <c r="X374" i="1"/>
  <c r="U376" i="1"/>
  <c r="X376" i="1"/>
  <c r="U377" i="1"/>
  <c r="X377" i="1"/>
  <c r="U378" i="1"/>
  <c r="X378" i="1"/>
  <c r="U379" i="1"/>
  <c r="X379" i="1"/>
  <c r="U380" i="1"/>
  <c r="X380" i="1"/>
  <c r="U381" i="1"/>
  <c r="X381" i="1"/>
  <c r="U382" i="1"/>
  <c r="X382" i="1"/>
  <c r="U383" i="1"/>
  <c r="X383" i="1"/>
  <c r="U384" i="1"/>
  <c r="X384" i="1"/>
  <c r="U385" i="1"/>
  <c r="X385" i="1"/>
  <c r="U386" i="1"/>
  <c r="X386" i="1"/>
  <c r="U387" i="1"/>
  <c r="X387" i="1"/>
  <c r="U388" i="1"/>
  <c r="X388" i="1"/>
  <c r="U389" i="1"/>
  <c r="X389" i="1"/>
  <c r="U390" i="1"/>
  <c r="X390" i="1"/>
  <c r="U391" i="1"/>
  <c r="X391" i="1"/>
  <c r="U392" i="1"/>
  <c r="X392" i="1"/>
  <c r="U393" i="1"/>
  <c r="X393" i="1"/>
  <c r="U394" i="1"/>
  <c r="X394" i="1"/>
  <c r="U395" i="1"/>
  <c r="X395" i="1"/>
  <c r="U396" i="1"/>
  <c r="X396" i="1"/>
  <c r="U397" i="1"/>
  <c r="X397" i="1"/>
  <c r="U398" i="1"/>
  <c r="X398" i="1"/>
  <c r="U399" i="1"/>
  <c r="X399" i="1"/>
  <c r="U400" i="1"/>
  <c r="X400" i="1"/>
  <c r="U401" i="1"/>
  <c r="X401" i="1"/>
  <c r="U402" i="1"/>
  <c r="X402" i="1"/>
  <c r="U403" i="1"/>
  <c r="X403" i="1"/>
  <c r="U404" i="1"/>
  <c r="X404" i="1"/>
  <c r="U405" i="1"/>
  <c r="X405" i="1"/>
  <c r="U406" i="1"/>
  <c r="X406" i="1"/>
  <c r="U407" i="1"/>
  <c r="X407" i="1"/>
  <c r="U408" i="1"/>
  <c r="X408" i="1"/>
  <c r="U409" i="1"/>
  <c r="X409" i="1"/>
  <c r="U410" i="1"/>
  <c r="X410" i="1"/>
  <c r="U411" i="1"/>
  <c r="X411" i="1"/>
  <c r="U412" i="1"/>
  <c r="X412" i="1"/>
  <c r="U414" i="1"/>
  <c r="X414" i="1"/>
  <c r="U415" i="1"/>
  <c r="X415" i="1"/>
  <c r="U416" i="1"/>
  <c r="X416" i="1"/>
  <c r="U417" i="1"/>
  <c r="X417" i="1"/>
  <c r="U418" i="1"/>
  <c r="X418" i="1"/>
  <c r="U419" i="1"/>
  <c r="X419" i="1"/>
  <c r="U420" i="1"/>
  <c r="X420" i="1"/>
  <c r="U421" i="1"/>
  <c r="X421" i="1"/>
  <c r="U422" i="1"/>
  <c r="X422" i="1"/>
  <c r="U423" i="1"/>
  <c r="X423" i="1"/>
  <c r="U424" i="1"/>
  <c r="X424" i="1"/>
  <c r="U425" i="1"/>
  <c r="X425" i="1"/>
  <c r="U426" i="1"/>
  <c r="X426" i="1"/>
  <c r="U427" i="1"/>
  <c r="X427" i="1"/>
  <c r="U428" i="1"/>
  <c r="X428" i="1"/>
  <c r="U429" i="1"/>
  <c r="X429" i="1"/>
  <c r="U430" i="1"/>
  <c r="X430" i="1"/>
  <c r="U431" i="1"/>
  <c r="X431" i="1"/>
  <c r="U432" i="1"/>
  <c r="X432" i="1"/>
  <c r="U433" i="1"/>
  <c r="X433" i="1"/>
  <c r="U434" i="1"/>
  <c r="X434" i="1"/>
  <c r="U435" i="1"/>
  <c r="X435" i="1"/>
  <c r="U436" i="1"/>
  <c r="X436" i="1"/>
  <c r="U437" i="1"/>
  <c r="X437" i="1"/>
  <c r="U438" i="1"/>
  <c r="X438" i="1"/>
  <c r="U439" i="1"/>
  <c r="X439" i="1"/>
  <c r="U440" i="1"/>
  <c r="X440" i="1"/>
  <c r="U441" i="1"/>
  <c r="X441" i="1"/>
  <c r="U442" i="1"/>
  <c r="X442" i="1"/>
  <c r="U443" i="1"/>
  <c r="X443" i="1"/>
  <c r="U444" i="1"/>
  <c r="X444" i="1"/>
  <c r="U445" i="1"/>
  <c r="X445" i="1"/>
  <c r="U446" i="1"/>
  <c r="X446" i="1"/>
  <c r="U447" i="1"/>
  <c r="X447" i="1"/>
  <c r="U448" i="1"/>
  <c r="X448" i="1"/>
  <c r="U449" i="1"/>
  <c r="X449" i="1"/>
  <c r="U450" i="1"/>
  <c r="X450" i="1"/>
  <c r="U451" i="1"/>
  <c r="X451" i="1"/>
  <c r="U452" i="1"/>
  <c r="X452" i="1"/>
  <c r="U453" i="1"/>
  <c r="X453" i="1"/>
  <c r="U454" i="1"/>
  <c r="X454" i="1"/>
  <c r="U455" i="1"/>
  <c r="X455" i="1"/>
  <c r="U456" i="1"/>
  <c r="X456" i="1"/>
  <c r="U457" i="1"/>
  <c r="X457" i="1"/>
  <c r="U458" i="1"/>
  <c r="X458" i="1"/>
  <c r="U459" i="1"/>
  <c r="X459" i="1"/>
  <c r="U460" i="1"/>
  <c r="X460" i="1"/>
  <c r="U461" i="1"/>
  <c r="X461" i="1"/>
  <c r="U462" i="1"/>
  <c r="X462" i="1"/>
  <c r="U463" i="1"/>
  <c r="X463" i="1"/>
  <c r="U464" i="1"/>
  <c r="X464" i="1"/>
  <c r="U465" i="1"/>
  <c r="X465" i="1"/>
  <c r="U466" i="1"/>
  <c r="X466" i="1"/>
  <c r="U467" i="1"/>
  <c r="X467" i="1"/>
  <c r="U468" i="1"/>
  <c r="X468" i="1"/>
  <c r="U469" i="1"/>
  <c r="X469" i="1"/>
  <c r="U470" i="1"/>
  <c r="X470" i="1"/>
  <c r="U471" i="1"/>
  <c r="X471" i="1"/>
  <c r="U472" i="1"/>
  <c r="X472" i="1"/>
  <c r="U473" i="1"/>
  <c r="X473" i="1"/>
  <c r="U474" i="1"/>
  <c r="X474" i="1"/>
  <c r="U475" i="1"/>
  <c r="X475" i="1"/>
  <c r="U476" i="1"/>
  <c r="X476" i="1"/>
  <c r="U477" i="1"/>
  <c r="X477" i="1"/>
  <c r="U478" i="1"/>
  <c r="X478" i="1"/>
  <c r="U479" i="1"/>
  <c r="X479" i="1"/>
  <c r="U480" i="1"/>
  <c r="X480" i="1"/>
  <c r="U481" i="1"/>
  <c r="X481" i="1"/>
  <c r="U482" i="1"/>
  <c r="X482" i="1"/>
  <c r="U483" i="1"/>
  <c r="X483" i="1"/>
  <c r="U484" i="1"/>
  <c r="X484" i="1"/>
  <c r="U485" i="1"/>
  <c r="X485" i="1"/>
  <c r="U486" i="1"/>
  <c r="X486" i="1"/>
  <c r="U487" i="1"/>
  <c r="X487" i="1"/>
  <c r="U488" i="1"/>
  <c r="X488" i="1"/>
  <c r="U489" i="1"/>
  <c r="X489" i="1"/>
  <c r="U490" i="1"/>
  <c r="X490" i="1"/>
  <c r="U491" i="1"/>
  <c r="X491" i="1"/>
  <c r="U492" i="1"/>
  <c r="X492" i="1"/>
  <c r="U493" i="1"/>
  <c r="X493" i="1"/>
  <c r="U494" i="1"/>
  <c r="X494" i="1"/>
  <c r="U495" i="1"/>
  <c r="X495" i="1"/>
  <c r="U496" i="1"/>
  <c r="X496" i="1"/>
  <c r="U497" i="1"/>
  <c r="X497" i="1"/>
  <c r="U498" i="1"/>
  <c r="X498" i="1"/>
  <c r="U499" i="1"/>
  <c r="X499" i="1"/>
  <c r="U500" i="1"/>
  <c r="X500" i="1"/>
  <c r="U501" i="1"/>
  <c r="X501" i="1"/>
  <c r="U502" i="1"/>
  <c r="X502" i="1"/>
  <c r="U503" i="1"/>
  <c r="X503" i="1"/>
  <c r="U504" i="1"/>
  <c r="X504" i="1"/>
  <c r="U505" i="1"/>
  <c r="X505" i="1"/>
  <c r="U506" i="1"/>
  <c r="X506" i="1"/>
  <c r="U507" i="1"/>
  <c r="X507" i="1"/>
  <c r="U508" i="1"/>
  <c r="X508" i="1"/>
  <c r="U509" i="1"/>
  <c r="X509" i="1"/>
  <c r="U510" i="1"/>
  <c r="X510" i="1"/>
  <c r="U511" i="1"/>
  <c r="X511" i="1"/>
  <c r="U512" i="1"/>
  <c r="X512" i="1"/>
  <c r="U513" i="1"/>
  <c r="X513" i="1"/>
  <c r="U514" i="1"/>
  <c r="X514" i="1"/>
  <c r="U515" i="1"/>
  <c r="X515" i="1"/>
  <c r="U516" i="1"/>
  <c r="X516" i="1"/>
  <c r="U517" i="1"/>
  <c r="X517" i="1"/>
  <c r="U518" i="1"/>
  <c r="X518" i="1"/>
  <c r="U519" i="1"/>
  <c r="X519" i="1"/>
  <c r="U520" i="1"/>
  <c r="X520" i="1"/>
  <c r="U521" i="1"/>
  <c r="X521" i="1"/>
  <c r="U522" i="1"/>
  <c r="X522" i="1"/>
  <c r="U523" i="1"/>
  <c r="X523" i="1"/>
  <c r="U524" i="1"/>
  <c r="X524" i="1"/>
  <c r="U525" i="1"/>
  <c r="X525" i="1"/>
  <c r="U526" i="1"/>
  <c r="X526" i="1"/>
  <c r="U527" i="1"/>
  <c r="X527" i="1"/>
  <c r="U528" i="1"/>
  <c r="X528" i="1"/>
  <c r="U529" i="1"/>
  <c r="X529" i="1"/>
  <c r="U530" i="1"/>
  <c r="X530" i="1"/>
  <c r="U531" i="1"/>
  <c r="X531" i="1"/>
  <c r="U532" i="1"/>
  <c r="X532" i="1"/>
  <c r="U533" i="1"/>
  <c r="X533" i="1"/>
  <c r="U534" i="1"/>
  <c r="X534" i="1"/>
  <c r="U535" i="1"/>
  <c r="X535" i="1"/>
  <c r="U536" i="1"/>
  <c r="X536" i="1"/>
  <c r="U537" i="1"/>
  <c r="X537" i="1"/>
  <c r="U538" i="1"/>
  <c r="X538" i="1"/>
  <c r="U539" i="1"/>
  <c r="X539" i="1"/>
  <c r="U540" i="1"/>
  <c r="X540" i="1"/>
  <c r="U541" i="1"/>
  <c r="X541" i="1"/>
  <c r="U542" i="1"/>
  <c r="X542" i="1"/>
  <c r="U543" i="1"/>
  <c r="X543" i="1"/>
  <c r="U544" i="1"/>
  <c r="X544" i="1"/>
  <c r="U545" i="1"/>
  <c r="X545" i="1"/>
  <c r="U546" i="1"/>
  <c r="X546" i="1"/>
  <c r="U547" i="1"/>
  <c r="X547" i="1"/>
  <c r="U548" i="1"/>
  <c r="X548" i="1"/>
  <c r="U549" i="1"/>
  <c r="X549" i="1"/>
  <c r="U550" i="1"/>
  <c r="X550" i="1"/>
  <c r="U551" i="1"/>
  <c r="X551" i="1"/>
  <c r="U552" i="1"/>
  <c r="X552" i="1"/>
  <c r="U553" i="1"/>
  <c r="X553" i="1"/>
  <c r="U554" i="1"/>
  <c r="X554" i="1"/>
  <c r="U555" i="1"/>
  <c r="X555" i="1"/>
  <c r="U556" i="1"/>
  <c r="X556" i="1"/>
  <c r="U557" i="1"/>
  <c r="X557" i="1"/>
  <c r="U558" i="1"/>
  <c r="X558" i="1"/>
  <c r="U559" i="1"/>
  <c r="X559" i="1"/>
  <c r="U560" i="1"/>
  <c r="X560" i="1"/>
  <c r="U561" i="1"/>
  <c r="X561" i="1"/>
  <c r="U562" i="1"/>
  <c r="X562" i="1"/>
  <c r="U563" i="1"/>
  <c r="X563" i="1"/>
  <c r="U564" i="1"/>
  <c r="X564" i="1"/>
  <c r="U565" i="1"/>
  <c r="X565" i="1"/>
  <c r="U566" i="1"/>
  <c r="X566" i="1"/>
  <c r="U567" i="1"/>
  <c r="X567" i="1"/>
  <c r="U568" i="1"/>
  <c r="X568" i="1"/>
  <c r="U569" i="1"/>
  <c r="X569" i="1"/>
  <c r="U570" i="1"/>
  <c r="X570" i="1"/>
  <c r="U571" i="1"/>
  <c r="X571" i="1"/>
  <c r="U572" i="1"/>
  <c r="X572" i="1"/>
  <c r="U573" i="1"/>
  <c r="X573" i="1"/>
  <c r="U574" i="1"/>
  <c r="X574" i="1"/>
  <c r="U575" i="1"/>
  <c r="X575" i="1"/>
  <c r="U576" i="1"/>
  <c r="X576" i="1"/>
  <c r="U577" i="1"/>
  <c r="X577" i="1"/>
  <c r="U578" i="1"/>
  <c r="X578" i="1"/>
  <c r="U579" i="1"/>
  <c r="X579" i="1"/>
  <c r="U580" i="1"/>
  <c r="X580" i="1"/>
  <c r="U581" i="1"/>
  <c r="X581" i="1"/>
  <c r="U582" i="1"/>
  <c r="X582" i="1"/>
  <c r="U583" i="1"/>
  <c r="X583" i="1"/>
  <c r="U584" i="1"/>
  <c r="X584" i="1"/>
  <c r="U585" i="1"/>
  <c r="X585" i="1"/>
  <c r="U586" i="1"/>
  <c r="X586" i="1"/>
  <c r="U587" i="1"/>
  <c r="X587" i="1"/>
  <c r="U588" i="1"/>
  <c r="X588" i="1"/>
  <c r="U589" i="1"/>
  <c r="X589" i="1"/>
  <c r="U590" i="1"/>
  <c r="X590" i="1"/>
  <c r="U591" i="1"/>
  <c r="X591" i="1"/>
  <c r="U592" i="1"/>
  <c r="X592" i="1"/>
  <c r="U593" i="1"/>
  <c r="X593" i="1"/>
  <c r="U594" i="1"/>
  <c r="X594" i="1"/>
  <c r="U595" i="1"/>
  <c r="X595" i="1"/>
  <c r="U596" i="1"/>
  <c r="X596" i="1"/>
  <c r="U597" i="1"/>
  <c r="X597" i="1"/>
  <c r="U598" i="1"/>
  <c r="X598" i="1"/>
  <c r="U599" i="1"/>
  <c r="X599" i="1"/>
  <c r="U600" i="1"/>
  <c r="X600" i="1"/>
  <c r="U601" i="1"/>
  <c r="X601" i="1"/>
  <c r="U602" i="1"/>
  <c r="X602" i="1"/>
  <c r="U603" i="1"/>
  <c r="X603" i="1"/>
  <c r="U604" i="1"/>
  <c r="X604" i="1"/>
  <c r="U605" i="1"/>
  <c r="X605" i="1"/>
  <c r="U606" i="1"/>
  <c r="X606" i="1"/>
  <c r="U607" i="1"/>
  <c r="X607" i="1"/>
  <c r="U608" i="1"/>
  <c r="X608" i="1"/>
  <c r="U375" i="1"/>
  <c r="X375" i="1"/>
  <c r="U609" i="1"/>
  <c r="X609" i="1"/>
  <c r="U610" i="1"/>
  <c r="X610" i="1"/>
  <c r="U611" i="1"/>
  <c r="X611" i="1"/>
  <c r="U612" i="1"/>
  <c r="X612" i="1"/>
  <c r="U613" i="1"/>
  <c r="X613" i="1"/>
  <c r="U614" i="1"/>
  <c r="X614" i="1"/>
  <c r="U615" i="1"/>
  <c r="X615" i="1"/>
  <c r="U616" i="1"/>
  <c r="X616" i="1"/>
  <c r="U617" i="1"/>
  <c r="X617" i="1"/>
  <c r="U618" i="1"/>
  <c r="X618" i="1"/>
  <c r="U619" i="1"/>
  <c r="X619" i="1"/>
  <c r="U620" i="1"/>
  <c r="X620" i="1"/>
  <c r="U621" i="1"/>
  <c r="X621" i="1"/>
  <c r="U622" i="1"/>
  <c r="X622" i="1"/>
  <c r="U623" i="1"/>
  <c r="X623" i="1"/>
  <c r="U624" i="1"/>
  <c r="X624" i="1"/>
  <c r="U625" i="1"/>
  <c r="X625" i="1"/>
  <c r="U626" i="1"/>
  <c r="X626" i="1"/>
  <c r="U627" i="1"/>
  <c r="X627" i="1"/>
  <c r="U628" i="1"/>
  <c r="W628" i="1"/>
  <c r="X628" i="1" s="1"/>
  <c r="U629" i="1"/>
  <c r="W629" i="1"/>
  <c r="X629" i="1" s="1"/>
  <c r="U630" i="1"/>
  <c r="W630" i="1"/>
  <c r="X630" i="1" s="1"/>
  <c r="U631" i="1"/>
  <c r="W631" i="1"/>
  <c r="X631" i="1" s="1"/>
  <c r="U632" i="1"/>
  <c r="W632" i="1"/>
  <c r="X632" i="1" s="1"/>
  <c r="U633" i="1"/>
  <c r="W633" i="1"/>
  <c r="X633" i="1" s="1"/>
  <c r="U634" i="1"/>
  <c r="W634" i="1"/>
  <c r="X634" i="1" s="1"/>
  <c r="U635" i="1"/>
  <c r="W635" i="1"/>
  <c r="X635" i="1" s="1"/>
  <c r="U636" i="1"/>
  <c r="W636" i="1"/>
  <c r="X636" i="1" s="1"/>
  <c r="U637" i="1"/>
  <c r="W637" i="1"/>
  <c r="X637" i="1" s="1"/>
  <c r="U638" i="1"/>
  <c r="W638" i="1"/>
  <c r="X638" i="1" s="1"/>
  <c r="U639" i="1"/>
  <c r="W639" i="1"/>
  <c r="X639" i="1" s="1"/>
  <c r="U640" i="1"/>
  <c r="W640" i="1"/>
  <c r="X640" i="1" s="1"/>
  <c r="U641" i="1"/>
  <c r="W641" i="1"/>
  <c r="X641" i="1" s="1"/>
  <c r="U642" i="1"/>
  <c r="W642" i="1"/>
  <c r="X642" i="1" s="1"/>
  <c r="U643" i="1"/>
  <c r="W643" i="1"/>
  <c r="X643" i="1" s="1"/>
  <c r="U644" i="1"/>
  <c r="W644" i="1"/>
  <c r="X644" i="1" s="1"/>
  <c r="U645" i="1"/>
  <c r="W645" i="1"/>
  <c r="X645" i="1" s="1"/>
  <c r="U646" i="1"/>
  <c r="W646" i="1"/>
  <c r="X646" i="1" s="1"/>
  <c r="U647" i="1"/>
  <c r="W647" i="1"/>
  <c r="X647" i="1" s="1"/>
  <c r="U648" i="1"/>
  <c r="W648" i="1"/>
  <c r="X648" i="1" s="1"/>
  <c r="U649" i="1"/>
  <c r="W649" i="1"/>
  <c r="X649" i="1" s="1"/>
  <c r="U650" i="1"/>
  <c r="W650" i="1"/>
  <c r="X650" i="1" s="1"/>
  <c r="U651" i="1"/>
  <c r="W651" i="1"/>
  <c r="X651" i="1" s="1"/>
  <c r="U652" i="1"/>
  <c r="W652" i="1"/>
  <c r="X652" i="1" s="1"/>
  <c r="U653" i="1"/>
  <c r="W653" i="1"/>
  <c r="X653" i="1" s="1"/>
  <c r="U654" i="1"/>
  <c r="W654" i="1"/>
  <c r="X654" i="1" s="1"/>
  <c r="U655" i="1"/>
  <c r="W655" i="1"/>
  <c r="X655" i="1" s="1"/>
  <c r="U656" i="1"/>
  <c r="W656" i="1"/>
  <c r="X656" i="1" s="1"/>
  <c r="U657" i="1"/>
  <c r="W657" i="1"/>
  <c r="X657" i="1" s="1"/>
  <c r="U658" i="1"/>
  <c r="W658" i="1"/>
  <c r="X658" i="1" s="1"/>
  <c r="U659" i="1"/>
  <c r="W659" i="1"/>
  <c r="X659" i="1" s="1"/>
  <c r="U660" i="1"/>
  <c r="W660" i="1"/>
  <c r="X660" i="1" s="1"/>
  <c r="U661" i="1"/>
  <c r="W661" i="1"/>
  <c r="X661" i="1" s="1"/>
  <c r="U662" i="1"/>
  <c r="W662" i="1"/>
  <c r="X662" i="1" s="1"/>
  <c r="U663" i="1"/>
  <c r="W663" i="1"/>
  <c r="X663" i="1" s="1"/>
  <c r="U664" i="1"/>
  <c r="W664" i="1"/>
  <c r="X664" i="1" s="1"/>
  <c r="U665" i="1"/>
  <c r="W665" i="1"/>
  <c r="X665" i="1" s="1"/>
  <c r="U666" i="1"/>
  <c r="W666" i="1"/>
  <c r="X666" i="1" s="1"/>
  <c r="U667" i="1"/>
  <c r="W667" i="1"/>
  <c r="X667" i="1" s="1"/>
  <c r="U668" i="1"/>
  <c r="W668" i="1"/>
  <c r="X668" i="1" s="1"/>
  <c r="U669" i="1"/>
  <c r="W669" i="1"/>
  <c r="X669" i="1" s="1"/>
  <c r="U670" i="1"/>
  <c r="W670" i="1"/>
  <c r="X670" i="1" s="1"/>
  <c r="U671" i="1"/>
  <c r="W671" i="1"/>
  <c r="X671" i="1" s="1"/>
  <c r="U672" i="1"/>
  <c r="W672" i="1"/>
  <c r="X672" i="1" s="1"/>
  <c r="U673" i="1"/>
  <c r="W673" i="1"/>
  <c r="X673" i="1" s="1"/>
  <c r="U674" i="1"/>
  <c r="W674" i="1"/>
  <c r="X674" i="1" s="1"/>
  <c r="U675" i="1"/>
  <c r="W675" i="1"/>
  <c r="X675" i="1" s="1"/>
  <c r="U676" i="1"/>
  <c r="W676" i="1"/>
  <c r="X676" i="1" s="1"/>
  <c r="U677" i="1"/>
  <c r="W677" i="1"/>
  <c r="X677" i="1" s="1"/>
  <c r="U678" i="1"/>
  <c r="W678" i="1"/>
  <c r="X678" i="1" s="1"/>
  <c r="U679" i="1"/>
  <c r="W679" i="1"/>
  <c r="X679" i="1" s="1"/>
  <c r="U680" i="1"/>
  <c r="W680" i="1"/>
  <c r="X680" i="1" s="1"/>
  <c r="U681" i="1"/>
  <c r="W681" i="1"/>
  <c r="X681" i="1" s="1"/>
  <c r="U682" i="1"/>
  <c r="W682" i="1"/>
  <c r="X682" i="1" s="1"/>
  <c r="U683" i="1"/>
  <c r="W683" i="1"/>
  <c r="X683" i="1" s="1"/>
  <c r="U684" i="1"/>
  <c r="W684" i="1"/>
  <c r="X684" i="1" s="1"/>
  <c r="U685" i="1"/>
  <c r="W685" i="1"/>
  <c r="X685" i="1" s="1"/>
  <c r="U686" i="1"/>
  <c r="W686" i="1"/>
  <c r="X686" i="1" s="1"/>
  <c r="U687" i="1"/>
  <c r="W687" i="1"/>
  <c r="X687" i="1" s="1"/>
  <c r="U688" i="1"/>
  <c r="W688" i="1"/>
  <c r="X688" i="1" s="1"/>
  <c r="U689" i="1"/>
  <c r="W689" i="1"/>
  <c r="X689" i="1" s="1"/>
  <c r="U690" i="1"/>
  <c r="W690" i="1"/>
  <c r="X690" i="1" s="1"/>
  <c r="U691" i="1"/>
  <c r="W691" i="1"/>
  <c r="X691" i="1" s="1"/>
  <c r="U692" i="1"/>
  <c r="W692" i="1"/>
  <c r="X692" i="1" s="1"/>
  <c r="U693" i="1"/>
  <c r="W693" i="1"/>
  <c r="X693" i="1" s="1"/>
  <c r="U694" i="1"/>
  <c r="W694" i="1"/>
  <c r="X694" i="1" s="1"/>
  <c r="U695" i="1"/>
  <c r="W695" i="1"/>
  <c r="X695" i="1" s="1"/>
  <c r="U696" i="1"/>
  <c r="W696" i="1"/>
  <c r="X696" i="1" s="1"/>
  <c r="U697" i="1"/>
  <c r="W697" i="1"/>
  <c r="X697" i="1" s="1"/>
  <c r="U698" i="1"/>
  <c r="W698" i="1"/>
  <c r="X698" i="1" s="1"/>
  <c r="U699" i="1"/>
  <c r="W699" i="1"/>
  <c r="X699" i="1" s="1"/>
  <c r="U700" i="1"/>
  <c r="W700" i="1"/>
  <c r="X700" i="1" s="1"/>
  <c r="U701" i="1"/>
  <c r="W701" i="1"/>
  <c r="X701" i="1" s="1"/>
  <c r="U702" i="1"/>
  <c r="W702" i="1"/>
  <c r="X702" i="1" s="1"/>
  <c r="U703" i="1"/>
  <c r="W703" i="1"/>
  <c r="X703" i="1" s="1"/>
  <c r="U704" i="1"/>
  <c r="W704" i="1"/>
  <c r="X704" i="1" s="1"/>
  <c r="U705" i="1"/>
  <c r="W705" i="1"/>
  <c r="X705" i="1" s="1"/>
  <c r="U706" i="1"/>
  <c r="W706" i="1"/>
  <c r="X706" i="1" s="1"/>
  <c r="U707" i="1"/>
  <c r="W707" i="1"/>
  <c r="X707" i="1" s="1"/>
  <c r="U708" i="1"/>
  <c r="W708" i="1"/>
  <c r="X708" i="1" s="1"/>
  <c r="U709" i="1"/>
  <c r="W709" i="1"/>
  <c r="X709" i="1" s="1"/>
  <c r="U710" i="1"/>
  <c r="W710" i="1"/>
  <c r="X710" i="1" s="1"/>
  <c r="U711" i="1"/>
  <c r="W711" i="1"/>
  <c r="X711" i="1" s="1"/>
  <c r="U712" i="1"/>
  <c r="W712" i="1"/>
  <c r="X712" i="1" s="1"/>
  <c r="U713" i="1"/>
  <c r="W713" i="1"/>
  <c r="X713" i="1" s="1"/>
  <c r="U714" i="1"/>
  <c r="W714" i="1"/>
  <c r="X714" i="1" s="1"/>
  <c r="U715" i="1"/>
  <c r="W715" i="1"/>
  <c r="X715" i="1" s="1"/>
  <c r="U716" i="1"/>
  <c r="W716" i="1"/>
  <c r="X716" i="1" s="1"/>
  <c r="U717" i="1"/>
  <c r="W717" i="1"/>
  <c r="X717" i="1" s="1"/>
  <c r="U718" i="1"/>
  <c r="W718" i="1"/>
  <c r="X718" i="1" s="1"/>
  <c r="U719" i="1"/>
  <c r="W719" i="1"/>
  <c r="X719" i="1" s="1"/>
  <c r="U720" i="1"/>
  <c r="W720" i="1"/>
  <c r="X720" i="1" s="1"/>
  <c r="U721" i="1"/>
  <c r="W721" i="1"/>
  <c r="X721" i="1" s="1"/>
  <c r="U722" i="1"/>
  <c r="W722" i="1"/>
  <c r="X722" i="1" s="1"/>
  <c r="U723" i="1"/>
  <c r="W723" i="1"/>
  <c r="X723" i="1" s="1"/>
  <c r="U724" i="1"/>
  <c r="W724" i="1"/>
  <c r="X724" i="1" s="1"/>
  <c r="U725" i="1"/>
  <c r="W725" i="1"/>
  <c r="X725" i="1" s="1"/>
  <c r="U726" i="1"/>
  <c r="W726" i="1"/>
  <c r="X726" i="1" s="1"/>
  <c r="U727" i="1"/>
  <c r="W727" i="1"/>
  <c r="X727" i="1" s="1"/>
  <c r="U728" i="1"/>
  <c r="W728" i="1"/>
  <c r="X728" i="1" s="1"/>
  <c r="U729" i="1"/>
  <c r="W729" i="1"/>
  <c r="X729" i="1" s="1"/>
  <c r="U730" i="1"/>
  <c r="W730" i="1"/>
  <c r="X730" i="1" s="1"/>
  <c r="U731" i="1"/>
  <c r="W731" i="1"/>
  <c r="X731" i="1" s="1"/>
  <c r="U732" i="1"/>
  <c r="W732" i="1"/>
  <c r="X732" i="1" s="1"/>
  <c r="U733" i="1"/>
  <c r="W733" i="1"/>
  <c r="X733" i="1" s="1"/>
  <c r="U734" i="1"/>
  <c r="W734" i="1"/>
  <c r="X734" i="1" s="1"/>
  <c r="U735" i="1"/>
  <c r="W735" i="1"/>
  <c r="X735" i="1" s="1"/>
  <c r="U736" i="1"/>
  <c r="W736" i="1"/>
  <c r="X736" i="1" s="1"/>
  <c r="U737" i="1"/>
  <c r="W737" i="1"/>
  <c r="X737" i="1" s="1"/>
  <c r="U738" i="1"/>
  <c r="W738" i="1"/>
  <c r="X738" i="1" s="1"/>
  <c r="U739" i="1"/>
  <c r="W739" i="1"/>
  <c r="X739" i="1" s="1"/>
  <c r="U740" i="1"/>
  <c r="W740" i="1"/>
  <c r="X740" i="1" s="1"/>
  <c r="U741" i="1"/>
  <c r="W741" i="1"/>
  <c r="X741" i="1" s="1"/>
  <c r="U742" i="1"/>
  <c r="W742" i="1"/>
  <c r="X742" i="1" s="1"/>
  <c r="U743" i="1"/>
  <c r="W743" i="1"/>
  <c r="X743" i="1" s="1"/>
  <c r="U744" i="1"/>
  <c r="W744" i="1"/>
  <c r="X744" i="1" s="1"/>
  <c r="U745" i="1"/>
  <c r="W745" i="1"/>
  <c r="X745" i="1" s="1"/>
  <c r="U746" i="1"/>
  <c r="W746" i="1"/>
  <c r="X746" i="1" s="1"/>
  <c r="U747" i="1"/>
  <c r="W747" i="1"/>
  <c r="X747" i="1" s="1"/>
  <c r="U748" i="1"/>
  <c r="W748" i="1"/>
  <c r="X748" i="1" s="1"/>
  <c r="U749" i="1"/>
  <c r="W749" i="1"/>
  <c r="X749" i="1" s="1"/>
  <c r="U750" i="1"/>
  <c r="W750" i="1"/>
  <c r="X750" i="1" s="1"/>
  <c r="U751" i="1"/>
  <c r="W751" i="1"/>
  <c r="X751" i="1" s="1"/>
  <c r="U752" i="1"/>
  <c r="W752" i="1"/>
  <c r="X752" i="1" s="1"/>
  <c r="U753" i="1"/>
  <c r="W753" i="1"/>
  <c r="X753" i="1" s="1"/>
  <c r="U754" i="1"/>
  <c r="W754" i="1"/>
  <c r="X754" i="1" s="1"/>
  <c r="U755" i="1"/>
  <c r="W755" i="1"/>
  <c r="X755" i="1" s="1"/>
  <c r="U756" i="1"/>
  <c r="W756" i="1"/>
  <c r="X756" i="1" s="1"/>
  <c r="U757" i="1"/>
  <c r="W757" i="1"/>
  <c r="X757" i="1" s="1"/>
  <c r="U758" i="1"/>
  <c r="W758" i="1"/>
  <c r="X758" i="1" s="1"/>
  <c r="U759" i="1"/>
  <c r="W759" i="1"/>
  <c r="X759" i="1" s="1"/>
  <c r="U760" i="1"/>
  <c r="W760" i="1"/>
  <c r="X760" i="1" s="1"/>
  <c r="U761" i="1"/>
  <c r="W761" i="1"/>
  <c r="X761" i="1" s="1"/>
  <c r="U762" i="1"/>
  <c r="W762" i="1"/>
  <c r="X762" i="1" s="1"/>
  <c r="U763" i="1"/>
  <c r="W763" i="1"/>
  <c r="X763" i="1" s="1"/>
  <c r="U764" i="1"/>
  <c r="W764" i="1"/>
  <c r="X764" i="1" s="1"/>
  <c r="U765" i="1"/>
  <c r="W765" i="1"/>
  <c r="X765" i="1" s="1"/>
  <c r="U766" i="1"/>
  <c r="W766" i="1"/>
  <c r="X766" i="1" s="1"/>
  <c r="U767" i="1"/>
  <c r="W767" i="1"/>
  <c r="X767" i="1" s="1"/>
  <c r="U768" i="1"/>
  <c r="W768" i="1"/>
  <c r="X768" i="1" s="1"/>
  <c r="U769" i="1"/>
  <c r="W769" i="1"/>
  <c r="X769" i="1" s="1"/>
  <c r="U770" i="1"/>
  <c r="W770" i="1"/>
  <c r="X770" i="1" s="1"/>
  <c r="U771" i="1"/>
  <c r="W771" i="1"/>
  <c r="X771" i="1" s="1"/>
  <c r="U772" i="1"/>
  <c r="W772" i="1"/>
  <c r="X772" i="1" s="1"/>
  <c r="U773" i="1"/>
  <c r="W773" i="1"/>
  <c r="X773" i="1" s="1"/>
  <c r="U774" i="1"/>
  <c r="W774" i="1"/>
  <c r="X774" i="1" s="1"/>
  <c r="U775" i="1"/>
  <c r="W775" i="1"/>
  <c r="X775" i="1" s="1"/>
  <c r="U776" i="1"/>
  <c r="W776" i="1"/>
  <c r="X776" i="1" s="1"/>
  <c r="U777" i="1"/>
  <c r="W777" i="1"/>
  <c r="X777" i="1" s="1"/>
  <c r="U778" i="1"/>
  <c r="W778" i="1"/>
  <c r="X778" i="1" s="1"/>
  <c r="U779" i="1"/>
  <c r="W779" i="1"/>
  <c r="X779" i="1" s="1"/>
  <c r="U780" i="1"/>
  <c r="W780" i="1"/>
  <c r="X780" i="1" s="1"/>
  <c r="U781" i="1"/>
  <c r="W781" i="1"/>
  <c r="X781" i="1" s="1"/>
  <c r="U782" i="1"/>
  <c r="W782" i="1"/>
  <c r="X782" i="1" s="1"/>
  <c r="U783" i="1"/>
  <c r="W783" i="1"/>
  <c r="X783" i="1" s="1"/>
  <c r="U784" i="1"/>
  <c r="W784" i="1"/>
  <c r="X784" i="1" s="1"/>
  <c r="U785" i="1"/>
  <c r="W785" i="1"/>
  <c r="X785" i="1" s="1"/>
  <c r="U786" i="1"/>
  <c r="W786" i="1"/>
  <c r="X786" i="1" s="1"/>
  <c r="U787" i="1"/>
  <c r="W787" i="1"/>
  <c r="X787" i="1" s="1"/>
  <c r="U788" i="1"/>
  <c r="W788" i="1"/>
  <c r="X788" i="1" s="1"/>
  <c r="U789" i="1"/>
  <c r="W789" i="1"/>
  <c r="X789" i="1" s="1"/>
  <c r="U790" i="1"/>
  <c r="W790" i="1"/>
  <c r="X790" i="1" s="1"/>
  <c r="Y11" i="1" l="1"/>
  <c r="AA11" i="1" s="1"/>
  <c r="M20" i="9"/>
  <c r="Z735" i="1"/>
  <c r="Z731" i="1"/>
  <c r="Y381" i="1"/>
  <c r="AA381" i="1" s="1"/>
  <c r="Y506" i="1"/>
  <c r="AA506" i="1" s="1"/>
  <c r="Y655" i="1"/>
  <c r="AA655" i="1" s="1"/>
  <c r="Y450" i="1"/>
  <c r="AA450" i="1" s="1"/>
  <c r="Y407" i="1"/>
  <c r="AA407" i="1" s="1"/>
  <c r="Y460" i="1"/>
  <c r="AA460" i="1" s="1"/>
  <c r="Y711" i="1"/>
  <c r="AA711" i="1" s="1"/>
  <c r="Y687" i="1"/>
  <c r="AA687" i="1" s="1"/>
  <c r="Y609" i="1"/>
  <c r="AA609" i="1" s="1"/>
  <c r="Y214" i="1"/>
  <c r="AA214" i="1" s="1"/>
  <c r="Y338" i="1"/>
  <c r="AA338" i="1" s="1"/>
  <c r="Y516" i="1"/>
  <c r="AA516" i="1" s="1"/>
  <c r="Y339" i="1"/>
  <c r="AA339" i="1" s="1"/>
  <c r="Y717" i="1"/>
  <c r="AA717" i="1" s="1"/>
  <c r="Y645" i="1"/>
  <c r="AA645" i="1" s="1"/>
  <c r="Y637" i="1"/>
  <c r="AA637" i="1" s="1"/>
  <c r="Y553" i="1"/>
  <c r="AA553" i="1" s="1"/>
  <c r="Y545" i="1"/>
  <c r="AA545" i="1" s="1"/>
  <c r="Y529" i="1"/>
  <c r="AA529" i="1" s="1"/>
  <c r="Y206" i="1"/>
  <c r="AA206" i="1" s="1"/>
  <c r="Y213" i="1"/>
  <c r="AA213" i="1" s="1"/>
  <c r="Y48" i="1"/>
  <c r="AA48" i="1" s="1"/>
  <c r="Y25" i="1"/>
  <c r="AA25" i="1" s="1"/>
  <c r="Z218" i="1"/>
  <c r="Z205" i="1"/>
  <c r="Y735" i="1"/>
  <c r="AA735" i="1" s="1"/>
  <c r="Y730" i="1"/>
  <c r="AA730" i="1" s="1"/>
  <c r="Z683" i="1"/>
  <c r="Y652" i="1"/>
  <c r="AA652" i="1" s="1"/>
  <c r="Z651" i="1"/>
  <c r="Y547" i="1"/>
  <c r="AA547" i="1" s="1"/>
  <c r="Y478" i="1"/>
  <c r="AA478" i="1" s="1"/>
  <c r="Y470" i="1"/>
  <c r="AA470" i="1" s="1"/>
  <c r="Z423" i="1"/>
  <c r="Y343" i="1"/>
  <c r="AA343" i="1" s="1"/>
  <c r="Y273" i="1"/>
  <c r="AA273" i="1" s="1"/>
  <c r="Y223" i="1"/>
  <c r="AA223" i="1" s="1"/>
  <c r="Y790" i="1"/>
  <c r="AA790" i="1" s="1"/>
  <c r="Y682" i="1"/>
  <c r="AA682" i="1" s="1"/>
  <c r="Y650" i="1"/>
  <c r="AA650" i="1" s="1"/>
  <c r="Y442" i="1"/>
  <c r="AA442" i="1" s="1"/>
  <c r="Z97" i="1"/>
  <c r="Z47" i="1"/>
  <c r="Y782" i="1"/>
  <c r="AA782" i="1" s="1"/>
  <c r="Y766" i="1"/>
  <c r="AA766" i="1" s="1"/>
  <c r="Y758" i="1"/>
  <c r="AA758" i="1" s="1"/>
  <c r="Z699" i="1"/>
  <c r="Y222" i="1"/>
  <c r="AA222" i="1" s="1"/>
  <c r="Z187" i="1"/>
  <c r="Z158" i="1"/>
  <c r="Z170" i="1"/>
  <c r="Y598" i="1"/>
  <c r="AA598" i="1" s="1"/>
  <c r="Y537" i="1"/>
  <c r="AA537" i="1" s="1"/>
  <c r="Y531" i="1"/>
  <c r="AA531" i="1" s="1"/>
  <c r="Y484" i="1"/>
  <c r="AA484" i="1" s="1"/>
  <c r="Y423" i="1"/>
  <c r="AA423" i="1" s="1"/>
  <c r="Y401" i="1"/>
  <c r="AA401" i="1" s="1"/>
  <c r="Y340" i="1"/>
  <c r="AA340" i="1" s="1"/>
  <c r="Z340" i="1"/>
  <c r="Z339" i="1"/>
  <c r="Y267" i="1"/>
  <c r="AA267" i="1" s="1"/>
  <c r="Y113" i="1"/>
  <c r="AA113" i="1" s="1"/>
  <c r="Y298" i="1"/>
  <c r="AA298" i="1" s="1"/>
  <c r="Y254" i="1"/>
  <c r="AA254" i="1" s="1"/>
  <c r="Y235" i="1"/>
  <c r="AA235" i="1" s="1"/>
  <c r="Y220" i="1"/>
  <c r="AA220" i="1" s="1"/>
  <c r="Z220" i="1"/>
  <c r="Y751" i="1"/>
  <c r="AA751" i="1" s="1"/>
  <c r="Z733" i="1"/>
  <c r="Z719" i="1"/>
  <c r="Y685" i="1"/>
  <c r="AA685" i="1" s="1"/>
  <c r="Z757" i="1"/>
  <c r="Y733" i="1"/>
  <c r="AA733" i="1" s="1"/>
  <c r="Y719" i="1"/>
  <c r="AA719" i="1" s="1"/>
  <c r="Y684" i="1"/>
  <c r="AA684" i="1" s="1"/>
  <c r="Z609" i="1"/>
  <c r="Z607" i="1"/>
  <c r="Y605" i="1"/>
  <c r="AA605" i="1" s="1"/>
  <c r="Z604" i="1"/>
  <c r="Y577" i="1"/>
  <c r="AA577" i="1" s="1"/>
  <c r="Y489" i="1"/>
  <c r="AA489" i="1" s="1"/>
  <c r="Y465" i="1"/>
  <c r="AA465" i="1" s="1"/>
  <c r="Y449" i="1"/>
  <c r="AA449" i="1" s="1"/>
  <c r="Y370" i="1"/>
  <c r="AA370" i="1" s="1"/>
  <c r="Y259" i="1"/>
  <c r="AA259" i="1" s="1"/>
  <c r="Y199" i="1"/>
  <c r="AA199" i="1" s="1"/>
  <c r="Z190" i="1"/>
  <c r="Y188" i="1"/>
  <c r="AA188" i="1" s="1"/>
  <c r="Y756" i="1"/>
  <c r="AA756" i="1" s="1"/>
  <c r="Y748" i="1"/>
  <c r="AA748" i="1" s="1"/>
  <c r="Y614" i="1"/>
  <c r="AA614" i="1" s="1"/>
  <c r="Y459" i="1"/>
  <c r="AA459" i="1" s="1"/>
  <c r="Z456" i="1"/>
  <c r="Y453" i="1"/>
  <c r="AA453" i="1" s="1"/>
  <c r="Y345" i="1"/>
  <c r="AA345" i="1" s="1"/>
  <c r="Y239" i="1"/>
  <c r="AA239" i="1" s="1"/>
  <c r="Z233" i="1"/>
  <c r="Z121" i="1"/>
  <c r="Z106" i="1"/>
  <c r="Z725" i="1"/>
  <c r="Z715" i="1"/>
  <c r="Y703" i="1"/>
  <c r="AA703" i="1" s="1"/>
  <c r="Y700" i="1"/>
  <c r="AA700" i="1" s="1"/>
  <c r="Y677" i="1"/>
  <c r="AA677" i="1" s="1"/>
  <c r="Y669" i="1"/>
  <c r="AA669" i="1" s="1"/>
  <c r="Y661" i="1"/>
  <c r="AA661" i="1" s="1"/>
  <c r="Y647" i="1"/>
  <c r="AA647" i="1" s="1"/>
  <c r="Y575" i="1"/>
  <c r="AA575" i="1" s="1"/>
  <c r="Z573" i="1"/>
  <c r="Y571" i="1"/>
  <c r="AA571" i="1" s="1"/>
  <c r="Y568" i="1"/>
  <c r="AA568" i="1" s="1"/>
  <c r="Y562" i="1"/>
  <c r="AA562" i="1" s="1"/>
  <c r="Y560" i="1"/>
  <c r="AA560" i="1" s="1"/>
  <c r="Z510" i="1"/>
  <c r="Y508" i="1"/>
  <c r="AA508" i="1" s="1"/>
  <c r="Y504" i="1"/>
  <c r="AA504" i="1" s="1"/>
  <c r="Y480" i="1"/>
  <c r="AA480" i="1" s="1"/>
  <c r="Z474" i="1"/>
  <c r="Z433" i="1"/>
  <c r="Y412" i="1"/>
  <c r="AA412" i="1" s="1"/>
  <c r="Z411" i="1"/>
  <c r="Y282" i="1"/>
  <c r="AA282" i="1" s="1"/>
  <c r="Y763" i="1"/>
  <c r="AA763" i="1" s="1"/>
  <c r="Y709" i="1"/>
  <c r="AA709" i="1" s="1"/>
  <c r="Z703" i="1"/>
  <c r="Y653" i="1"/>
  <c r="AA653" i="1" s="1"/>
  <c r="Z653" i="1"/>
  <c r="Z635" i="1"/>
  <c r="Z628" i="1"/>
  <c r="Y606" i="1"/>
  <c r="AA606" i="1" s="1"/>
  <c r="Y788" i="1"/>
  <c r="AA788" i="1" s="1"/>
  <c r="Z774" i="1"/>
  <c r="Z771" i="1"/>
  <c r="Y742" i="1"/>
  <c r="AA742" i="1" s="1"/>
  <c r="Z717" i="1"/>
  <c r="Z698" i="1"/>
  <c r="Z685" i="1"/>
  <c r="Z682" i="1"/>
  <c r="Z675" i="1"/>
  <c r="Z667" i="1"/>
  <c r="Y591" i="1"/>
  <c r="AA591" i="1" s="1"/>
  <c r="Z589" i="1"/>
  <c r="Y587" i="1"/>
  <c r="AA587" i="1" s="1"/>
  <c r="Y583" i="1"/>
  <c r="AA583" i="1" s="1"/>
  <c r="Y521" i="1"/>
  <c r="AA521" i="1" s="1"/>
  <c r="Y500" i="1"/>
  <c r="AA500" i="1" s="1"/>
  <c r="Y496" i="1"/>
  <c r="AA496" i="1" s="1"/>
  <c r="Z494" i="1"/>
  <c r="Z485" i="1"/>
  <c r="Y461" i="1"/>
  <c r="AA461" i="1" s="1"/>
  <c r="Z460" i="1"/>
  <c r="Y426" i="1"/>
  <c r="AA426" i="1" s="1"/>
  <c r="Y404" i="1"/>
  <c r="AA404" i="1" s="1"/>
  <c r="Y399" i="1"/>
  <c r="AA399" i="1" s="1"/>
  <c r="Z398" i="1"/>
  <c r="Y397" i="1"/>
  <c r="AA397" i="1" s="1"/>
  <c r="Z391" i="1"/>
  <c r="Z390" i="1"/>
  <c r="Z779" i="1"/>
  <c r="Z763" i="1"/>
  <c r="Z746" i="1"/>
  <c r="Z709" i="1"/>
  <c r="Y658" i="1"/>
  <c r="AA658" i="1" s="1"/>
  <c r="Z490" i="1"/>
  <c r="Z480" i="1"/>
  <c r="Z466" i="1"/>
  <c r="Z449" i="1"/>
  <c r="Z388" i="1"/>
  <c r="Y362" i="1"/>
  <c r="AA362" i="1" s="1"/>
  <c r="Y354" i="1"/>
  <c r="AA354" i="1" s="1"/>
  <c r="Y351" i="1"/>
  <c r="AA351" i="1" s="1"/>
  <c r="Z332" i="1"/>
  <c r="Y327" i="1"/>
  <c r="AA327" i="1" s="1"/>
  <c r="Y322" i="1"/>
  <c r="AA322" i="1" s="1"/>
  <c r="Y319" i="1"/>
  <c r="AA319" i="1" s="1"/>
  <c r="Y314" i="1"/>
  <c r="AA314" i="1" s="1"/>
  <c r="Y311" i="1"/>
  <c r="AA311" i="1" s="1"/>
  <c r="Y15" i="1"/>
  <c r="AA15" i="1" s="1"/>
  <c r="Y270" i="1"/>
  <c r="AA270" i="1" s="1"/>
  <c r="Z223" i="1"/>
  <c r="Z217" i="1"/>
  <c r="Z216" i="1"/>
  <c r="Z197" i="1"/>
  <c r="Z195" i="1"/>
  <c r="Y193" i="1"/>
  <c r="AA193" i="1" s="1"/>
  <c r="Z179" i="1"/>
  <c r="Z153" i="1"/>
  <c r="Z135" i="1"/>
  <c r="Y132" i="1"/>
  <c r="AA132" i="1" s="1"/>
  <c r="Y105" i="1"/>
  <c r="AA105" i="1" s="1"/>
  <c r="Y101" i="1"/>
  <c r="AA101" i="1" s="1"/>
  <c r="Z201" i="1"/>
  <c r="Z183" i="1"/>
  <c r="Y174" i="1"/>
  <c r="AA174" i="1" s="1"/>
  <c r="Z162" i="1"/>
  <c r="Y149" i="1"/>
  <c r="AA149" i="1" s="1"/>
  <c r="Z127" i="1"/>
  <c r="Y76" i="1"/>
  <c r="AA76" i="1" s="1"/>
  <c r="Z75" i="1"/>
  <c r="Z72" i="1"/>
  <c r="Y62" i="1"/>
  <c r="AA62" i="1" s="1"/>
  <c r="Z42" i="1"/>
  <c r="Y41" i="1"/>
  <c r="AA41" i="1" s="1"/>
  <c r="Z23" i="1"/>
  <c r="Z21" i="1"/>
  <c r="Z369" i="1"/>
  <c r="Y360" i="1"/>
  <c r="AA360" i="1" s="1"/>
  <c r="Y359" i="1"/>
  <c r="AA359" i="1" s="1"/>
  <c r="Y356" i="1"/>
  <c r="AA356" i="1" s="1"/>
  <c r="Y355" i="1"/>
  <c r="AA355" i="1" s="1"/>
  <c r="Y346" i="1"/>
  <c r="AA346" i="1" s="1"/>
  <c r="Z345" i="1"/>
  <c r="Y331" i="1"/>
  <c r="AA331" i="1" s="1"/>
  <c r="Y325" i="1"/>
  <c r="AA325" i="1" s="1"/>
  <c r="Y324" i="1"/>
  <c r="AA324" i="1" s="1"/>
  <c r="Z323" i="1"/>
  <c r="Y317" i="1"/>
  <c r="AA317" i="1" s="1"/>
  <c r="Y316" i="1"/>
  <c r="AA316" i="1" s="1"/>
  <c r="Z315" i="1"/>
  <c r="Y309" i="1"/>
  <c r="AA309" i="1" s="1"/>
  <c r="Y308" i="1"/>
  <c r="AA308" i="1" s="1"/>
  <c r="Z307" i="1"/>
  <c r="Y304" i="1"/>
  <c r="AA304" i="1" s="1"/>
  <c r="Y303" i="1"/>
  <c r="AA303" i="1" s="1"/>
  <c r="Z18" i="1"/>
  <c r="Y293" i="1"/>
  <c r="AA293" i="1" s="1"/>
  <c r="Y276" i="1"/>
  <c r="AA276" i="1" s="1"/>
  <c r="Y251" i="1"/>
  <c r="AA251" i="1" s="1"/>
  <c r="Z240" i="1"/>
  <c r="Z226" i="1"/>
  <c r="Z212" i="1"/>
  <c r="Y182" i="1"/>
  <c r="AA182" i="1" s="1"/>
  <c r="Y177" i="1"/>
  <c r="AA177" i="1" s="1"/>
  <c r="Z108" i="1"/>
  <c r="Z90" i="1"/>
  <c r="Y88" i="1"/>
  <c r="AA88" i="1" s="1"/>
  <c r="Y80" i="1"/>
  <c r="AA80" i="1" s="1"/>
  <c r="Y71" i="1"/>
  <c r="AA71" i="1" s="1"/>
  <c r="Z29" i="1"/>
  <c r="Z27" i="1"/>
  <c r="Y136" i="1"/>
  <c r="AA136" i="1" s="1"/>
  <c r="Y130" i="1"/>
  <c r="AA130" i="1" s="1"/>
  <c r="Z134" i="1"/>
  <c r="Z123" i="1"/>
  <c r="Z146" i="1"/>
  <c r="Z125" i="1"/>
  <c r="Y110" i="1"/>
  <c r="AA110" i="1" s="1"/>
  <c r="Y107" i="1"/>
  <c r="AA107" i="1" s="1"/>
  <c r="Z112" i="1"/>
  <c r="Z98" i="1"/>
  <c r="Y77" i="1"/>
  <c r="AA77" i="1" s="1"/>
  <c r="Y58" i="1"/>
  <c r="AA58" i="1" s="1"/>
  <c r="Y54" i="1"/>
  <c r="AA54" i="1" s="1"/>
  <c r="Z80" i="1"/>
  <c r="Z66" i="1"/>
  <c r="Z59" i="1"/>
  <c r="Z52" i="1"/>
  <c r="Z86" i="1"/>
  <c r="Z758" i="1"/>
  <c r="Y757" i="1"/>
  <c r="AA757" i="1" s="1"/>
  <c r="Y753" i="1"/>
  <c r="AA753" i="1" s="1"/>
  <c r="Z745" i="1"/>
  <c r="Y744" i="1"/>
  <c r="AA744" i="1" s="1"/>
  <c r="Y740" i="1"/>
  <c r="AA740" i="1" s="1"/>
  <c r="Z737" i="1"/>
  <c r="Y724" i="1"/>
  <c r="AA724" i="1" s="1"/>
  <c r="Z721" i="1"/>
  <c r="Y714" i="1"/>
  <c r="AA714" i="1" s="1"/>
  <c r="Y708" i="1"/>
  <c r="AA708" i="1" s="1"/>
  <c r="Z705" i="1"/>
  <c r="Y690" i="1"/>
  <c r="AA690" i="1" s="1"/>
  <c r="Y679" i="1"/>
  <c r="AA679" i="1" s="1"/>
  <c r="Y676" i="1"/>
  <c r="AA676" i="1" s="1"/>
  <c r="Z669" i="1"/>
  <c r="Y666" i="1"/>
  <c r="AA666" i="1" s="1"/>
  <c r="Y663" i="1"/>
  <c r="AA663" i="1" s="1"/>
  <c r="Y642" i="1"/>
  <c r="AA642" i="1" s="1"/>
  <c r="Y639" i="1"/>
  <c r="AA639" i="1" s="1"/>
  <c r="Y627" i="1"/>
  <c r="AA627" i="1" s="1"/>
  <c r="Y624" i="1"/>
  <c r="AA624" i="1" s="1"/>
  <c r="Y620" i="1"/>
  <c r="AA620" i="1" s="1"/>
  <c r="Y617" i="1"/>
  <c r="AA617" i="1" s="1"/>
  <c r="Z606" i="1"/>
  <c r="Y601" i="1"/>
  <c r="AA601" i="1" s="1"/>
  <c r="Y595" i="1"/>
  <c r="AA595" i="1" s="1"/>
  <c r="Y579" i="1"/>
  <c r="AA579" i="1" s="1"/>
  <c r="Z578" i="1"/>
  <c r="Y564" i="1"/>
  <c r="AA564" i="1" s="1"/>
  <c r="Z563" i="1"/>
  <c r="Y549" i="1"/>
  <c r="AA549" i="1" s="1"/>
  <c r="Z548" i="1"/>
  <c r="Y533" i="1"/>
  <c r="AA533" i="1" s="1"/>
  <c r="Z532" i="1"/>
  <c r="Y517" i="1"/>
  <c r="AA517" i="1" s="1"/>
  <c r="Y513" i="1"/>
  <c r="AA513" i="1" s="1"/>
  <c r="Y482" i="1"/>
  <c r="AA482" i="1" s="1"/>
  <c r="Y468" i="1"/>
  <c r="AA468" i="1" s="1"/>
  <c r="Y447" i="1"/>
  <c r="AA447" i="1" s="1"/>
  <c r="Y436" i="1"/>
  <c r="AA436" i="1" s="1"/>
  <c r="Y415" i="1"/>
  <c r="AA415" i="1" s="1"/>
  <c r="Y384" i="1"/>
  <c r="AA384" i="1" s="1"/>
  <c r="Y780" i="1"/>
  <c r="AA780" i="1" s="1"/>
  <c r="Y777" i="1"/>
  <c r="AA777" i="1" s="1"/>
  <c r="Z767" i="1"/>
  <c r="Y764" i="1"/>
  <c r="AA764" i="1" s="1"/>
  <c r="Z760" i="1"/>
  <c r="Z755" i="1"/>
  <c r="Y727" i="1"/>
  <c r="AA727" i="1" s="1"/>
  <c r="Z723" i="1"/>
  <c r="Z711" i="1"/>
  <c r="Z691" i="1"/>
  <c r="Z645" i="1"/>
  <c r="Z643" i="1"/>
  <c r="Z623" i="1"/>
  <c r="Z613" i="1"/>
  <c r="Y589" i="1"/>
  <c r="AA589" i="1" s="1"/>
  <c r="Z587" i="1"/>
  <c r="Y585" i="1"/>
  <c r="AA585" i="1" s="1"/>
  <c r="Y581" i="1"/>
  <c r="AA581" i="1" s="1"/>
  <c r="Z580" i="1"/>
  <c r="Y573" i="1"/>
  <c r="AA573" i="1" s="1"/>
  <c r="Z571" i="1"/>
  <c r="Y570" i="1"/>
  <c r="AA570" i="1" s="1"/>
  <c r="Y566" i="1"/>
  <c r="AA566" i="1" s="1"/>
  <c r="Z565" i="1"/>
  <c r="Z557" i="1"/>
  <c r="Y555" i="1"/>
  <c r="AA555" i="1" s="1"/>
  <c r="Y551" i="1"/>
  <c r="AA551" i="1" s="1"/>
  <c r="Z550" i="1"/>
  <c r="Z541" i="1"/>
  <c r="Y539" i="1"/>
  <c r="AA539" i="1" s="1"/>
  <c r="Y535" i="1"/>
  <c r="AA535" i="1" s="1"/>
  <c r="Z534" i="1"/>
  <c r="Z525" i="1"/>
  <c r="Y523" i="1"/>
  <c r="AA523" i="1" s="1"/>
  <c r="Y519" i="1"/>
  <c r="AA519" i="1" s="1"/>
  <c r="Y515" i="1"/>
  <c r="AA515" i="1" s="1"/>
  <c r="Z513" i="1"/>
  <c r="Z438" i="1"/>
  <c r="Z416" i="1"/>
  <c r="Z789" i="1"/>
  <c r="Z776" i="1"/>
  <c r="Z773" i="1"/>
  <c r="Y785" i="1"/>
  <c r="AA785" i="1" s="1"/>
  <c r="Z781" i="1"/>
  <c r="Y761" i="1"/>
  <c r="AA761" i="1" s="1"/>
  <c r="Z761" i="1"/>
  <c r="Y749" i="1"/>
  <c r="AA749" i="1" s="1"/>
  <c r="Y743" i="1"/>
  <c r="AA743" i="1" s="1"/>
  <c r="Y741" i="1"/>
  <c r="AA741" i="1" s="1"/>
  <c r="Z739" i="1"/>
  <c r="Z727" i="1"/>
  <c r="Y725" i="1"/>
  <c r="AA725" i="1" s="1"/>
  <c r="Z707" i="1"/>
  <c r="Z787" i="1"/>
  <c r="Y779" i="1"/>
  <c r="AA779" i="1" s="1"/>
  <c r="Y773" i="1"/>
  <c r="AA773" i="1" s="1"/>
  <c r="Y772" i="1"/>
  <c r="AA772" i="1" s="1"/>
  <c r="Y769" i="1"/>
  <c r="AA769" i="1" s="1"/>
  <c r="Z765" i="1"/>
  <c r="Z747" i="1"/>
  <c r="Z744" i="1"/>
  <c r="Y738" i="1"/>
  <c r="AA738" i="1" s="1"/>
  <c r="Y732" i="1"/>
  <c r="AA732" i="1" s="1"/>
  <c r="Z729" i="1"/>
  <c r="Y722" i="1"/>
  <c r="AA722" i="1" s="1"/>
  <c r="Y716" i="1"/>
  <c r="AA716" i="1" s="1"/>
  <c r="Z713" i="1"/>
  <c r="Y706" i="1"/>
  <c r="AA706" i="1" s="1"/>
  <c r="Y701" i="1"/>
  <c r="AA701" i="1" s="1"/>
  <c r="Y695" i="1"/>
  <c r="AA695" i="1" s="1"/>
  <c r="Z688" i="1"/>
  <c r="Z677" i="1"/>
  <c r="Y674" i="1"/>
  <c r="AA674" i="1" s="1"/>
  <c r="Y671" i="1"/>
  <c r="AA671" i="1" s="1"/>
  <c r="Y668" i="1"/>
  <c r="AA668" i="1" s="1"/>
  <c r="Z661" i="1"/>
  <c r="Z659" i="1"/>
  <c r="Z637" i="1"/>
  <c r="Y634" i="1"/>
  <c r="AA634" i="1" s="1"/>
  <c r="Y631" i="1"/>
  <c r="AA631" i="1" s="1"/>
  <c r="Y622" i="1"/>
  <c r="AA622" i="1" s="1"/>
  <c r="Z621" i="1"/>
  <c r="Y615" i="1"/>
  <c r="AA615" i="1" s="1"/>
  <c r="Y612" i="1"/>
  <c r="AA612" i="1" s="1"/>
  <c r="Y608" i="1"/>
  <c r="AA608" i="1" s="1"/>
  <c r="Y602" i="1"/>
  <c r="AA602" i="1" s="1"/>
  <c r="Y561" i="1"/>
  <c r="AA561" i="1" s="1"/>
  <c r="Y559" i="1"/>
  <c r="AA559" i="1" s="1"/>
  <c r="Z558" i="1"/>
  <c r="Y546" i="1"/>
  <c r="AA546" i="1" s="1"/>
  <c r="Y544" i="1"/>
  <c r="AA544" i="1" s="1"/>
  <c r="Z543" i="1"/>
  <c r="Y530" i="1"/>
  <c r="AA530" i="1" s="1"/>
  <c r="Y528" i="1"/>
  <c r="AA528" i="1" s="1"/>
  <c r="Z527" i="1"/>
  <c r="Z515" i="1"/>
  <c r="Y514" i="1"/>
  <c r="AA514" i="1" s="1"/>
  <c r="Y491" i="1"/>
  <c r="AA491" i="1" s="1"/>
  <c r="Z481" i="1"/>
  <c r="Y476" i="1"/>
  <c r="AA476" i="1" s="1"/>
  <c r="Y473" i="1"/>
  <c r="AA473" i="1" s="1"/>
  <c r="Z430" i="1"/>
  <c r="Y411" i="1"/>
  <c r="AA411" i="1" s="1"/>
  <c r="Z408" i="1"/>
  <c r="Y247" i="1"/>
  <c r="AA247" i="1" s="1"/>
  <c r="Z512" i="1"/>
  <c r="Y498" i="1"/>
  <c r="AA498" i="1" s="1"/>
  <c r="Z487" i="1"/>
  <c r="Z472" i="1"/>
  <c r="Z469" i="1"/>
  <c r="Z458" i="1"/>
  <c r="Z453" i="1"/>
  <c r="Y448" i="1"/>
  <c r="AA448" i="1" s="1"/>
  <c r="Y441" i="1"/>
  <c r="AA441" i="1" s="1"/>
  <c r="Z440" i="1"/>
  <c r="Y435" i="1"/>
  <c r="AA435" i="1" s="1"/>
  <c r="Y430" i="1"/>
  <c r="AA430" i="1" s="1"/>
  <c r="Y419" i="1"/>
  <c r="AA419" i="1" s="1"/>
  <c r="Z414" i="1"/>
  <c r="Z393" i="1"/>
  <c r="Z384" i="1"/>
  <c r="Y376" i="1"/>
  <c r="AA376" i="1" s="1"/>
  <c r="Y363" i="1"/>
  <c r="AA363" i="1" s="1"/>
  <c r="Y352" i="1"/>
  <c r="AA352" i="1" s="1"/>
  <c r="Y349" i="1"/>
  <c r="AA349" i="1" s="1"/>
  <c r="Z347" i="1"/>
  <c r="Y342" i="1"/>
  <c r="AA342" i="1" s="1"/>
  <c r="Z342" i="1"/>
  <c r="Y302" i="1"/>
  <c r="AA302" i="1" s="1"/>
  <c r="Y300" i="1"/>
  <c r="AA300" i="1" s="1"/>
  <c r="Z214" i="1"/>
  <c r="Z113" i="1"/>
  <c r="Y332" i="1"/>
  <c r="AA332" i="1" s="1"/>
  <c r="Z325" i="1"/>
  <c r="Z317" i="1"/>
  <c r="Z309" i="1"/>
  <c r="Z304" i="1"/>
  <c r="Y283" i="1"/>
  <c r="AA283" i="1" s="1"/>
  <c r="Y281" i="1"/>
  <c r="AA281" i="1" s="1"/>
  <c r="Y280" i="1"/>
  <c r="AA280" i="1" s="1"/>
  <c r="Y275" i="1"/>
  <c r="AA275" i="1" s="1"/>
  <c r="Y261" i="1"/>
  <c r="AA261" i="1" s="1"/>
  <c r="Y255" i="1"/>
  <c r="AA255" i="1" s="1"/>
  <c r="Y246" i="1"/>
  <c r="AA246" i="1" s="1"/>
  <c r="Z157" i="1"/>
  <c r="Y51" i="1"/>
  <c r="AA51" i="1" s="1"/>
  <c r="Y292" i="1"/>
  <c r="AA292" i="1" s="1"/>
  <c r="Y269" i="1"/>
  <c r="AA269" i="1" s="1"/>
  <c r="Y263" i="1"/>
  <c r="AA263" i="1" s="1"/>
  <c r="Y260" i="1"/>
  <c r="AA260" i="1" s="1"/>
  <c r="Y248" i="1"/>
  <c r="AA248" i="1" s="1"/>
  <c r="Z186" i="1"/>
  <c r="Y67" i="1"/>
  <c r="AA67" i="1" s="1"/>
  <c r="Y502" i="1"/>
  <c r="AA502" i="1" s="1"/>
  <c r="Z493" i="1"/>
  <c r="Y492" i="1"/>
  <c r="AA492" i="1" s="1"/>
  <c r="Z488" i="1"/>
  <c r="Y487" i="1"/>
  <c r="AA487" i="1" s="1"/>
  <c r="Y472" i="1"/>
  <c r="AA472" i="1" s="1"/>
  <c r="Y455" i="1"/>
  <c r="AA455" i="1" s="1"/>
  <c r="Z454" i="1"/>
  <c r="Y452" i="1"/>
  <c r="AA452" i="1" s="1"/>
  <c r="Z448" i="1"/>
  <c r="Y440" i="1"/>
  <c r="AA440" i="1" s="1"/>
  <c r="Y439" i="1"/>
  <c r="AA439" i="1" s="1"/>
  <c r="Z435" i="1"/>
  <c r="Y428" i="1"/>
  <c r="AA428" i="1" s="1"/>
  <c r="Y425" i="1"/>
  <c r="AA425" i="1" s="1"/>
  <c r="Y418" i="1"/>
  <c r="AA418" i="1" s="1"/>
  <c r="Y416" i="1"/>
  <c r="AA416" i="1" s="1"/>
  <c r="Y408" i="1"/>
  <c r="AA408" i="1" s="1"/>
  <c r="Z400" i="1"/>
  <c r="Y395" i="1"/>
  <c r="AA395" i="1" s="1"/>
  <c r="Y379" i="1"/>
  <c r="AA379" i="1" s="1"/>
  <c r="Y373" i="1"/>
  <c r="AA373" i="1" s="1"/>
  <c r="Z366" i="1"/>
  <c r="Y353" i="1"/>
  <c r="AA353" i="1" s="1"/>
  <c r="Z346" i="1"/>
  <c r="Y299" i="1"/>
  <c r="AA299" i="1" s="1"/>
  <c r="Y337" i="1"/>
  <c r="AA337" i="1" s="1"/>
  <c r="Y333" i="1"/>
  <c r="AA333" i="1" s="1"/>
  <c r="Y330" i="1"/>
  <c r="AA330" i="1" s="1"/>
  <c r="Y294" i="1"/>
  <c r="AA294" i="1" s="1"/>
  <c r="Y291" i="1"/>
  <c r="AA291" i="1" s="1"/>
  <c r="Y290" i="1"/>
  <c r="AA290" i="1" s="1"/>
  <c r="Y286" i="1"/>
  <c r="AA286" i="1" s="1"/>
  <c r="Y274" i="1"/>
  <c r="AA274" i="1" s="1"/>
  <c r="Y268" i="1"/>
  <c r="AA268" i="1" s="1"/>
  <c r="Y19" i="1"/>
  <c r="AA19" i="1" s="1"/>
  <c r="Y262" i="1"/>
  <c r="AA262" i="1" s="1"/>
  <c r="Y253" i="1"/>
  <c r="AA253" i="1" s="1"/>
  <c r="Y245" i="1"/>
  <c r="AA245" i="1" s="1"/>
  <c r="Y243" i="1"/>
  <c r="AA243" i="1" s="1"/>
  <c r="Z230" i="1"/>
  <c r="Y121" i="1"/>
  <c r="AA121" i="1" s="1"/>
  <c r="Y116" i="1"/>
  <c r="AA116" i="1" s="1"/>
  <c r="Y217" i="1"/>
  <c r="AA217" i="1" s="1"/>
  <c r="Z174" i="1"/>
  <c r="Z169" i="1"/>
  <c r="Z149" i="1"/>
  <c r="Z143" i="1"/>
  <c r="Z141" i="1"/>
  <c r="Y134" i="1"/>
  <c r="AA134" i="1" s="1"/>
  <c r="Z131" i="1"/>
  <c r="Z13" i="1"/>
  <c r="Y104" i="1"/>
  <c r="AA104" i="1" s="1"/>
  <c r="Y91" i="1"/>
  <c r="AA91" i="1" s="1"/>
  <c r="Z88" i="1"/>
  <c r="Y83" i="1"/>
  <c r="AA83" i="1" s="1"/>
  <c r="Z82" i="1"/>
  <c r="Z76" i="1"/>
  <c r="Y72" i="1"/>
  <c r="AA72" i="1" s="1"/>
  <c r="Y68" i="1"/>
  <c r="AA68" i="1" s="1"/>
  <c r="Z68" i="1"/>
  <c r="Z61" i="1"/>
  <c r="Z58" i="1"/>
  <c r="Y53" i="1"/>
  <c r="AA53" i="1" s="1"/>
  <c r="Y50" i="1"/>
  <c r="AA50" i="1" s="1"/>
  <c r="Z49" i="1"/>
  <c r="Y44" i="1"/>
  <c r="AA44" i="1" s="1"/>
  <c r="Z25" i="1"/>
  <c r="Z24" i="1"/>
  <c r="Z238" i="1"/>
  <c r="Y236" i="1"/>
  <c r="AA236" i="1" s="1"/>
  <c r="Z231" i="1"/>
  <c r="Y230" i="1"/>
  <c r="AA230" i="1" s="1"/>
  <c r="Y228" i="1"/>
  <c r="AA228" i="1" s="1"/>
  <c r="Y219" i="1"/>
  <c r="AA219" i="1" s="1"/>
  <c r="Z215" i="1"/>
  <c r="Y204" i="1"/>
  <c r="AA204" i="1" s="1"/>
  <c r="Z200" i="1"/>
  <c r="Y194" i="1"/>
  <c r="AA194" i="1" s="1"/>
  <c r="Z194" i="1"/>
  <c r="Y186" i="1"/>
  <c r="AA186" i="1" s="1"/>
  <c r="Y180" i="1"/>
  <c r="AA180" i="1" s="1"/>
  <c r="Y178" i="1"/>
  <c r="AA178" i="1" s="1"/>
  <c r="Z171" i="1"/>
  <c r="Y169" i="1"/>
  <c r="AA169" i="1" s="1"/>
  <c r="Z166" i="1"/>
  <c r="Z163" i="1"/>
  <c r="Y161" i="1"/>
  <c r="AA161" i="1" s="1"/>
  <c r="Y157" i="1"/>
  <c r="AA157" i="1" s="1"/>
  <c r="Z154" i="1"/>
  <c r="Y153" i="1"/>
  <c r="AA153" i="1" s="1"/>
  <c r="Y145" i="1"/>
  <c r="AA145" i="1" s="1"/>
  <c r="Y141" i="1"/>
  <c r="AA141" i="1" s="1"/>
  <c r="Z138" i="1"/>
  <c r="Y123" i="1"/>
  <c r="AA123" i="1" s="1"/>
  <c r="Z116" i="1"/>
  <c r="Z110" i="1"/>
  <c r="Z102" i="1"/>
  <c r="Y95" i="1"/>
  <c r="AA95" i="1" s="1"/>
  <c r="Z78" i="1"/>
  <c r="Z70" i="1"/>
  <c r="Z60" i="1"/>
  <c r="Z51" i="1"/>
  <c r="Z32" i="1"/>
  <c r="Y27" i="1"/>
  <c r="AA27" i="1" s="1"/>
  <c r="Y232" i="1"/>
  <c r="AA232" i="1" s="1"/>
  <c r="Z227" i="1"/>
  <c r="Z210" i="1"/>
  <c r="Z199" i="1"/>
  <c r="Z182" i="1"/>
  <c r="Z180" i="1"/>
  <c r="Z178" i="1"/>
  <c r="Z177" i="1"/>
  <c r="Z176" i="1"/>
  <c r="Y158" i="1"/>
  <c r="AA158" i="1" s="1"/>
  <c r="Y154" i="1"/>
  <c r="AA154" i="1" s="1"/>
  <c r="Z151" i="1"/>
  <c r="Z147" i="1"/>
  <c r="Z145" i="1"/>
  <c r="Y139" i="1"/>
  <c r="AA139" i="1" s="1"/>
  <c r="Z130" i="1"/>
  <c r="Y125" i="1"/>
  <c r="AA125" i="1" s="1"/>
  <c r="Y13" i="1"/>
  <c r="AA13" i="1" s="1"/>
  <c r="Y118" i="1"/>
  <c r="AA118" i="1" s="1"/>
  <c r="Y114" i="1"/>
  <c r="AA114" i="1" s="1"/>
  <c r="Z96" i="1"/>
  <c r="Y92" i="1"/>
  <c r="AA92" i="1" s="1"/>
  <c r="Z92" i="1"/>
  <c r="Z91" i="1"/>
  <c r="Z83" i="1"/>
  <c r="Y73" i="1"/>
  <c r="AA73" i="1" s="1"/>
  <c r="Y65" i="1"/>
  <c r="AA65" i="1" s="1"/>
  <c r="Y61" i="1"/>
  <c r="AA61" i="1" s="1"/>
  <c r="Y57" i="1"/>
  <c r="AA57" i="1" s="1"/>
  <c r="Z53" i="1"/>
  <c r="Z50" i="1"/>
  <c r="Y49" i="1"/>
  <c r="AA49" i="1" s="1"/>
  <c r="Z28" i="1"/>
  <c r="Y24" i="1"/>
  <c r="AA24" i="1" s="1"/>
  <c r="Y775" i="1"/>
  <c r="AA775" i="1" s="1"/>
  <c r="Z790" i="1"/>
  <c r="Y789" i="1"/>
  <c r="AA789" i="1" s="1"/>
  <c r="Y787" i="1"/>
  <c r="AA787" i="1" s="1"/>
  <c r="Y784" i="1"/>
  <c r="AA784" i="1" s="1"/>
  <c r="Y783" i="1"/>
  <c r="AA783" i="1" s="1"/>
  <c r="Y778" i="1"/>
  <c r="AA778" i="1" s="1"/>
  <c r="Z775" i="1"/>
  <c r="Z769" i="1"/>
  <c r="Z768" i="1"/>
  <c r="Z766" i="1"/>
  <c r="Y765" i="1"/>
  <c r="AA765" i="1" s="1"/>
  <c r="Y755" i="1"/>
  <c r="AA755" i="1" s="1"/>
  <c r="Y752" i="1"/>
  <c r="AA752" i="1" s="1"/>
  <c r="Y750" i="1"/>
  <c r="AA750" i="1" s="1"/>
  <c r="Z743" i="1"/>
  <c r="Z738" i="1"/>
  <c r="Z736" i="1"/>
  <c r="Z730" i="1"/>
  <c r="Z728" i="1"/>
  <c r="Z722" i="1"/>
  <c r="Z720" i="1"/>
  <c r="Z714" i="1"/>
  <c r="Z712" i="1"/>
  <c r="Z706" i="1"/>
  <c r="Z704" i="1"/>
  <c r="Z701" i="1"/>
  <c r="Z696" i="1"/>
  <c r="Y692" i="1"/>
  <c r="AA692" i="1" s="1"/>
  <c r="Z751" i="1"/>
  <c r="Z741" i="1"/>
  <c r="Y698" i="1"/>
  <c r="AA698" i="1" s="1"/>
  <c r="Y660" i="1"/>
  <c r="AA660" i="1" s="1"/>
  <c r="Y644" i="1"/>
  <c r="AA644" i="1" s="1"/>
  <c r="Y629" i="1"/>
  <c r="AA629" i="1" s="1"/>
  <c r="Z783" i="1"/>
  <c r="Z777" i="1"/>
  <c r="Y774" i="1"/>
  <c r="AA774" i="1" s="1"/>
  <c r="Y759" i="1"/>
  <c r="AA759" i="1" s="1"/>
  <c r="Y746" i="1"/>
  <c r="AA746" i="1" s="1"/>
  <c r="Z785" i="1"/>
  <c r="Z784" i="1"/>
  <c r="Z782" i="1"/>
  <c r="Y781" i="1"/>
  <c r="AA781" i="1" s="1"/>
  <c r="Y771" i="1"/>
  <c r="AA771" i="1" s="1"/>
  <c r="Y767" i="1"/>
  <c r="AA767" i="1" s="1"/>
  <c r="Z759" i="1"/>
  <c r="Z753" i="1"/>
  <c r="Z752" i="1"/>
  <c r="Z749" i="1"/>
  <c r="Y736" i="1"/>
  <c r="AA736" i="1" s="1"/>
  <c r="Y734" i="1"/>
  <c r="AA734" i="1" s="1"/>
  <c r="Y728" i="1"/>
  <c r="AA728" i="1" s="1"/>
  <c r="Y726" i="1"/>
  <c r="AA726" i="1" s="1"/>
  <c r="Y720" i="1"/>
  <c r="AA720" i="1" s="1"/>
  <c r="Y718" i="1"/>
  <c r="AA718" i="1" s="1"/>
  <c r="Y712" i="1"/>
  <c r="AA712" i="1" s="1"/>
  <c r="Y710" i="1"/>
  <c r="AA710" i="1" s="1"/>
  <c r="Y704" i="1"/>
  <c r="AA704" i="1" s="1"/>
  <c r="Y702" i="1"/>
  <c r="AA702" i="1" s="1"/>
  <c r="Y693" i="1"/>
  <c r="AA693" i="1" s="1"/>
  <c r="Z693" i="1"/>
  <c r="Z690" i="1"/>
  <c r="Z680" i="1"/>
  <c r="Y636" i="1"/>
  <c r="AA636" i="1" s="1"/>
  <c r="Z697" i="1"/>
  <c r="Z695" i="1"/>
  <c r="Z689" i="1"/>
  <c r="Z687" i="1"/>
  <c r="Z681" i="1"/>
  <c r="Z679" i="1"/>
  <c r="Z673" i="1"/>
  <c r="Z671" i="1"/>
  <c r="Z665" i="1"/>
  <c r="Z663" i="1"/>
  <c r="Z657" i="1"/>
  <c r="Z655" i="1"/>
  <c r="Z649" i="1"/>
  <c r="Z647" i="1"/>
  <c r="Z641" i="1"/>
  <c r="Z639" i="1"/>
  <c r="Z633" i="1"/>
  <c r="Z631" i="1"/>
  <c r="Z626" i="1"/>
  <c r="Z624" i="1"/>
  <c r="Z620" i="1"/>
  <c r="Z618" i="1"/>
  <c r="Z615" i="1"/>
  <c r="Z605" i="1"/>
  <c r="Y604" i="1"/>
  <c r="AA604" i="1" s="1"/>
  <c r="Z603" i="1"/>
  <c r="Z588" i="1"/>
  <c r="Z586" i="1"/>
  <c r="Z581" i="1"/>
  <c r="Y580" i="1"/>
  <c r="AA580" i="1" s="1"/>
  <c r="Z579" i="1"/>
  <c r="Y578" i="1"/>
  <c r="AA578" i="1" s="1"/>
  <c r="Z572" i="1"/>
  <c r="Z566" i="1"/>
  <c r="Y565" i="1"/>
  <c r="AA565" i="1" s="1"/>
  <c r="Z564" i="1"/>
  <c r="Y563" i="1"/>
  <c r="AA563" i="1" s="1"/>
  <c r="Z556" i="1"/>
  <c r="Z551" i="1"/>
  <c r="Y550" i="1"/>
  <c r="AA550" i="1" s="1"/>
  <c r="Z549" i="1"/>
  <c r="Y548" i="1"/>
  <c r="AA548" i="1" s="1"/>
  <c r="Z542" i="1"/>
  <c r="Z540" i="1"/>
  <c r="Z535" i="1"/>
  <c r="Y534" i="1"/>
  <c r="AA534" i="1" s="1"/>
  <c r="Z533" i="1"/>
  <c r="Y532" i="1"/>
  <c r="AA532" i="1" s="1"/>
  <c r="Z526" i="1"/>
  <c r="Z524" i="1"/>
  <c r="Z519" i="1"/>
  <c r="Y518" i="1"/>
  <c r="AA518" i="1" s="1"/>
  <c r="Z517" i="1"/>
  <c r="Z507" i="1"/>
  <c r="Z505" i="1"/>
  <c r="Z504" i="1"/>
  <c r="Y503" i="1"/>
  <c r="AA503" i="1" s="1"/>
  <c r="Z502" i="1"/>
  <c r="Y501" i="1"/>
  <c r="AA501" i="1" s="1"/>
  <c r="Z500" i="1"/>
  <c r="Y499" i="1"/>
  <c r="AA499" i="1" s="1"/>
  <c r="Z498" i="1"/>
  <c r="Y497" i="1"/>
  <c r="AA497" i="1" s="1"/>
  <c r="Z495" i="1"/>
  <c r="Y494" i="1"/>
  <c r="AA494" i="1" s="1"/>
  <c r="Y485" i="1"/>
  <c r="AA485" i="1" s="1"/>
  <c r="Z477" i="1"/>
  <c r="Y471" i="1"/>
  <c r="AA471" i="1" s="1"/>
  <c r="Z467" i="1"/>
  <c r="Y466" i="1"/>
  <c r="AA466" i="1" s="1"/>
  <c r="Z446" i="1"/>
  <c r="Y433" i="1"/>
  <c r="AA433" i="1" s="1"/>
  <c r="Y424" i="1"/>
  <c r="AA424" i="1" s="1"/>
  <c r="Y421" i="1"/>
  <c r="AA421" i="1" s="1"/>
  <c r="Z674" i="1"/>
  <c r="Z672" i="1"/>
  <c r="Z666" i="1"/>
  <c r="Z664" i="1"/>
  <c r="Z658" i="1"/>
  <c r="Z656" i="1"/>
  <c r="Z650" i="1"/>
  <c r="Z648" i="1"/>
  <c r="Z642" i="1"/>
  <c r="Z640" i="1"/>
  <c r="Z634" i="1"/>
  <c r="Z632" i="1"/>
  <c r="Z627" i="1"/>
  <c r="Z625" i="1"/>
  <c r="Z611" i="1"/>
  <c r="Y610" i="1"/>
  <c r="AA610" i="1" s="1"/>
  <c r="Y375" i="1"/>
  <c r="AA375" i="1" s="1"/>
  <c r="Z601" i="1"/>
  <c r="Z600" i="1"/>
  <c r="Y599" i="1"/>
  <c r="AA599" i="1" s="1"/>
  <c r="Z598" i="1"/>
  <c r="Y597" i="1"/>
  <c r="AA597" i="1" s="1"/>
  <c r="Y596" i="1"/>
  <c r="AA596" i="1" s="1"/>
  <c r="Z595" i="1"/>
  <c r="Y594" i="1"/>
  <c r="AA594" i="1" s="1"/>
  <c r="Z593" i="1"/>
  <c r="Y592" i="1"/>
  <c r="AA592" i="1" s="1"/>
  <c r="Z591" i="1"/>
  <c r="Y590" i="1"/>
  <c r="AA590" i="1" s="1"/>
  <c r="Z584" i="1"/>
  <c r="Z582" i="1"/>
  <c r="Z577" i="1"/>
  <c r="Y576" i="1"/>
  <c r="AA576" i="1" s="1"/>
  <c r="Z575" i="1"/>
  <c r="Y574" i="1"/>
  <c r="AA574" i="1" s="1"/>
  <c r="Z569" i="1"/>
  <c r="Z567" i="1"/>
  <c r="Z562" i="1"/>
  <c r="Z560" i="1"/>
  <c r="Z554" i="1"/>
  <c r="Z552" i="1"/>
  <c r="Z547" i="1"/>
  <c r="Z545" i="1"/>
  <c r="Z538" i="1"/>
  <c r="Z536" i="1"/>
  <c r="Z531" i="1"/>
  <c r="Z529" i="1"/>
  <c r="Z522" i="1"/>
  <c r="Z520" i="1"/>
  <c r="Z518" i="1"/>
  <c r="Z516" i="1"/>
  <c r="Z514" i="1"/>
  <c r="Z503" i="1"/>
  <c r="Z501" i="1"/>
  <c r="Z499" i="1"/>
  <c r="Z497" i="1"/>
  <c r="Y454" i="1"/>
  <c r="AA454" i="1" s="1"/>
  <c r="Z442" i="1"/>
  <c r="Z436" i="1"/>
  <c r="Y431" i="1"/>
  <c r="AA431" i="1" s="1"/>
  <c r="Y618" i="1"/>
  <c r="AA618" i="1" s="1"/>
  <c r="Y616" i="1"/>
  <c r="AA616" i="1" s="1"/>
  <c r="Y588" i="1"/>
  <c r="AA588" i="1" s="1"/>
  <c r="Y586" i="1"/>
  <c r="AA586" i="1" s="1"/>
  <c r="Y572" i="1"/>
  <c r="AA572" i="1" s="1"/>
  <c r="Y556" i="1"/>
  <c r="AA556" i="1" s="1"/>
  <c r="Y542" i="1"/>
  <c r="AA542" i="1" s="1"/>
  <c r="Y540" i="1"/>
  <c r="AA540" i="1" s="1"/>
  <c r="Y526" i="1"/>
  <c r="AA526" i="1" s="1"/>
  <c r="Y524" i="1"/>
  <c r="AA524" i="1" s="1"/>
  <c r="Y511" i="1"/>
  <c r="AA511" i="1" s="1"/>
  <c r="Y509" i="1"/>
  <c r="AA509" i="1" s="1"/>
  <c r="Y696" i="1"/>
  <c r="AA696" i="1" s="1"/>
  <c r="Y694" i="1"/>
  <c r="AA694" i="1" s="1"/>
  <c r="Y688" i="1"/>
  <c r="AA688" i="1" s="1"/>
  <c r="Y686" i="1"/>
  <c r="AA686" i="1" s="1"/>
  <c r="Y680" i="1"/>
  <c r="AA680" i="1" s="1"/>
  <c r="Y678" i="1"/>
  <c r="AA678" i="1" s="1"/>
  <c r="Y672" i="1"/>
  <c r="AA672" i="1" s="1"/>
  <c r="Y670" i="1"/>
  <c r="AA670" i="1" s="1"/>
  <c r="Y664" i="1"/>
  <c r="AA664" i="1" s="1"/>
  <c r="Y662" i="1"/>
  <c r="AA662" i="1" s="1"/>
  <c r="Y656" i="1"/>
  <c r="AA656" i="1" s="1"/>
  <c r="Y654" i="1"/>
  <c r="AA654" i="1" s="1"/>
  <c r="Y648" i="1"/>
  <c r="AA648" i="1" s="1"/>
  <c r="Y646" i="1"/>
  <c r="AA646" i="1" s="1"/>
  <c r="Y640" i="1"/>
  <c r="AA640" i="1" s="1"/>
  <c r="Y638" i="1"/>
  <c r="AA638" i="1" s="1"/>
  <c r="Y632" i="1"/>
  <c r="AA632" i="1" s="1"/>
  <c r="Y630" i="1"/>
  <c r="AA630" i="1" s="1"/>
  <c r="Y625" i="1"/>
  <c r="AA625" i="1" s="1"/>
  <c r="Z619" i="1"/>
  <c r="Z617" i="1"/>
  <c r="Z612" i="1"/>
  <c r="Z610" i="1"/>
  <c r="Z602" i="1"/>
  <c r="Z599" i="1"/>
  <c r="Z597" i="1"/>
  <c r="Z596" i="1"/>
  <c r="Z594" i="1"/>
  <c r="Z592" i="1"/>
  <c r="Z590" i="1"/>
  <c r="Z585" i="1"/>
  <c r="Y584" i="1"/>
  <c r="AA584" i="1" s="1"/>
  <c r="Z583" i="1"/>
  <c r="Y582" i="1"/>
  <c r="AA582" i="1" s="1"/>
  <c r="Z576" i="1"/>
  <c r="Z574" i="1"/>
  <c r="Z570" i="1"/>
  <c r="Y569" i="1"/>
  <c r="AA569" i="1" s="1"/>
  <c r="Z568" i="1"/>
  <c r="Y567" i="1"/>
  <c r="AA567" i="1" s="1"/>
  <c r="Z561" i="1"/>
  <c r="Z559" i="1"/>
  <c r="Y558" i="1"/>
  <c r="AA558" i="1" s="1"/>
  <c r="Y557" i="1"/>
  <c r="AA557" i="1" s="1"/>
  <c r="Z555" i="1"/>
  <c r="Y554" i="1"/>
  <c r="AA554" i="1" s="1"/>
  <c r="Z553" i="1"/>
  <c r="Y552" i="1"/>
  <c r="AA552" i="1" s="1"/>
  <c r="Z546" i="1"/>
  <c r="Z544" i="1"/>
  <c r="Y543" i="1"/>
  <c r="AA543" i="1" s="1"/>
  <c r="Y541" i="1"/>
  <c r="AA541" i="1" s="1"/>
  <c r="Z539" i="1"/>
  <c r="Y538" i="1"/>
  <c r="AA538" i="1" s="1"/>
  <c r="Z537" i="1"/>
  <c r="Y536" i="1"/>
  <c r="AA536" i="1" s="1"/>
  <c r="Z530" i="1"/>
  <c r="Z528" i="1"/>
  <c r="Y527" i="1"/>
  <c r="AA527" i="1" s="1"/>
  <c r="Y525" i="1"/>
  <c r="AA525" i="1" s="1"/>
  <c r="Z523" i="1"/>
  <c r="Y522" i="1"/>
  <c r="AA522" i="1" s="1"/>
  <c r="Z521" i="1"/>
  <c r="Y520" i="1"/>
  <c r="AA520" i="1" s="1"/>
  <c r="Y512" i="1"/>
  <c r="AA512" i="1" s="1"/>
  <c r="Z511" i="1"/>
  <c r="Y510" i="1"/>
  <c r="AA510" i="1" s="1"/>
  <c r="Z509" i="1"/>
  <c r="Z508" i="1"/>
  <c r="Y507" i="1"/>
  <c r="AA507" i="1" s="1"/>
  <c r="Z506" i="1"/>
  <c r="Y505" i="1"/>
  <c r="AA505" i="1" s="1"/>
  <c r="Y493" i="1"/>
  <c r="AA493" i="1" s="1"/>
  <c r="Y486" i="1"/>
  <c r="AA486" i="1" s="1"/>
  <c r="Z483" i="1"/>
  <c r="Y479" i="1"/>
  <c r="AA479" i="1" s="1"/>
  <c r="Z475" i="1"/>
  <c r="Y474" i="1"/>
  <c r="AA474" i="1" s="1"/>
  <c r="Y464" i="1"/>
  <c r="AA464" i="1" s="1"/>
  <c r="Z451" i="1"/>
  <c r="Y444" i="1"/>
  <c r="AA444" i="1" s="1"/>
  <c r="Y417" i="1"/>
  <c r="AA417" i="1" s="1"/>
  <c r="Z415" i="1"/>
  <c r="Y409" i="1"/>
  <c r="AA409" i="1" s="1"/>
  <c r="Z403" i="1"/>
  <c r="Z401" i="1"/>
  <c r="Y398" i="1"/>
  <c r="AA398" i="1" s="1"/>
  <c r="Z496" i="1"/>
  <c r="Y495" i="1"/>
  <c r="AA495" i="1" s="1"/>
  <c r="Z486" i="1"/>
  <c r="Z484" i="1"/>
  <c r="Y483" i="1"/>
  <c r="AA483" i="1" s="1"/>
  <c r="Z482" i="1"/>
  <c r="Y481" i="1"/>
  <c r="AA481" i="1" s="1"/>
  <c r="Z473" i="1"/>
  <c r="Z471" i="1"/>
  <c r="Z470" i="1"/>
  <c r="Y469" i="1"/>
  <c r="AA469" i="1" s="1"/>
  <c r="Z468" i="1"/>
  <c r="Y467" i="1"/>
  <c r="AA467" i="1" s="1"/>
  <c r="Y463" i="1"/>
  <c r="AA463" i="1" s="1"/>
  <c r="Z455" i="1"/>
  <c r="Z444" i="1"/>
  <c r="Z443" i="1"/>
  <c r="Z441" i="1"/>
  <c r="Y438" i="1"/>
  <c r="AA438" i="1" s="1"/>
  <c r="Z432" i="1"/>
  <c r="Z425" i="1"/>
  <c r="Y422" i="1"/>
  <c r="AA422" i="1" s="1"/>
  <c r="Z418" i="1"/>
  <c r="Z412" i="1"/>
  <c r="Y410" i="1"/>
  <c r="AA410" i="1" s="1"/>
  <c r="Z406" i="1"/>
  <c r="Z404" i="1"/>
  <c r="Y403" i="1"/>
  <c r="AA403" i="1" s="1"/>
  <c r="Y396" i="1"/>
  <c r="AA396" i="1" s="1"/>
  <c r="Y389" i="1"/>
  <c r="AA389" i="1" s="1"/>
  <c r="Z386" i="1"/>
  <c r="Z385" i="1"/>
  <c r="Z381" i="1"/>
  <c r="Z380" i="1"/>
  <c r="Y378" i="1"/>
  <c r="AA378" i="1" s="1"/>
  <c r="Z373" i="1"/>
  <c r="Y372" i="1"/>
  <c r="AA372" i="1" s="1"/>
  <c r="Y357" i="1"/>
  <c r="AA357" i="1" s="1"/>
  <c r="Y336" i="1"/>
  <c r="AA336" i="1" s="1"/>
  <c r="Y335" i="1"/>
  <c r="AA335" i="1" s="1"/>
  <c r="Y329" i="1"/>
  <c r="AA329" i="1" s="1"/>
  <c r="Y328" i="1"/>
  <c r="AA328" i="1" s="1"/>
  <c r="Z299" i="1"/>
  <c r="Z492" i="1"/>
  <c r="Z491" i="1"/>
  <c r="Y490" i="1"/>
  <c r="AA490" i="1" s="1"/>
  <c r="Z489" i="1"/>
  <c r="Y488" i="1"/>
  <c r="AA488" i="1" s="1"/>
  <c r="Z479" i="1"/>
  <c r="Z478" i="1"/>
  <c r="Y477" i="1"/>
  <c r="AA477" i="1" s="1"/>
  <c r="Z476" i="1"/>
  <c r="Y475" i="1"/>
  <c r="AA475" i="1" s="1"/>
  <c r="Z465" i="1"/>
  <c r="Z464" i="1"/>
  <c r="Z463" i="1"/>
  <c r="Z461" i="1"/>
  <c r="Y458" i="1"/>
  <c r="AA458" i="1" s="1"/>
  <c r="Y451" i="1"/>
  <c r="AA451" i="1" s="1"/>
  <c r="Y446" i="1"/>
  <c r="AA446" i="1" s="1"/>
  <c r="Y437" i="1"/>
  <c r="AA437" i="1" s="1"/>
  <c r="Y432" i="1"/>
  <c r="AA432" i="1" s="1"/>
  <c r="Z428" i="1"/>
  <c r="Z427" i="1"/>
  <c r="Z426" i="1"/>
  <c r="Z421" i="1"/>
  <c r="Z419" i="1"/>
  <c r="Z410" i="1"/>
  <c r="Y406" i="1"/>
  <c r="AA406" i="1" s="1"/>
  <c r="Z399" i="1"/>
  <c r="Y393" i="1"/>
  <c r="AA393" i="1" s="1"/>
  <c r="Z392" i="1"/>
  <c r="Z376" i="1"/>
  <c r="Y368" i="1"/>
  <c r="AA368" i="1" s="1"/>
  <c r="Y326" i="1"/>
  <c r="AA326" i="1" s="1"/>
  <c r="Z213" i="1"/>
  <c r="Z338" i="1"/>
  <c r="Z337" i="1"/>
  <c r="Z335" i="1"/>
  <c r="Z328" i="1"/>
  <c r="Z322" i="1"/>
  <c r="Z320" i="1"/>
  <c r="Z314" i="1"/>
  <c r="Z312" i="1"/>
  <c r="Z305" i="1"/>
  <c r="Z301" i="1"/>
  <c r="Z15" i="1"/>
  <c r="Y296" i="1"/>
  <c r="AA296" i="1" s="1"/>
  <c r="Y288" i="1"/>
  <c r="AA288" i="1" s="1"/>
  <c r="Y284" i="1"/>
  <c r="AA284" i="1" s="1"/>
  <c r="Y278" i="1"/>
  <c r="AA278" i="1" s="1"/>
  <c r="Y265" i="1"/>
  <c r="AA265" i="1" s="1"/>
  <c r="Y257" i="1"/>
  <c r="AA257" i="1" s="1"/>
  <c r="Y241" i="1"/>
  <c r="AA241" i="1" s="1"/>
  <c r="Z239" i="1"/>
  <c r="Y234" i="1"/>
  <c r="AA234" i="1" s="1"/>
  <c r="Z300" i="1"/>
  <c r="Z124" i="1"/>
  <c r="Z334" i="1"/>
  <c r="Z237" i="1"/>
  <c r="Z236" i="1"/>
  <c r="Z235" i="1"/>
  <c r="Z234" i="1"/>
  <c r="Y224" i="1"/>
  <c r="AA224" i="1" s="1"/>
  <c r="Y208" i="1"/>
  <c r="AA208" i="1" s="1"/>
  <c r="Y197" i="1"/>
  <c r="AA197" i="1" s="1"/>
  <c r="Y190" i="1"/>
  <c r="AA190" i="1" s="1"/>
  <c r="Y320" i="1"/>
  <c r="AA320" i="1" s="1"/>
  <c r="Y318" i="1"/>
  <c r="AA318" i="1" s="1"/>
  <c r="Y312" i="1"/>
  <c r="AA312" i="1" s="1"/>
  <c r="Y310" i="1"/>
  <c r="AA310" i="1" s="1"/>
  <c r="Y305" i="1"/>
  <c r="AA305" i="1" s="1"/>
  <c r="Y301" i="1"/>
  <c r="AA301" i="1" s="1"/>
  <c r="Z389" i="1"/>
  <c r="Y388" i="1"/>
  <c r="AA388" i="1" s="1"/>
  <c r="Y383" i="1"/>
  <c r="AA383" i="1" s="1"/>
  <c r="Z379" i="1"/>
  <c r="Z377" i="1"/>
  <c r="Y374" i="1"/>
  <c r="AA374" i="1" s="1"/>
  <c r="Z368" i="1"/>
  <c r="Y366" i="1"/>
  <c r="AA366" i="1" s="1"/>
  <c r="Z365" i="1"/>
  <c r="Y350" i="1"/>
  <c r="AA350" i="1" s="1"/>
  <c r="Y348" i="1"/>
  <c r="AA348" i="1" s="1"/>
  <c r="Z344" i="1"/>
  <c r="Z302" i="1"/>
  <c r="Z336" i="1"/>
  <c r="Y334" i="1"/>
  <c r="AA334" i="1" s="1"/>
  <c r="Z330" i="1"/>
  <c r="Z327" i="1"/>
  <c r="Z319" i="1"/>
  <c r="Z311" i="1"/>
  <c r="Y166" i="1"/>
  <c r="AA166" i="1" s="1"/>
  <c r="Y221" i="1"/>
  <c r="AA221" i="1" s="1"/>
  <c r="Z209" i="1"/>
  <c r="Z203" i="1"/>
  <c r="Y202" i="1"/>
  <c r="AA202" i="1" s="1"/>
  <c r="Z198" i="1"/>
  <c r="Z196" i="1"/>
  <c r="Z193" i="1"/>
  <c r="Z192" i="1"/>
  <c r="Y172" i="1"/>
  <c r="AA172" i="1" s="1"/>
  <c r="Z167" i="1"/>
  <c r="Z164" i="1"/>
  <c r="Z161" i="1"/>
  <c r="Z160" i="1"/>
  <c r="Z142" i="1"/>
  <c r="Y138" i="1"/>
  <c r="AA138" i="1" s="1"/>
  <c r="Z132" i="1"/>
  <c r="Y128" i="1"/>
  <c r="AA128" i="1" s="1"/>
  <c r="Y413" i="1"/>
  <c r="AA413" i="1" s="1"/>
  <c r="Y84" i="1"/>
  <c r="AA84" i="1" s="1"/>
  <c r="Z204" i="1"/>
  <c r="Z202" i="1"/>
  <c r="Z175" i="1"/>
  <c r="Z172" i="1"/>
  <c r="Z168" i="1"/>
  <c r="Z150" i="1"/>
  <c r="Y162" i="1"/>
  <c r="AA162" i="1" s="1"/>
  <c r="Y155" i="1"/>
  <c r="AA155" i="1" s="1"/>
  <c r="Y143" i="1"/>
  <c r="AA143" i="1" s="1"/>
  <c r="Y119" i="1"/>
  <c r="AA119" i="1" s="1"/>
  <c r="Y106" i="1"/>
  <c r="AA106" i="1" s="1"/>
  <c r="Y103" i="1"/>
  <c r="AA103" i="1" s="1"/>
  <c r="Y211" i="1"/>
  <c r="AA211" i="1" s="1"/>
  <c r="Z211" i="1"/>
  <c r="Y207" i="1"/>
  <c r="AA207" i="1" s="1"/>
  <c r="Z207" i="1"/>
  <c r="Y200" i="1"/>
  <c r="AA200" i="1" s="1"/>
  <c r="Y196" i="1"/>
  <c r="AA196" i="1" s="1"/>
  <c r="Z191" i="1"/>
  <c r="Z188" i="1"/>
  <c r="Y185" i="1"/>
  <c r="AA185" i="1" s="1"/>
  <c r="Z185" i="1"/>
  <c r="Z184" i="1"/>
  <c r="Y170" i="1"/>
  <c r="AA170" i="1" s="1"/>
  <c r="Y164" i="1"/>
  <c r="AA164" i="1" s="1"/>
  <c r="Z159" i="1"/>
  <c r="Y156" i="1"/>
  <c r="AA156" i="1" s="1"/>
  <c r="Z156" i="1"/>
  <c r="Z155" i="1"/>
  <c r="Y151" i="1"/>
  <c r="AA151" i="1" s="1"/>
  <c r="Y147" i="1"/>
  <c r="AA147" i="1" s="1"/>
  <c r="Y144" i="1"/>
  <c r="AA144" i="1" s="1"/>
  <c r="Z144" i="1"/>
  <c r="Y142" i="1"/>
  <c r="AA142" i="1" s="1"/>
  <c r="Z139" i="1"/>
  <c r="Z136" i="1"/>
  <c r="Z133" i="1"/>
  <c r="Y131" i="1"/>
  <c r="AA131" i="1" s="1"/>
  <c r="Z122" i="1"/>
  <c r="Z120" i="1"/>
  <c r="Y117" i="1"/>
  <c r="AA117" i="1" s="1"/>
  <c r="Z117" i="1"/>
  <c r="Z114" i="1"/>
  <c r="Z107" i="1"/>
  <c r="Z101" i="1"/>
  <c r="Z100" i="1"/>
  <c r="Y96" i="1"/>
  <c r="AA96" i="1" s="1"/>
  <c r="Y94" i="1"/>
  <c r="AA94" i="1" s="1"/>
  <c r="Z93" i="1"/>
  <c r="Y59" i="1"/>
  <c r="AA59" i="1" s="1"/>
  <c r="Z45" i="1"/>
  <c r="Y40" i="1"/>
  <c r="AA40" i="1" s="1"/>
  <c r="Z36" i="1"/>
  <c r="Z31" i="1"/>
  <c r="Z128" i="1"/>
  <c r="Y127" i="1"/>
  <c r="AA127" i="1" s="1"/>
  <c r="Z12" i="1"/>
  <c r="Y120" i="1"/>
  <c r="AA120" i="1" s="1"/>
  <c r="Z118" i="1"/>
  <c r="Y112" i="1"/>
  <c r="AA112" i="1" s="1"/>
  <c r="Y108" i="1"/>
  <c r="AA108" i="1" s="1"/>
  <c r="Z105" i="1"/>
  <c r="Z104" i="1"/>
  <c r="Z103" i="1"/>
  <c r="Y98" i="1"/>
  <c r="AA98" i="1" s="1"/>
  <c r="Z95" i="1"/>
  <c r="Z94" i="1"/>
  <c r="Y90" i="1"/>
  <c r="AA90" i="1" s="1"/>
  <c r="Z89" i="1"/>
  <c r="Y86" i="1"/>
  <c r="AA86" i="1" s="1"/>
  <c r="Z85" i="1"/>
  <c r="Z84" i="1"/>
  <c r="Y75" i="1"/>
  <c r="AA75" i="1" s="1"/>
  <c r="Z65" i="1"/>
  <c r="Z63" i="1"/>
  <c r="Y56" i="1"/>
  <c r="AA56" i="1" s="1"/>
  <c r="Z55" i="1"/>
  <c r="Z54" i="1"/>
  <c r="Z40" i="1"/>
  <c r="Z37" i="1"/>
  <c r="Y33" i="1"/>
  <c r="AA33" i="1" s="1"/>
  <c r="Z33" i="1"/>
  <c r="Z26" i="1"/>
  <c r="Y74" i="1"/>
  <c r="AA74" i="1" s="1"/>
  <c r="Z119" i="1"/>
  <c r="Z14" i="1"/>
  <c r="Z109" i="1"/>
  <c r="Z413" i="1"/>
  <c r="Y102" i="1"/>
  <c r="AA102" i="1" s="1"/>
  <c r="Y100" i="1"/>
  <c r="AA100" i="1" s="1"/>
  <c r="Z99" i="1"/>
  <c r="Y82" i="1"/>
  <c r="AA82" i="1" s="1"/>
  <c r="Z81" i="1"/>
  <c r="Y78" i="1"/>
  <c r="AA78" i="1" s="1"/>
  <c r="Z77" i="1"/>
  <c r="Z74" i="1"/>
  <c r="Y70" i="1"/>
  <c r="AA70" i="1" s="1"/>
  <c r="Z64" i="1"/>
  <c r="Y63" i="1"/>
  <c r="AA63" i="1" s="1"/>
  <c r="Z62" i="1"/>
  <c r="Z57" i="1"/>
  <c r="Z56" i="1"/>
  <c r="Z44" i="1"/>
  <c r="Z39" i="1"/>
  <c r="Z38" i="1"/>
  <c r="Z22" i="1"/>
  <c r="Y21" i="1"/>
  <c r="AA21" i="1" s="1"/>
  <c r="Y45" i="1"/>
  <c r="AA45" i="1" s="1"/>
  <c r="Y47" i="1"/>
  <c r="AA47" i="1" s="1"/>
  <c r="Y42" i="1"/>
  <c r="AA42" i="1" s="1"/>
  <c r="Y38" i="1"/>
  <c r="AA38" i="1" s="1"/>
  <c r="Y37" i="1"/>
  <c r="AA37" i="1" s="1"/>
  <c r="Y36" i="1"/>
  <c r="AA36" i="1" s="1"/>
  <c r="Z35" i="1"/>
  <c r="Z46" i="1"/>
  <c r="Z43" i="1"/>
  <c r="Z41" i="1"/>
  <c r="Z34" i="1"/>
  <c r="Y32" i="1"/>
  <c r="AA32" i="1" s="1"/>
  <c r="Y31" i="1"/>
  <c r="AA31" i="1" s="1"/>
  <c r="Y30" i="1"/>
  <c r="AA30" i="1" s="1"/>
  <c r="Y29" i="1"/>
  <c r="AA29" i="1" s="1"/>
  <c r="Z30" i="1"/>
  <c r="Y23" i="1"/>
  <c r="AA23" i="1" s="1"/>
  <c r="Y786" i="1"/>
  <c r="AA786" i="1" s="1"/>
  <c r="Y760" i="1"/>
  <c r="AA760" i="1" s="1"/>
  <c r="Y768" i="1"/>
  <c r="AA768" i="1" s="1"/>
  <c r="Y754" i="1"/>
  <c r="AA754" i="1" s="1"/>
  <c r="Y762" i="1"/>
  <c r="AA762" i="1" s="1"/>
  <c r="Y776" i="1"/>
  <c r="AA776" i="1" s="1"/>
  <c r="Y770" i="1"/>
  <c r="AA770" i="1" s="1"/>
  <c r="Z788" i="1"/>
  <c r="Z780" i="1"/>
  <c r="Z772" i="1"/>
  <c r="Z764" i="1"/>
  <c r="Z756" i="1"/>
  <c r="Z748" i="1"/>
  <c r="Y745" i="1"/>
  <c r="AA745" i="1" s="1"/>
  <c r="Z740" i="1"/>
  <c r="Y737" i="1"/>
  <c r="AA737" i="1" s="1"/>
  <c r="Z732" i="1"/>
  <c r="Y729" i="1"/>
  <c r="AA729" i="1" s="1"/>
  <c r="Z724" i="1"/>
  <c r="Y721" i="1"/>
  <c r="AA721" i="1" s="1"/>
  <c r="Z716" i="1"/>
  <c r="Y713" i="1"/>
  <c r="AA713" i="1" s="1"/>
  <c r="Z708" i="1"/>
  <c r="Y705" i="1"/>
  <c r="AA705" i="1" s="1"/>
  <c r="Z700" i="1"/>
  <c r="Y697" i="1"/>
  <c r="AA697" i="1" s="1"/>
  <c r="Z692" i="1"/>
  <c r="Y689" i="1"/>
  <c r="AA689" i="1" s="1"/>
  <c r="Z684" i="1"/>
  <c r="Y681" i="1"/>
  <c r="AA681" i="1" s="1"/>
  <c r="Z676" i="1"/>
  <c r="Y673" i="1"/>
  <c r="AA673" i="1" s="1"/>
  <c r="Z668" i="1"/>
  <c r="Y665" i="1"/>
  <c r="AA665" i="1" s="1"/>
  <c r="Z660" i="1"/>
  <c r="Y657" i="1"/>
  <c r="AA657" i="1" s="1"/>
  <c r="Z652" i="1"/>
  <c r="Y649" i="1"/>
  <c r="AA649" i="1" s="1"/>
  <c r="Z644" i="1"/>
  <c r="Y641" i="1"/>
  <c r="AA641" i="1" s="1"/>
  <c r="Z636" i="1"/>
  <c r="Y633" i="1"/>
  <c r="AA633" i="1" s="1"/>
  <c r="Z629" i="1"/>
  <c r="Y626" i="1"/>
  <c r="AA626" i="1" s="1"/>
  <c r="Z622" i="1"/>
  <c r="Y619" i="1"/>
  <c r="AA619" i="1" s="1"/>
  <c r="Z614" i="1"/>
  <c r="Y611" i="1"/>
  <c r="AA611" i="1" s="1"/>
  <c r="Z608" i="1"/>
  <c r="Y445" i="1"/>
  <c r="AA445" i="1" s="1"/>
  <c r="Y443" i="1"/>
  <c r="AA443" i="1" s="1"/>
  <c r="Y420" i="1"/>
  <c r="AA420" i="1" s="1"/>
  <c r="Z420" i="1"/>
  <c r="Y414" i="1"/>
  <c r="AA414" i="1" s="1"/>
  <c r="Y358" i="1"/>
  <c r="AA358" i="1" s="1"/>
  <c r="Y344" i="1"/>
  <c r="AA344" i="1" s="1"/>
  <c r="Y124" i="1"/>
  <c r="AA124" i="1" s="1"/>
  <c r="Z786" i="1"/>
  <c r="Z778" i="1"/>
  <c r="Z770" i="1"/>
  <c r="Z762" i="1"/>
  <c r="Z754" i="1"/>
  <c r="Z750" i="1"/>
  <c r="Y747" i="1"/>
  <c r="AA747" i="1" s="1"/>
  <c r="Z742" i="1"/>
  <c r="Y739" i="1"/>
  <c r="AA739" i="1" s="1"/>
  <c r="Z734" i="1"/>
  <c r="Y731" i="1"/>
  <c r="AA731" i="1" s="1"/>
  <c r="Z726" i="1"/>
  <c r="Y723" i="1"/>
  <c r="AA723" i="1" s="1"/>
  <c r="Z718" i="1"/>
  <c r="Y715" i="1"/>
  <c r="AA715" i="1" s="1"/>
  <c r="Z710" i="1"/>
  <c r="Y707" i="1"/>
  <c r="AA707" i="1" s="1"/>
  <c r="Z702" i="1"/>
  <c r="Y699" i="1"/>
  <c r="AA699" i="1" s="1"/>
  <c r="Z694" i="1"/>
  <c r="Y691" i="1"/>
  <c r="AA691" i="1" s="1"/>
  <c r="Z686" i="1"/>
  <c r="Y683" i="1"/>
  <c r="AA683" i="1" s="1"/>
  <c r="Z678" i="1"/>
  <c r="Y675" i="1"/>
  <c r="AA675" i="1" s="1"/>
  <c r="Z670" i="1"/>
  <c r="Y667" i="1"/>
  <c r="AA667" i="1" s="1"/>
  <c r="Z662" i="1"/>
  <c r="Y659" i="1"/>
  <c r="AA659" i="1" s="1"/>
  <c r="Z654" i="1"/>
  <c r="Y651" i="1"/>
  <c r="AA651" i="1" s="1"/>
  <c r="Z646" i="1"/>
  <c r="Y643" i="1"/>
  <c r="AA643" i="1" s="1"/>
  <c r="Z638" i="1"/>
  <c r="Y635" i="1"/>
  <c r="AA635" i="1" s="1"/>
  <c r="Z630" i="1"/>
  <c r="Y628" i="1"/>
  <c r="AA628" i="1" s="1"/>
  <c r="Y621" i="1"/>
  <c r="AA621" i="1" s="1"/>
  <c r="Z616" i="1"/>
  <c r="Y613" i="1"/>
  <c r="AA613" i="1" s="1"/>
  <c r="Z375" i="1"/>
  <c r="Y607" i="1"/>
  <c r="AA607" i="1" s="1"/>
  <c r="Y603" i="1"/>
  <c r="AA603" i="1" s="1"/>
  <c r="Y600" i="1"/>
  <c r="AA600" i="1" s="1"/>
  <c r="Y593" i="1"/>
  <c r="AA593" i="1" s="1"/>
  <c r="Y623" i="1"/>
  <c r="AA623" i="1" s="1"/>
  <c r="Y462" i="1"/>
  <c r="AA462" i="1" s="1"/>
  <c r="Z462" i="1"/>
  <c r="Y457" i="1"/>
  <c r="AA457" i="1" s="1"/>
  <c r="Y456" i="1"/>
  <c r="AA456" i="1" s="1"/>
  <c r="Y434" i="1"/>
  <c r="AA434" i="1" s="1"/>
  <c r="Z434" i="1"/>
  <c r="Y429" i="1"/>
  <c r="AA429" i="1" s="1"/>
  <c r="Y427" i="1"/>
  <c r="AA427" i="1" s="1"/>
  <c r="Y405" i="1"/>
  <c r="AA405" i="1" s="1"/>
  <c r="Z405" i="1"/>
  <c r="Y402" i="1"/>
  <c r="AA402" i="1" s="1"/>
  <c r="Y400" i="1"/>
  <c r="AA400" i="1" s="1"/>
  <c r="Y391" i="1"/>
  <c r="AA391" i="1" s="1"/>
  <c r="Y386" i="1"/>
  <c r="AA386" i="1" s="1"/>
  <c r="Z459" i="1"/>
  <c r="Z452" i="1"/>
  <c r="Z447" i="1"/>
  <c r="Z439" i="1"/>
  <c r="Z431" i="1"/>
  <c r="Z424" i="1"/>
  <c r="Z417" i="1"/>
  <c r="Z394" i="1"/>
  <c r="Y390" i="1"/>
  <c r="AA390" i="1" s="1"/>
  <c r="Z387" i="1"/>
  <c r="Y385" i="1"/>
  <c r="AA385" i="1" s="1"/>
  <c r="Z382" i="1"/>
  <c r="Y380" i="1"/>
  <c r="AA380" i="1" s="1"/>
  <c r="Y369" i="1"/>
  <c r="AA369" i="1" s="1"/>
  <c r="Z367" i="1"/>
  <c r="Y364" i="1"/>
  <c r="AA364" i="1" s="1"/>
  <c r="Z457" i="1"/>
  <c r="Z450" i="1"/>
  <c r="Z445" i="1"/>
  <c r="Z437" i="1"/>
  <c r="Z429" i="1"/>
  <c r="Z422" i="1"/>
  <c r="Z407" i="1"/>
  <c r="Z402" i="1"/>
  <c r="Y392" i="1"/>
  <c r="AA392" i="1" s="1"/>
  <c r="Z383" i="1"/>
  <c r="Z378" i="1"/>
  <c r="Y377" i="1"/>
  <c r="AA377" i="1" s="1"/>
  <c r="Z374" i="1"/>
  <c r="Y371" i="1"/>
  <c r="AA371" i="1" s="1"/>
  <c r="Y365" i="1"/>
  <c r="AA365" i="1" s="1"/>
  <c r="Y361" i="1"/>
  <c r="AA361" i="1" s="1"/>
  <c r="Y347" i="1"/>
  <c r="AA347" i="1" s="1"/>
  <c r="Z343" i="1"/>
  <c r="Y16" i="1"/>
  <c r="AA16" i="1" s="1"/>
  <c r="Z321" i="1"/>
  <c r="Z313" i="1"/>
  <c r="Z306" i="1"/>
  <c r="Y394" i="1"/>
  <c r="AA394" i="1" s="1"/>
  <c r="Y387" i="1"/>
  <c r="AA387" i="1" s="1"/>
  <c r="Y382" i="1"/>
  <c r="AA382" i="1" s="1"/>
  <c r="Y367" i="1"/>
  <c r="AA367" i="1" s="1"/>
  <c r="Z333" i="1"/>
  <c r="Z324" i="1"/>
  <c r="Y321" i="1"/>
  <c r="AA321" i="1" s="1"/>
  <c r="Z316" i="1"/>
  <c r="Y313" i="1"/>
  <c r="AA313" i="1" s="1"/>
  <c r="Z308" i="1"/>
  <c r="Y306" i="1"/>
  <c r="AA306" i="1" s="1"/>
  <c r="Z303" i="1"/>
  <c r="Y295" i="1"/>
  <c r="AA295" i="1" s="1"/>
  <c r="Y287" i="1"/>
  <c r="AA287" i="1" s="1"/>
  <c r="Y277" i="1"/>
  <c r="AA277" i="1" s="1"/>
  <c r="Y271" i="1"/>
  <c r="AA271" i="1" s="1"/>
  <c r="Y264" i="1"/>
  <c r="AA264" i="1" s="1"/>
  <c r="Y256" i="1"/>
  <c r="AA256" i="1" s="1"/>
  <c r="Y242" i="1"/>
  <c r="AA242" i="1" s="1"/>
  <c r="Z232" i="1"/>
  <c r="Y229" i="1"/>
  <c r="AA229" i="1" s="1"/>
  <c r="Z229" i="1"/>
  <c r="Z222" i="1"/>
  <c r="Y17" i="1"/>
  <c r="AA17" i="1" s="1"/>
  <c r="Z17" i="1"/>
  <c r="Z267" i="1"/>
  <c r="Z48" i="1"/>
  <c r="Z331" i="1"/>
  <c r="Z329" i="1"/>
  <c r="Z326" i="1"/>
  <c r="Y323" i="1"/>
  <c r="AA323" i="1" s="1"/>
  <c r="Z318" i="1"/>
  <c r="Y315" i="1"/>
  <c r="AA315" i="1" s="1"/>
  <c r="Z310" i="1"/>
  <c r="Y307" i="1"/>
  <c r="AA307" i="1" s="1"/>
  <c r="Y18" i="1"/>
  <c r="AA18" i="1" s="1"/>
  <c r="Y297" i="1"/>
  <c r="AA297" i="1" s="1"/>
  <c r="Y289" i="1"/>
  <c r="AA289" i="1" s="1"/>
  <c r="Y285" i="1"/>
  <c r="AA285" i="1" s="1"/>
  <c r="Y279" i="1"/>
  <c r="AA279" i="1" s="1"/>
  <c r="Y272" i="1"/>
  <c r="AA272" i="1" s="1"/>
  <c r="Y266" i="1"/>
  <c r="AA266" i="1" s="1"/>
  <c r="Y258" i="1"/>
  <c r="AA258" i="1" s="1"/>
  <c r="Y249" i="1"/>
  <c r="AA249" i="1" s="1"/>
  <c r="Y237" i="1"/>
  <c r="AA237" i="1" s="1"/>
  <c r="Y209" i="1"/>
  <c r="AA209" i="1" s="1"/>
  <c r="Y129" i="1"/>
  <c r="AA129" i="1" s="1"/>
  <c r="Z129" i="1"/>
  <c r="Y250" i="1"/>
  <c r="AA250" i="1" s="1"/>
  <c r="Y238" i="1"/>
  <c r="AA238" i="1" s="1"/>
  <c r="Y231" i="1"/>
  <c r="AA231" i="1" s="1"/>
  <c r="Z228" i="1"/>
  <c r="Y226" i="1"/>
  <c r="AA226" i="1" s="1"/>
  <c r="Z219" i="1"/>
  <c r="Y215" i="1"/>
  <c r="AA215" i="1" s="1"/>
  <c r="Y210" i="1"/>
  <c r="AA210" i="1" s="1"/>
  <c r="Z206" i="1"/>
  <c r="Y203" i="1"/>
  <c r="AA203" i="1" s="1"/>
  <c r="Y189" i="1"/>
  <c r="AA189" i="1" s="1"/>
  <c r="Z189" i="1"/>
  <c r="Y181" i="1"/>
  <c r="AA181" i="1" s="1"/>
  <c r="Z181" i="1"/>
  <c r="Y173" i="1"/>
  <c r="AA173" i="1" s="1"/>
  <c r="Z173" i="1"/>
  <c r="Y165" i="1"/>
  <c r="AA165" i="1" s="1"/>
  <c r="Z165" i="1"/>
  <c r="Y252" i="1"/>
  <c r="AA252" i="1" s="1"/>
  <c r="Y244" i="1"/>
  <c r="AA244" i="1" s="1"/>
  <c r="Y240" i="1"/>
  <c r="AA240" i="1" s="1"/>
  <c r="Y233" i="1"/>
  <c r="AA233" i="1" s="1"/>
  <c r="Y227" i="1"/>
  <c r="AA227" i="1" s="1"/>
  <c r="Z224" i="1"/>
  <c r="Z221" i="1"/>
  <c r="Y218" i="1"/>
  <c r="AA218" i="1" s="1"/>
  <c r="Y216" i="1"/>
  <c r="AA216" i="1" s="1"/>
  <c r="Y212" i="1"/>
  <c r="AA212" i="1" s="1"/>
  <c r="Z208" i="1"/>
  <c r="Y205" i="1"/>
  <c r="AA205" i="1" s="1"/>
  <c r="Y192" i="1"/>
  <c r="AA192" i="1" s="1"/>
  <c r="Y184" i="1"/>
  <c r="AA184" i="1" s="1"/>
  <c r="Y176" i="1"/>
  <c r="AA176" i="1" s="1"/>
  <c r="Y168" i="1"/>
  <c r="AA168" i="1" s="1"/>
  <c r="Y160" i="1"/>
  <c r="AA160" i="1" s="1"/>
  <c r="Y133" i="1"/>
  <c r="AA133" i="1" s="1"/>
  <c r="Y85" i="1"/>
  <c r="AA85" i="1" s="1"/>
  <c r="Y152" i="1"/>
  <c r="AA152" i="1" s="1"/>
  <c r="Z152" i="1"/>
  <c r="Y150" i="1"/>
  <c r="AA150" i="1" s="1"/>
  <c r="Y140" i="1"/>
  <c r="AA140" i="1" s="1"/>
  <c r="Z140" i="1"/>
  <c r="Y126" i="1"/>
  <c r="AA126" i="1" s="1"/>
  <c r="Z126" i="1"/>
  <c r="Y12" i="1"/>
  <c r="AA12" i="1" s="1"/>
  <c r="Y115" i="1"/>
  <c r="AA115" i="1" s="1"/>
  <c r="Z115" i="1"/>
  <c r="Y14" i="1"/>
  <c r="AA14" i="1" s="1"/>
  <c r="Y201" i="1"/>
  <c r="AA201" i="1" s="1"/>
  <c r="Y198" i="1"/>
  <c r="AA198" i="1" s="1"/>
  <c r="Y195" i="1"/>
  <c r="AA195" i="1" s="1"/>
  <c r="Y191" i="1"/>
  <c r="AA191" i="1" s="1"/>
  <c r="Y187" i="1"/>
  <c r="AA187" i="1" s="1"/>
  <c r="Y183" i="1"/>
  <c r="AA183" i="1" s="1"/>
  <c r="Y179" i="1"/>
  <c r="AA179" i="1" s="1"/>
  <c r="Y175" i="1"/>
  <c r="AA175" i="1" s="1"/>
  <c r="Y171" i="1"/>
  <c r="AA171" i="1" s="1"/>
  <c r="Y167" i="1"/>
  <c r="AA167" i="1" s="1"/>
  <c r="Y163" i="1"/>
  <c r="AA163" i="1" s="1"/>
  <c r="Y159" i="1"/>
  <c r="AA159" i="1" s="1"/>
  <c r="Y148" i="1"/>
  <c r="AA148" i="1" s="1"/>
  <c r="Z148" i="1"/>
  <c r="Y146" i="1"/>
  <c r="AA146" i="1" s="1"/>
  <c r="Y137" i="1"/>
  <c r="AA137" i="1" s="1"/>
  <c r="Z137" i="1"/>
  <c r="Y135" i="1"/>
  <c r="AA135" i="1" s="1"/>
  <c r="Y122" i="1"/>
  <c r="AA122" i="1" s="1"/>
  <c r="Y111" i="1"/>
  <c r="AA111" i="1" s="1"/>
  <c r="Z111" i="1"/>
  <c r="Y109" i="1"/>
  <c r="AA109" i="1" s="1"/>
  <c r="Y69" i="1"/>
  <c r="AA69" i="1" s="1"/>
  <c r="Y89" i="1"/>
  <c r="AA89" i="1" s="1"/>
  <c r="Z87" i="1"/>
  <c r="Y81" i="1"/>
  <c r="AA81" i="1" s="1"/>
  <c r="Z79" i="1"/>
  <c r="Z73" i="1"/>
  <c r="Y22" i="1"/>
  <c r="AA22" i="1" s="1"/>
  <c r="Y99" i="1"/>
  <c r="AA99" i="1" s="1"/>
  <c r="Y97" i="1"/>
  <c r="AA97" i="1" s="1"/>
  <c r="Y93" i="1"/>
  <c r="AA93" i="1" s="1"/>
  <c r="Y87" i="1"/>
  <c r="AA87" i="1" s="1"/>
  <c r="Y79" i="1"/>
  <c r="AA79" i="1" s="1"/>
  <c r="Z71" i="1"/>
  <c r="Z67" i="1"/>
  <c r="Y64" i="1"/>
  <c r="AA64" i="1" s="1"/>
  <c r="Y60" i="1"/>
  <c r="AA60" i="1" s="1"/>
  <c r="Y55" i="1"/>
  <c r="AA55" i="1" s="1"/>
  <c r="Y52" i="1"/>
  <c r="AA52" i="1" s="1"/>
  <c r="Y46" i="1"/>
  <c r="AA46" i="1" s="1"/>
  <c r="Y43" i="1"/>
  <c r="AA43" i="1" s="1"/>
  <c r="Y39" i="1"/>
  <c r="AA39" i="1" s="1"/>
  <c r="Y34" i="1"/>
  <c r="AA34" i="1" s="1"/>
  <c r="Y26" i="1"/>
  <c r="AA26" i="1" s="1"/>
  <c r="Z69" i="1"/>
  <c r="Y66" i="1"/>
  <c r="AA66" i="1" s="1"/>
  <c r="Y35" i="1"/>
  <c r="AA35" i="1" s="1"/>
  <c r="Y28" i="1"/>
  <c r="AA28" i="1" s="1"/>
  <c r="U828" i="1" l="1"/>
  <c r="X828" i="1"/>
  <c r="X20" i="1"/>
  <c r="W791" i="1"/>
  <c r="X791" i="1" s="1"/>
  <c r="W792" i="1"/>
  <c r="X792" i="1" s="1"/>
  <c r="W793" i="1"/>
  <c r="X793" i="1" s="1"/>
  <c r="W794" i="1"/>
  <c r="X794" i="1" s="1"/>
  <c r="W795" i="1"/>
  <c r="X795" i="1" s="1"/>
  <c r="W796" i="1"/>
  <c r="X796" i="1" s="1"/>
  <c r="W797" i="1"/>
  <c r="X797" i="1" s="1"/>
  <c r="W798" i="1"/>
  <c r="X798" i="1" s="1"/>
  <c r="W799" i="1"/>
  <c r="X799" i="1" s="1"/>
  <c r="W800" i="1"/>
  <c r="X800" i="1" s="1"/>
  <c r="W801" i="1"/>
  <c r="X801" i="1" s="1"/>
  <c r="W802" i="1"/>
  <c r="X802" i="1" s="1"/>
  <c r="W803" i="1"/>
  <c r="X803" i="1" s="1"/>
  <c r="W804" i="1"/>
  <c r="X804" i="1" s="1"/>
  <c r="W805" i="1"/>
  <c r="X805" i="1" s="1"/>
  <c r="W806" i="1"/>
  <c r="X806" i="1" s="1"/>
  <c r="W807" i="1"/>
  <c r="X807" i="1" s="1"/>
  <c r="W808" i="1"/>
  <c r="X808" i="1" s="1"/>
  <c r="W809" i="1"/>
  <c r="X809" i="1" s="1"/>
  <c r="W810" i="1"/>
  <c r="X810" i="1" s="1"/>
  <c r="W811" i="1"/>
  <c r="X811" i="1" s="1"/>
  <c r="W812" i="1"/>
  <c r="X812" i="1" s="1"/>
  <c r="W813" i="1"/>
  <c r="X813" i="1" s="1"/>
  <c r="W814" i="1"/>
  <c r="X814" i="1" s="1"/>
  <c r="W815" i="1"/>
  <c r="X815" i="1" s="1"/>
  <c r="W816" i="1"/>
  <c r="X816" i="1" s="1"/>
  <c r="W817" i="1"/>
  <c r="X817" i="1" s="1"/>
  <c r="W818" i="1"/>
  <c r="X818" i="1" s="1"/>
  <c r="W819" i="1"/>
  <c r="X819" i="1" s="1"/>
  <c r="W820" i="1"/>
  <c r="X820" i="1" s="1"/>
  <c r="W821" i="1"/>
  <c r="X821" i="1" s="1"/>
  <c r="W822" i="1"/>
  <c r="X822" i="1" s="1"/>
  <c r="W823" i="1"/>
  <c r="X823" i="1" s="1"/>
  <c r="W824" i="1"/>
  <c r="X824" i="1" s="1"/>
  <c r="W825" i="1"/>
  <c r="X825" i="1" s="1"/>
  <c r="W826" i="1"/>
  <c r="X826" i="1" s="1"/>
  <c r="W827" i="1"/>
  <c r="X827" i="1" s="1"/>
  <c r="U2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5" i="1"/>
  <c r="U826" i="1"/>
  <c r="U827" i="1"/>
  <c r="D37" i="6"/>
  <c r="G86" i="2"/>
  <c r="G76" i="2"/>
  <c r="G70" i="2"/>
  <c r="G51" i="2"/>
  <c r="G45" i="2"/>
  <c r="G32" i="2"/>
  <c r="Z828" i="1" l="1"/>
  <c r="Y799" i="1"/>
  <c r="AA799" i="1" s="1"/>
  <c r="Y827" i="1"/>
  <c r="AA827" i="1" s="1"/>
  <c r="Y823" i="1"/>
  <c r="AA823" i="1" s="1"/>
  <c r="Y819" i="1"/>
  <c r="AA819" i="1" s="1"/>
  <c r="Y815" i="1"/>
  <c r="AA815" i="1" s="1"/>
  <c r="Y811" i="1"/>
  <c r="AA811" i="1" s="1"/>
  <c r="Y807" i="1"/>
  <c r="AA807" i="1" s="1"/>
  <c r="Y791" i="1"/>
  <c r="AA791" i="1" s="1"/>
  <c r="Z810" i="1"/>
  <c r="Z794" i="1"/>
  <c r="Y825" i="1"/>
  <c r="AA825" i="1" s="1"/>
  <c r="Y821" i="1"/>
  <c r="AA821" i="1" s="1"/>
  <c r="Z826" i="1"/>
  <c r="Z822" i="1"/>
  <c r="Z814" i="1"/>
  <c r="Z824" i="1"/>
  <c r="Z808" i="1"/>
  <c r="Y822" i="1"/>
  <c r="AA822" i="1" s="1"/>
  <c r="Y20" i="1"/>
  <c r="AA20" i="1" s="1"/>
  <c r="Z811" i="1"/>
  <c r="Y809" i="1"/>
  <c r="AA809" i="1" s="1"/>
  <c r="Y805" i="1"/>
  <c r="AA805" i="1" s="1"/>
  <c r="Y801" i="1"/>
  <c r="AA801" i="1" s="1"/>
  <c r="Y793" i="1"/>
  <c r="AA793" i="1" s="1"/>
  <c r="Y816" i="1"/>
  <c r="AA816" i="1" s="1"/>
  <c r="Y812" i="1"/>
  <c r="AA812" i="1" s="1"/>
  <c r="Y800" i="1"/>
  <c r="AA800" i="1" s="1"/>
  <c r="Y796" i="1"/>
  <c r="AA796" i="1" s="1"/>
  <c r="Z804" i="1"/>
  <c r="Z800" i="1"/>
  <c r="Z796" i="1"/>
  <c r="Z792" i="1"/>
  <c r="Z827" i="1"/>
  <c r="Z819" i="1"/>
  <c r="Z815" i="1"/>
  <c r="Z805" i="1"/>
  <c r="Z797" i="1"/>
  <c r="Y803" i="1"/>
  <c r="AA803" i="1" s="1"/>
  <c r="Z795" i="1"/>
  <c r="Z817" i="1"/>
  <c r="Z793" i="1"/>
  <c r="Y795" i="1"/>
  <c r="AA795" i="1" s="1"/>
  <c r="Y818" i="1"/>
  <c r="AA818" i="1" s="1"/>
  <c r="Z821" i="1"/>
  <c r="Z803" i="1"/>
  <c r="Z799" i="1"/>
  <c r="Z813" i="1"/>
  <c r="Z809" i="1"/>
  <c r="Z820" i="1"/>
  <c r="Z816" i="1"/>
  <c r="Z812" i="1"/>
  <c r="Z806" i="1"/>
  <c r="Z802" i="1"/>
  <c r="Z798" i="1"/>
  <c r="Z801" i="1"/>
  <c r="Y824" i="1"/>
  <c r="AA824" i="1" s="1"/>
  <c r="Y792" i="1"/>
  <c r="AA792" i="1" s="1"/>
  <c r="Z823" i="1"/>
  <c r="Z807" i="1"/>
  <c r="Z791" i="1"/>
  <c r="Y826" i="1"/>
  <c r="AA826" i="1" s="1"/>
  <c r="Y804" i="1"/>
  <c r="AA804" i="1" s="1"/>
  <c r="Z825" i="1"/>
  <c r="Z818" i="1"/>
  <c r="Y820" i="1"/>
  <c r="AA820" i="1" s="1"/>
  <c r="Y817" i="1"/>
  <c r="AA817" i="1" s="1"/>
  <c r="Y802" i="1"/>
  <c r="AA802" i="1" s="1"/>
  <c r="Y828" i="1"/>
  <c r="AA828" i="1" s="1"/>
  <c r="Y808" i="1"/>
  <c r="AA808" i="1" s="1"/>
  <c r="Y814" i="1"/>
  <c r="AA814" i="1" s="1"/>
  <c r="Z20" i="1"/>
  <c r="Y813" i="1"/>
  <c r="AA813" i="1" s="1"/>
  <c r="Y810" i="1"/>
  <c r="AA810" i="1" s="1"/>
  <c r="Y797" i="1"/>
  <c r="AA797" i="1" s="1"/>
  <c r="Y794" i="1"/>
  <c r="AA794" i="1" s="1"/>
  <c r="Y806" i="1"/>
  <c r="AA806" i="1" s="1"/>
  <c r="Y798" i="1"/>
  <c r="AA798" i="1" s="1"/>
  <c r="P6" i="1"/>
  <c r="S6" i="1" l="1"/>
</calcChain>
</file>

<file path=xl/sharedStrings.xml><?xml version="1.0" encoding="utf-8"?>
<sst xmlns="http://schemas.openxmlformats.org/spreadsheetml/2006/main" count="8830" uniqueCount="974">
  <si>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</si>
  <si>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</si>
  <si>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</si>
  <si>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</si>
  <si>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</si>
  <si>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</si>
  <si>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</si>
  <si>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</si>
  <si>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</si>
  <si>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</si>
  <si>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</si>
  <si>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</si>
  <si>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</si>
  <si>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</si>
  <si>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</si>
  <si>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</si>
  <si>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</si>
  <si>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</si>
  <si>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</si>
  <si>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</si>
  <si>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</si>
  <si>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</si>
  <si>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</si>
  <si>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</si>
  <si>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</si>
  <si>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</si>
  <si>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</si>
  <si>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</si>
  <si>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</si>
  <si>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</si>
  <si>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</si>
  <si>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</si>
  <si>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</si>
  <si>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</si>
  <si>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</si>
  <si>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</si>
  <si>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</si>
  <si>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</si>
  <si>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</si>
  <si>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</si>
  <si>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</si>
  <si>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</si>
  <si>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</si>
  <si>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</si>
  <si>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</si>
  <si>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</si>
  <si>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</si>
  <si>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</si>
  <si>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</si>
  <si>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</si>
  <si>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</si>
  <si>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</si>
  <si>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</si>
  <si>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</si>
  <si>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</si>
  <si>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</si>
  <si>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</si>
  <si>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</si>
  <si>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</si>
  <si>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</si>
  <si>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</si>
  <si>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</si>
  <si>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</si>
  <si>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</si>
  <si>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</si>
  <si>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</si>
  <si>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</si>
  <si>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</si>
  <si>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</si>
  <si>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</si>
  <si>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</si>
  <si>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</si>
  <si>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</si>
  <si>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</si>
  <si>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</si>
  <si>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</si>
  <si>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</si>
  <si>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</si>
  <si>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</si>
  <si>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</si>
  <si>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</si>
  <si>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</si>
  <si>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</si>
  <si>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</si>
  <si>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</si>
  <si>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</si>
  <si>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</si>
  <si>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</si>
  <si>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</si>
  <si>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</si>
  <si>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</si>
  <si>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</si>
  <si>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</si>
  <si>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</si>
  <si>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</si>
  <si>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</si>
  <si>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</si>
  <si>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</si>
  <si>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</si>
  <si>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</si>
  <si>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</si>
  <si>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</si>
  <si>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</si>
  <si>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</si>
  <si>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</si>
  <si>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</si>
  <si>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</si>
  <si>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</si>
  <si>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</si>
  <si>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</si>
  <si>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</si>
  <si>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</si>
  <si>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</si>
  <si>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</si>
  <si>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</si>
  <si>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</si>
  <si>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</si>
  <si>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</si>
  <si>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</si>
  <si>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</si>
  <si>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</si>
  <si>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</si>
  <si>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</si>
  <si>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</si>
  <si>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</si>
  <si>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</si>
  <si>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</si>
  <si>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</si>
  <si>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</si>
  <si>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</si>
  <si>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</si>
  <si>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</si>
  <si>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</si>
  <si>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</si>
  <si>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</si>
  <si>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</si>
  <si>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</si>
  <si>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</si>
  <si>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</si>
  <si>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</si>
  <si>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</si>
  <si>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</si>
  <si>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</si>
  <si>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</si>
  <si>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</si>
  <si>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</si>
  <si>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</si>
  <si>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</si>
  <si>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</si>
  <si>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</si>
  <si>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</si>
  <si>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</si>
  <si>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</si>
  <si>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</si>
  <si>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</si>
  <si>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</si>
  <si>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</si>
  <si>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</si>
  <si>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</si>
  <si>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</si>
  <si>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</si>
  <si>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</si>
  <si>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</si>
  <si>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</si>
  <si>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</si>
  <si>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</si>
  <si>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</si>
  <si>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</si>
  <si>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</si>
  <si>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</si>
  <si>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</si>
  <si>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</si>
  <si>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</si>
  <si>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</si>
  <si>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</si>
  <si>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</si>
  <si>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</si>
  <si>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</si>
  <si>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</si>
  <si>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</si>
  <si>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</si>
  <si>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</si>
  <si>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</si>
  <si>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</si>
  <si>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</si>
  <si>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</si>
  <si>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</si>
  <si>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</si>
  <si>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</si>
  <si>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</si>
  <si>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</si>
  <si>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</si>
  <si>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</si>
  <si>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</si>
  <si>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</si>
  <si>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</si>
  <si>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</si>
  <si>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</si>
  <si>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</si>
  <si>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</si>
  <si>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</si>
  <si>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</si>
  <si>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</si>
  <si>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</si>
  <si>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</si>
  <si>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</si>
  <si>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</si>
  <si>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</si>
  <si>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</si>
  <si>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</si>
  <si>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</si>
  <si>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</si>
  <si>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</si>
  <si>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</si>
  <si>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</si>
  <si>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</si>
  <si>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</si>
  <si>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</si>
  <si>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</si>
  <si>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</si>
  <si>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</si>
  <si>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</si>
  <si>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</si>
  <si>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</si>
  <si>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</si>
  <si>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</si>
  <si>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</si>
  <si>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</si>
  <si>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</si>
  <si>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</si>
  <si>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</si>
  <si>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</si>
  <si>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</si>
  <si>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</si>
  <si>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</si>
  <si>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</si>
  <si>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</si>
  <si>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</si>
  <si>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</si>
  <si>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</si>
  <si>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</si>
  <si>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</si>
  <si>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</si>
  <si>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</si>
  <si>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</si>
  <si>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</si>
  <si>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</si>
  <si>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</si>
  <si>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</si>
  <si>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</si>
  <si>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</si>
  <si>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</si>
  <si>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</si>
  <si>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</si>
  <si>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</si>
  <si>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</si>
  <si>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</si>
  <si>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</si>
  <si>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</si>
  <si>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</si>
  <si>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</si>
  <si>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</si>
  <si>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</si>
  <si>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</si>
  <si>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</si>
  <si>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</si>
  <si>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</si>
  <si>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</si>
  <si>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</si>
  <si>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</si>
  <si>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</si>
  <si>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</si>
  <si>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</si>
  <si>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</si>
  <si>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</si>
  <si>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</si>
  <si>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</si>
  <si>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</si>
  <si>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</si>
  <si>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</si>
  <si>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</si>
  <si>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</si>
  <si>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</si>
  <si>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</si>
  <si>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</si>
  <si>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</si>
  <si>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</si>
  <si>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</si>
  <si>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</si>
  <si>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</si>
  <si>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</si>
  <si>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</si>
  <si>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</si>
  <si>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</si>
  <si>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</si>
  <si>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</si>
  <si>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</si>
  <si>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</si>
  <si>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</si>
  <si>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</si>
  <si>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</si>
  <si>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</si>
  <si>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</si>
  <si>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</si>
  <si>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</si>
  <si>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</si>
  <si>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</si>
  <si>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</si>
  <si>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</si>
  <si>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</si>
  <si>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</si>
  <si>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</si>
  <si>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</si>
  <si>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</si>
  <si>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</si>
  <si>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</si>
  <si>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</si>
  <si>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</si>
  <si>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</si>
  <si>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</si>
  <si>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</si>
  <si>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</si>
  <si>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</si>
  <si>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</si>
  <si>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</si>
  <si>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</si>
  <si>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</si>
  <si>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</si>
  <si>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</si>
  <si>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</si>
  <si>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</si>
  <si>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</si>
  <si>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</si>
  <si>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</si>
  <si>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</si>
  <si>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</si>
  <si>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</si>
  <si>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</si>
  <si>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</si>
  <si>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</si>
  <si>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</si>
  <si>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</si>
  <si>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</si>
  <si>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</si>
  <si>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</si>
  <si>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</si>
  <si>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</si>
  <si>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</si>
  <si>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</si>
  <si>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</si>
  <si>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</si>
  <si>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</si>
  <si>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</si>
  <si>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</si>
  <si>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</si>
  <si>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</si>
  <si>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</si>
  <si>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</si>
  <si>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</si>
  <si>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</si>
  <si>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</si>
  <si>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</si>
  <si>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</si>
  <si>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</si>
  <si>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</si>
  <si>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</si>
  <si>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</si>
  <si>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apoyo técnico en la Dirección, en asuntos de comunicaciones y prensa, para la producción, diseño y edición de material audiovisual de la UAECOB.</t>
  </si>
  <si>
    <t>mas plazo ejec Días (si aplica)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</si>
  <si>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</si>
  <si>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</si>
  <si>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</si>
  <si>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</si>
  <si>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</si>
  <si>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servicios de apoyo a la gestion en las actividades de monitoreo del riesgo para la Subdirección de Gestión del Riesgo._SGR</t>
  </si>
  <si>
    <t>78121600
78131800
92111600
72141500</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</si>
  <si>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</si>
  <si>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</si>
  <si>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</si>
  <si>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</si>
  <si>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</si>
  <si>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</si>
  <si>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</si>
  <si>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</si>
  <si>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</si>
  <si>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</si>
  <si>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42141501;42141502;42141503;42142101;42142103;42142105;42142108;42172010;42172013;42172016;42172201;42281502;42291902</t>
  </si>
  <si>
    <t>90101800;90101600;50192700;50112000;50202311;50201709;50161509;50192110;93131602</t>
  </si>
  <si>
    <t>Prestar los servicios profesionales para realizar el acompañamiento administrativo y financiero en temas de liquidación y cierre de expedientes, como demás actuaciones administrativas requeridas de los procesos contractuales</t>
  </si>
  <si>
    <t>Monica Perez Barragan</t>
  </si>
  <si>
    <t>SGH - Garantizar los recursos para viáticos y tiquetes del personal</t>
  </si>
  <si>
    <t>SGH - Garantizar los Recursos para movilización del Personal para emergencias</t>
  </si>
  <si>
    <t>SGH - Prestar servicios profesionales para apoyar el programa de vigilancia epidemiológico al riesgo psicosocial y actividades de seguridad y salud en el trabajo en la Subdirección de Gestión Humana.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</si>
  <si>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</si>
  <si>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</si>
  <si>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</si>
  <si>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</si>
  <si>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</si>
  <si>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</si>
  <si>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</si>
  <si>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</si>
  <si>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</si>
  <si>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</si>
  <si>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</si>
  <si>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</si>
  <si>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</si>
  <si>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N/A</t>
  </si>
  <si>
    <t>N/A-N/A N/A_N/A</t>
  </si>
  <si>
    <t>Contratar el servicio de soporte del software Veeam Backup para la U.A.E. Cuerpo oficial de Bomberos de Bogotá - TIC</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</si>
  <si>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</si>
  <si>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</si>
  <si>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los servicios profesionales jurídicos para apoyar las actividades propias de la gestión contractual que adelanta la UAE Cuerpo Oficial de Bomberos</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</si>
  <si>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</si>
  <si>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</si>
  <si>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43233000;81112200</t>
  </si>
  <si>
    <t>72151607;72103302</t>
  </si>
  <si>
    <t>83121700;83111600;43221700</t>
  </si>
  <si>
    <t>Programado</t>
  </si>
  <si>
    <t>DISTRIBUCIÓN PPTAL PROYECTADA PAA VR 0</t>
  </si>
  <si>
    <t xml:space="preserve">proyecto </t>
  </si>
  <si>
    <t>Diferencia</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</si>
  <si>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</si>
  <si>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</si>
  <si>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</si>
  <si>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ARMONIZACION</t>
  </si>
  <si>
    <t>O23202020088714199 Servicio de mantenimiento y reparación de vehículos automotores n.c.p. MTTO VEHICULOS (3.850.000.000)
O23201010030208 Otra maquinaria para usos especiales y sus partes y piezas (600.000.000) FOX - ALINEACIÓN Y BALAN</t>
  </si>
  <si>
    <t xml:space="preserve">10121801;10121802;10121602 </t>
  </si>
  <si>
    <t>23191200; 23153100; 23271800; 26121600; 27131600; 26101700; 31162800; 31163000; 31163100; 31171500; 31171700; 31191500; 31201600; 40141700; 31121700; 26111700</t>
  </si>
  <si>
    <t>72101500;72154200</t>
  </si>
  <si>
    <t xml:space="preserve">31261500; 31161500; 31161600; 31162300; 31162800; 31171500; 31171700; 39121600; 27121600 </t>
  </si>
  <si>
    <t>70122002; 70122005; 70122006; 70122007; 70122008; 70122009; 70122010</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</si>
  <si>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</si>
  <si>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</si>
  <si>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</si>
  <si>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</si>
  <si>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</si>
  <si>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 xml:space="preserve">SGH - Prestar servicios profesionales juridicos para desarrollar actividades en la Subdireccion de Gestion Humana y el area de academia. </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</si>
  <si>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</si>
  <si>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</si>
  <si>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</si>
  <si>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</si>
  <si>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</si>
  <si>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</si>
  <si>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</si>
  <si>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</si>
  <si>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apoyar las labores de divulgación de la información en las redes sociales, pagina web e intranet, de acuerdo con la misionalidad de la UAECOB.</t>
  </si>
  <si>
    <t xml:space="preserve">                       </t>
  </si>
  <si>
    <t>90101600;90111600;90141700;90151700</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</si>
  <si>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</si>
  <si>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</si>
  <si>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</si>
  <si>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60121104
60121708
44111515
24121503
24112404</t>
  </si>
  <si>
    <t>60141000
60141100
60141200
60141400
73101500
73151500</t>
  </si>
  <si>
    <t>Prestar servicios asistenciales en el desarrollo de actividades relacionadas con la gestión administrativa en la Oficina Asesora de Planeación de la Unidad Administrativa Especial Cuerpo Oficial de Bomberos de Bogotá.</t>
  </si>
  <si>
    <t>Etiquetas de fila</t>
  </si>
  <si>
    <t>Total general</t>
  </si>
  <si>
    <t>Suma de Valor Programado</t>
  </si>
  <si>
    <t xml:space="preserve">SGH – Prestar servicios profesionales en las diferentes actividades del  sistema de gestión de seguridad y salud en el trabajo y en vigilancia epidemiológica de la Subdirección de Gestión Humana. </t>
  </si>
  <si>
    <t>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t>
  </si>
  <si>
    <t>1</t>
  </si>
  <si>
    <t>SGH - Prestar servicios profesionales en el desarrollo de actividades relacionadas con la actualizacion de registro laborales del personal de la entidad, asi como apoyar en las actividades a cargo de desarrollo organizacional de la subdireccion de gestion humana.</t>
  </si>
  <si>
    <t>O2120202008078714199 Servicio de mantenimiento y reparación de vehículos automotores n.c.p.</t>
  </si>
  <si>
    <t>O21202020080383990 Otros servicios profesionales, técnicos y empresariales n.c.p.</t>
  </si>
  <si>
    <t>SGH - Prestar servicios profesionales para apoyar el programa de riesgo psicosocial y diferentes  actividades de seguridad y salud en el trabajo en la Subdirección de Gestión Humana</t>
  </si>
  <si>
    <t>PLAN ANUAL DE ADQUISICIONES 2025</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</si>
  <si>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</si>
  <si>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</si>
  <si>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especializados para la representación judicial  de la Entidad y la prevención del daño antijurídico.</t>
  </si>
  <si>
    <t>Prestar los servicios de apoyo para las gestiones documentales y administrativas requerida por la Oficina  Jurídica.</t>
  </si>
  <si>
    <t>Prestar servicios profesionales jurídicos para apoyar las actividades de defensa Judicial y de procesos penales que adelante la UAE Cuerpo Oficial de Bomberos de Bogotá</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</si>
  <si>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</si>
  <si>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</si>
  <si>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</si>
  <si>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1-100-I087 VA-Sobretasa Bomberil</t>
  </si>
  <si>
    <t>Yenire Yohansy Lozano Ascanio</t>
  </si>
  <si>
    <t>Prestar servicios profesionales jurídicos especializados en la Oficina de Control Disciplinario Interno de la entidad para orientar y apoyar la gestión de los procesos disciplinarios en etapa de instrucción.</t>
  </si>
  <si>
    <t>Prestar los servicios profesionales jurídicos especializados en la Oficina de Control Disciplinario Interno de la entidad relacionados con los procesos disciplinarios que se deban tramitar en esa dependencia en etapa de instrucción.</t>
  </si>
  <si>
    <t>Prestar servicios profesionales jurídicos en la Oficina de Control Disciplinario Interno de la entidad para apoyar la gestión de los procesos contractuales, administrativos, y las actuaciones disciplinarias que deban susrtirse en etapa de instrucción.</t>
  </si>
  <si>
    <t>Prestar servicios profesionales jurídicos para apoyar la instrucción y demás actuaciones que deban surtirse en los procesos disciplinarios adelantados por la Oficina de Control Disciplinario Interno.</t>
  </si>
  <si>
    <t>Prestación de servicios de apoyo técnico a la gestión a la Oficina de Control Disciplinario Interno de la UAECOB para el cumplimiento de las funciones asignadas a esta dependencia, especialmente en las que requieran tareas de carácter administrativo</t>
  </si>
  <si>
    <t>Prestación de servicios de apoyo a la gestión como conductor para atender los diferentes requerimientos e incidentes en la Oficina Asesora de Planeación</t>
  </si>
  <si>
    <t>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t>
  </si>
  <si>
    <t xml:space="preserve">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
</t>
  </si>
  <si>
    <t>Prestar servicios de apoyo a la gestión para la ejecución de actividades asistenciales, administrativas y de gestión documental en la Oficina Asesora de Planeación.</t>
  </si>
  <si>
    <t>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</si>
  <si>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Prestación de servicios profesionales para desarrollar actividades asignadas, orientadas a implementar las políticas de Planeación Institucional, así como al seguimiento y evaluación del desempeño institucional dentro del marco del Modelo Integrado de Planeación y Gestión</t>
  </si>
  <si>
    <t>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</si>
  <si>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Prestar servicios profesionales para coordinar y ejercer seguimiento a la Implementación del Sistema de Gestión de la Calidad así como a las políticas que componen el modelo de gestión -MIPG que se definan por la Oficina Asesora de Planeación.</t>
  </si>
  <si>
    <t>Prestación de servicios profesionales para el desarrollo de actividades orientadas a implementar las políticas establecidas en el marco del Modelo Integrado de Planeación y Gestión (MIPG), liderado por la Oficina Asesora de Planeación.</t>
  </si>
  <si>
    <t>Prestación de servicios profesionales para el desarrollo de actividades designadas en el marco del Modelo Integrado de Planeación y Gestión (MIPG), orientadas a brindar soporte en el área que lo requiera.</t>
  </si>
  <si>
    <t>Contratar la prestación de servicios de auditoria bajo los requisitos de las normas internacionales del Sistema de Gestión de la Calidad e ISO 9001 y el Sistema de Seguridad de la Información ISO 27001</t>
  </si>
  <si>
    <t>Prestación de servicios profesionales para acompañar a la Dirección en la estructuración de fichas técnicas y en la identificación de necesidades técnicas que requiere suplir la UAE Cuerpo Oficial de Bomberos de Bogotá</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</si>
  <si>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</si>
  <si>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</si>
  <si>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</si>
  <si>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Jose Andres Ponce Caicedo</t>
  </si>
  <si>
    <t>SGH - Prestar servicios de apoyo a la gestión en la Subdirección de Gestión Humana en las diferentes actividades logísticas relacionadas con  el proceso de Academia.</t>
  </si>
  <si>
    <t>86101600, 86101700, 86101800, 86111600, 86141500,  86121800, 80111500,86131800</t>
  </si>
  <si>
    <t>86101600, 86101700, 86101800, 86111600, 86141500,  86121800, 80111500</t>
  </si>
  <si>
    <t xml:space="preserve">SGH - Prestar los servicios de capacitación, formación y entrenamiento en cursos especializado para Bomberos en BUZO DE SEGURIDAD PUBLICA, necesario para el desarrollo de estos procesos para el personal operativo y administrativo  de la Academia UAECOB </t>
  </si>
  <si>
    <t>72121100, 24101600, 30131500, 31371300, 30101500, 30101700, 30103600, 95121633, 30103619, 73121600, 73121500, 30101704, 30101504</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</si>
  <si>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</si>
  <si>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80101500;80111500;86132000;93151500</t>
  </si>
  <si>
    <t>INCENTIVOS</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</si>
  <si>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</si>
  <si>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</si>
  <si>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t>
  </si>
  <si>
    <t>Proveer el suministro de elementos de bioseguridad e insumos médicos básicos y otros para la atención de emergencias. - SBLG</t>
  </si>
  <si>
    <t>Suministro de alimentación,  hidratación  y raciones para el cuerpo operativo en la atención de emergencias, entrenamientos, capacitaciones y actividades de prevención- - SBLG</t>
  </si>
  <si>
    <t>Suministrar combustible para los vehículos, y equipos especializados de la U.A.E. Cuerpo Oficial de Bomberos Bogotá dentro y fuera del perímetro del distrito capital de la  - SBLG</t>
  </si>
  <si>
    <t>Contratar el suministro de alimentación para los caninos del cuerpo oficial y animales rescatados por la U.A.E. del Cuerpo Oficial de Bomberos de Bogotá – . - SBLG</t>
  </si>
  <si>
    <t>Suministrar los repuestos, accesorios e insumos de los equipos de rescate vehicular liviano y pesado marca LUKAS-  - SBLG</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</si>
  <si>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t>
  </si>
  <si>
    <t>Suministrar repuestos, accesorios e insumos para los equipos menores  y transversales de propiedad de la UAECOB. - SBLG</t>
  </si>
  <si>
    <t>Prestación de servicios médicos veterinarios, con suministro de medicamentos e insumos veterinarios y otros, para los caninos de la U.A.E. Cuerpo Oficial de Bomberos de Bogotá -  - SBLG</t>
  </si>
  <si>
    <t>Adquisición de concentrado de espuma, mantenimiento y recarga de extintores, cilindros y tanques de las maquinas extintoras de la UAECOB.   LOTE I Y LOTE II - SBLG</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</si>
  <si>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</si>
  <si>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 SBLG</t>
  </si>
  <si>
    <t>72101509;46191600</t>
  </si>
  <si>
    <t>Prestar el servicio de mantenimiento preventivo y correctivo de los compresores BAUER propiedad de la U.A.E. Cuerpo Oficial de Bomberos de Bogotá, incluido el suministro de repuestos, insumos y mano de obra especializada.  - SBLG</t>
  </si>
  <si>
    <t>40151601;40151802</t>
  </si>
  <si>
    <t>Prestar el servicio de mantenimiento preventivo y correctivo de los Equipos acuaticos propiedad de la U.A.E. Cuerpo Oficial de Bomberos de Bogotá, incluido el suministro de repuestos, insumos y mano de obra especializada.  - SBLG</t>
  </si>
  <si>
    <t>Mantenimiento y actulizacion de elementos para la atencion de emergencias, rescate y salvamento  acuatico  (Trajes de buceo) - SBLG</t>
  </si>
  <si>
    <t>Prestar servicios profesionales en temas transversales de los procesos de planeación, logísticos, administrativos y financieros que se deriven de las competencias a cargo de la Subdirección Logística - .  - SBLG</t>
  </si>
  <si>
    <t>Prestar servicios profesionales en la seguimiento,verificación y control administrativo financiero de los procesos contractuales en la etapa de ejecución a cargo de la Subdirección Logistica – . - SBLG</t>
  </si>
  <si>
    <t>Prestación de servicios profesionales para realizar el seguimiento y monitoreo a los diferentes procesos y procedimientos del equipo menor a cargo de la Subdirección Logística -  - SBLG</t>
  </si>
  <si>
    <t>Prestar servicios profesionales para el trámite, revisión y validación de los documentos previos para pago que se generen con ocasión de la ejecución de los contratos a cargo de la subdirección logística. - SBLG</t>
  </si>
  <si>
    <t>William Tovar Segura</t>
  </si>
  <si>
    <t>5 - contratación mínima cuantía</t>
  </si>
  <si>
    <t>6 - contratación mínima cuantía</t>
  </si>
  <si>
    <t>9 - contratación directa</t>
  </si>
  <si>
    <t>Prestar servicios profesionales a la Subdirección de Gestión del Riesgo para la coordinación y establecimiento de los planes intersectoriales en materia de prevención y atención de incendios e incidentes con materiales peligrosos._SGR</t>
  </si>
  <si>
    <t>Prestar servicios profesionales para la estructuracion y seguimiento de los procesos contractuales y demas aspectos juridicos de la Subdirección de Gestión del riesgo._SGR</t>
  </si>
  <si>
    <t>Prestar servicios profesionales para las actividades de la Subdireccion de Gestion del Riesgo relacionadas con la gestion de los aspectos tecnologicos e informaticos._SGR</t>
  </si>
  <si>
    <t>Prestar servicios profesionales para el desarrollo de actividades de planeación y gestión para la Subdirección de Gestión del Riesgo._SGR</t>
  </si>
  <si>
    <t>Prestar servicios de apoyo a la gestión como conductor en la Subdirección de Gestión del Riesgo._SGR</t>
  </si>
  <si>
    <t xml:space="preserve">Prestar servicios de apoyo administrativos apoyando a la Subdirección de Gestión del Riesgo con lo relacionado al seguimiento y control de sus solicitudes y peticiones._SGR </t>
  </si>
  <si>
    <t>Prestar  servicios profesionales en las actividades de proyeccion e innovacion para la Subdirección de Gestión del Riesgo._SGR</t>
  </si>
  <si>
    <t>Prestar servicios profesionales en las actividades de identificacion de escenarios a cargo de la Subdirección de Gestión del Riesgo._SGR</t>
  </si>
  <si>
    <t>Prestar servicios profesionales en las actividades de monitoreo del riesgo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</si>
  <si>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</si>
  <si>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Riesgo._SGR</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</si>
  <si>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</si>
  <si>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80141900
90111500
90111600
80141600
80161502</t>
  </si>
  <si>
    <t>Adquisición de elementos de identificación institucional para el programa de Bomberitos_SGR.</t>
  </si>
  <si>
    <t>Mauricio Ayála Vásquez</t>
  </si>
  <si>
    <t>prestación de servicios como apoyo para gestionar y ejecutar las actividades que dan soporte al proceso de comunicaciones en emergencias, del centro de coordinación y comunicaciones (c.c.c.) a cargo de la subdirección operativa. s.o.</t>
  </si>
  <si>
    <t>prestación de servicios para dar el apoyo y realizar  la gestión administrativa requerida  en la estación de bomberos asignada y a cargo de la subdirección operativa  s.o.</t>
  </si>
  <si>
    <t>prestación de servicios profesionales para atender las actividades y condiciones básicas de bienestar tanto de los animales recuperados y rescatados y de los caninos del programa brae a cargo de la subdirección operativa s.o.</t>
  </si>
  <si>
    <t>prestación de servicios de apoyo para desarrollar y mantener las condiciones básicas de bienestar de los caninos y de  animales rescatados o recuperados que atiende el grupo brae
 a cargo de la subdirección operativa  s.o.</t>
  </si>
  <si>
    <t>prestación de servicios de apoyo para ejecutar las actividades administrativas, de gestión , trámite, seguimiento y verificación de solicitudes recibidas en el canal de comunicación de gestión operativa. - s.o.</t>
  </si>
  <si>
    <t>prestación de servicios de apoyo para transportar los recursos para el cumplimiento de las funciones y  brindar la atención en los diferentes requerimientos y gestiones a cargo de la dependencia.</t>
  </si>
  <si>
    <t>prestación de servicios profesionales  para generar información de valor e instrumentos de seguimiento y control a partir de los datos asociados a la ejecución  de los procesos, planes y proyectos adelantados en la dependencia. s.o.</t>
  </si>
  <si>
    <t>prestación de servicios profesionales para realizar  la consolidación, seguimiento, control y  reporte de los planes, proyectos y programas de inversión e indicadores a cargo de la subdirección operativa s.o.</t>
  </si>
  <si>
    <t>prestación de servicios profesionales para  el fortalecimiento de los procesos de comunicaciones y análisis de información en articulación con otras dependencias de la entidad, s.o.</t>
  </si>
  <si>
    <t>prestación de servicios profesionales para  la consolidación, seguimiento y reporte de las actividades del plan de mejoramiento, normograma y mapa de riesgos relacionados con los procesos y procedimientos misionales de la dependencia. s.o.</t>
  </si>
  <si>
    <t>prestación de servicios profesionales con plena autonomía técnica y administrativa  para el diseño, implementación, reporte y monitoreo de los diferentes procesos, procedimientos y funciones a cargo de la dependencia. - s.o.</t>
  </si>
  <si>
    <t>prestación de servicios profesionales para realizar  el diligenciamiento y seguimiento de las solicitudes en las herramientas de gestión de los procedimientos a cargo de la  subdirección operativa -s.o.</t>
  </si>
  <si>
    <t>prestación de servicios profesionales para realizar la planeación, trámite y seguimiento de los aspectos presupuestales, financieros y contractuales a cargo de la dependencia - s.o.</t>
  </si>
  <si>
    <t>prestación de servicios profesionales para ejecutar los  aspectos jurídicos de  la subdirección operativa, frente a la estructuración, sustanciación, revisión y trámite de los actos administrativos y los documentos que deba emitir para la dependencia - s.o.</t>
  </si>
  <si>
    <t>prestación de servicios profesionales para  estructurar, definir y verificar en los  aspectos técnicos de los diferentes procesos de contratación de bienes y servicios de la subdirección operativa en las etapas precontractual, contractual y postcontractual-s.o.</t>
  </si>
  <si>
    <t>prestación de servicios profesionales para ejecutar el componente de información geográfica, georreferenciación y generación de alertas mediante las herramientas, sistemas de información y recursos disponibles y a cargo de la subdirección operativa-s.o.</t>
  </si>
  <si>
    <t>prestación de servicios profesionales para la elaboración, diagramación, orto tipografía y estilos de textos e informes referentes a los diferentes procesos a cargo de la subdirección operativa - s.o.</t>
  </si>
  <si>
    <t>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t>
  </si>
  <si>
    <t>prestación de servicios profesionales para ejecutar las actividades misionales en la elaboración, diseño y diagramación de piezas requeridas para los planes, programas, proyectos y procedimientos- s.o.</t>
  </si>
  <si>
    <t>prestación de servicios profesionales para ejecutar las actividades relacionadas con el sistema de gestión de calidad, el sistema ambiental y el sistema de control interno-s.o.</t>
  </si>
  <si>
    <t>prestación de servicios profesionales para ejecutar las actividades de carácter administrativo y de apoyo de los procesos y procedimientos a cargo de la subdirección operativa-s.o.</t>
  </si>
  <si>
    <t>prestación de servicios profesionales con plena autonomía técnica y administrativa en el seguimiento, verificación y alimentación de los sistemas de información y demás requerimientos de acuerdo con las funciones de la dependencia-s.o.</t>
  </si>
  <si>
    <t>prestación de servicios profesionales para  la estructuación de fichas técnicas e identificación de necesidades técnicas requeridas por la entidad con base en la atención de emergencias y requerimientos internos y externos - s.o.</t>
  </si>
  <si>
    <t>prestación de servicios profesionales para la elaboración de informes o documentos técnicos, infografías, reportes y consolidación de indicadores relacionados con los procesos, procedimientos y contratos a cargo de la dependencia-s.o.</t>
  </si>
  <si>
    <t>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t>
  </si>
  <si>
    <t>prestación de servicios profesionales para gestionar y ejecutar la  estrategia de preparativos de la uae cuerpo oficial de bomberos de bogotá s.o.</t>
  </si>
  <si>
    <t>prestación de servicios profesionales en consolidación y reporte de la información técnica de la estrategia de preparativos de la uae cuerpo oficial de bomberos de bogotá s.o.</t>
  </si>
  <si>
    <t>Adquisición de vehículos operativos o especilizados para la atención de emergencias de la UAE  Cuerpo Oficial de Bomberos de Bogotá</t>
  </si>
  <si>
    <t>Adquisición de tecnologia  especilizada para la atención de emergencias de la UAE  Cuerpo Oficial de Bomberos de Bogotá</t>
  </si>
  <si>
    <t>Contratar la prestación del servicio de monitoreo, control y seguimiento satelital a los vehículos de propiedad de la U.A.E. Cuerpo Oficial de Bomberos de Bogotá - TIC</t>
  </si>
  <si>
    <t>Contratar el servicio de soporte del sistema misional FUOCO para la U.A.E. Cuerpo Oficial de Bomberos de Bogotá de acuerdo a lo contemplado en el anexo técnico.-TIC-</t>
  </si>
  <si>
    <t>81112200;81112201</t>
  </si>
  <si>
    <t>Contratar la renovación del licenciamiento y soporte de las plataformas de seguridad perimetral Fortinet, firewalls y WAF del edificio comando y estaciones para la U.A.E. Cuerpo Oficial de Bomberos de Bogotá - TIC</t>
  </si>
  <si>
    <t>43233200;43222500</t>
  </si>
  <si>
    <t>Contratar la adquisición, renovación y  suscripciones de licencia Microsoft para la U.A.E. Cuerpo Oficial de Bomberos de Bogotá - TIC</t>
  </si>
  <si>
    <t>43231512;81112501</t>
  </si>
  <si>
    <t>Contratar el alquiler de equipos tecnológicos, periféricos y servicios complementarios para la U.A.E. Cuerpo Oficial de Bomberos de Bogotá. - TIC</t>
  </si>
  <si>
    <t>Contratar el servicio de soporte y mantenimiento del sistema de gestión documental  para la U.A.E. Cuerpo Oficial de Bomberos de Bogotá- TIC</t>
  </si>
  <si>
    <t>Contratar el servicio de nube publica para la U.A.E Cuerpo Oficial de Bomberos de Bogotá - TIC</t>
  </si>
  <si>
    <t>Contratar el servicio de mantenimiento preventivo y correctivo de los radios portátiles y móviles marca motorola propiedad de la U.A.E. Cuerpo Oficial de Bomberos de Bogotá - TIC</t>
  </si>
  <si>
    <t>Adicionar el contrato cuyo objeto es "Contratar el servicio de actualización y soporte de licenciamiento ArcGIS para la U.A.E. Cuerpo Oficial de Bomberos de Bogotá.- TIC"</t>
  </si>
  <si>
    <t>Contratar la adquisición de usuarios de ArcGis para la U.A.E. Cuerpo Oficial de Bomberos de Bogotá. - TIC</t>
  </si>
  <si>
    <t>43212105, 43212110,43212115</t>
  </si>
  <si>
    <t>81111508;81111809;81161501;43231500;43231513</t>
  </si>
  <si>
    <t>Realizar la adquisición de un software para la capacitación a la comunidad sobre la prevención de emergencias</t>
  </si>
  <si>
    <t>Adquisición de sistema de monitoreo para la prevención y alertas tempranas en lo que corresponde a los incidentes forestales en los cerros</t>
  </si>
  <si>
    <t>Fatima Veronica Quintero Nuñez</t>
  </si>
  <si>
    <t>Contratar la prestación del servicio de aseo y cafetería incluido insumos para la UAE Cuerpo Oficial de Bomberos -SGC</t>
  </si>
  <si>
    <t>44121700;44121800;44121900;44122000</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</si>
  <si>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</si>
  <si>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</si>
  <si>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</si>
  <si>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</si>
  <si>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</si>
  <si>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</si>
  <si>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Prestar los servicios como conductor de la Subdirección de Gestión Corporativa -SGC</t>
  </si>
  <si>
    <t>Prestación de servicios de apoyo a la gestión del proceso de inventarios de la Subdirección de Gestión Corporativa.-SGC</t>
  </si>
  <si>
    <t>Prestación de servicios de apoyo a la gestión en la Subdirección de Gestión Corporativa, en las actividades asociadas a los procesos y procedimientos del almacén de la Entidad.- SGC</t>
  </si>
  <si>
    <t>Prestar servicios profesionales en la Subdirección de Gestión Corporativa en el marco de las actividades administrativas de la Dependencia.-SGC</t>
  </si>
  <si>
    <t>Prestación de servicios profesionales, en temas jurídicos de la gestión administrativa a cargo de la Subdirección de Gestión Corporativa.- SGC</t>
  </si>
  <si>
    <t>Prestación de servicios profesionales para adelantar actividades técnicas y trámites administrativos del Área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</si>
  <si>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</si>
  <si>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</si>
  <si>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</si>
  <si>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</si>
  <si>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</si>
  <si>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</si>
  <si>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</si>
  <si>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los trámites técnicos y administrativos para la adquisición de los bienes y servicios del Área de Infraestructura de la Subdirección de Gestión Corporativa-SGC</t>
  </si>
  <si>
    <t>Prestar el servicio de vigilancia y seguridad privada en la modalidad de vigilancia fija, según especificaciones técnicas, en las instalaciones donde la UAE Especial Cuerpo Oficial de Bomberos requiera-SGC</t>
  </si>
  <si>
    <t>Prestación de servicios de apoyo a la gestión del área Financiera de la Subdirección de Gestión Corporativa.-SGC</t>
  </si>
  <si>
    <t>Prestar servicios profesionales en la Subdirección de Gestión Corporativa en lo relacionado con los procesos de inventarios, almacén y bajas-SGC</t>
  </si>
  <si>
    <t>Prestación de servicios profesionales para el seguimiento, ejecución de los procesos de gestión de pagos que se desarrollan en el área Financiera de la UAE Cuerpo Oficial de Bomberos asignados.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</si>
  <si>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</si>
  <si>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</si>
  <si>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</si>
  <si>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</si>
  <si>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</si>
  <si>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Prestar los servicios profesionales para la gestión administrativa y operativa de la Subdirección de Gestión Corporativa en el proceso de adquisición de bienes y servicios - SGC</t>
  </si>
  <si>
    <t>Prestación de Servicios Profesionales en temas financieros, administrativas y misionales para apoyar los proyectos de infraestructura de la Subdirección de Gestión Corporativa.- SGC</t>
  </si>
  <si>
    <t>Prestación de servicios profesionales con el fin de gestionar trámites de carácter técnico, administrativo y operativamente en el desarrollo de los proyectos de inversión  de la entidad-SGC</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</si>
  <si>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</si>
  <si>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</si>
  <si>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la red contraincendios  y sistemas de detención de alarmas contra incendios de las estaciones de bomberos de la UAE- Cuerpo Oficial de Bomberos Bogota SGC</t>
  </si>
  <si>
    <t>Suministro de materiales, equipos y herramientas para el mejoramiento integral de las instalaciones de la UAE Cuerpo Oficial de Bomberos -SGC</t>
  </si>
  <si>
    <t>80101600;81101500;72101500;72121400</t>
  </si>
  <si>
    <t>47111500; 47111700</t>
  </si>
  <si>
    <t>Elaboración de estudios y diseños técnicos para la construcción de la estación de bomberos  B-18 de la UAE Cuerpo Oficial de Bomberos de Bogotá – SGC</t>
  </si>
  <si>
    <t>81101500;80101600</t>
  </si>
  <si>
    <t>Interventoría técnica, administrativa, financiera, contable, jurídica y ambiental para la elaboración de estudios y diseños técnicos para la construcción de la estación de bomberos B-18 de la UAE Cuerpo Oficial de Bomberos de Bogotá – SGC</t>
  </si>
  <si>
    <t>Elaboración de estudios y diseños técnicos para la construcción de la estación de bomberos de Puente Aranda B-4 de la UAE Cuerpo Oficial de Bomberos de Bogotá – SGC</t>
  </si>
  <si>
    <t>Interventoría técnica, administrativa, financiera, contable, jurídica y ambiental para la elaboración de estudios y diseños técnicos para la construcción de la estación de Bomberos de Punete Aranda B-4 de la UAE Cuerpo Oficial de Bomberos de Bogotá – SGC</t>
  </si>
  <si>
    <t>72121400; 72151700; 72151700; 81101500</t>
  </si>
  <si>
    <t>81101500; 80101600; 72121400; 95121700</t>
  </si>
  <si>
    <t>Omer Mauricio Rivera Ruiz</t>
  </si>
  <si>
    <t>Contratar el servicio de revision técnico mecánica y de emision de gases contaminantes para los vehiculos que forman parte del parque automotor de la Unidad Administrativa Especial Cuerpo Oficial de Bomberos de Bogotá - UAECOB-SBLG</t>
  </si>
  <si>
    <t>Mauricio Ayala Vasquez</t>
  </si>
  <si>
    <t>Adquisición de uniformes para el personal operativo de la UAECOB</t>
  </si>
  <si>
    <t>O2120201002082823609    Uniformes de trabajo</t>
  </si>
  <si>
    <t>Pago de pasivos exigibles</t>
  </si>
  <si>
    <t xml:space="preserve"> 91 - n/a acto administrativo (resolución, decreto, acuerdo, etc.) </t>
  </si>
  <si>
    <t xml:space="preserve"> 17 - acuerdo marco de precios </t>
  </si>
  <si>
    <t>80111600;</t>
  </si>
  <si>
    <t xml:space="preserve"> 09 - contratación directa </t>
  </si>
  <si>
    <t>Prestación de servicios profesionales en la Subdirección de Gestión Corporativa en las actividades relacionadas con MIPG-SGC</t>
  </si>
  <si>
    <t xml:space="preserve"> 04 - contratación mínima cuantía </t>
  </si>
  <si>
    <t>72154100; 73152100</t>
  </si>
  <si>
    <t>Realizar el mantenimiento preventivo, correctivo de puertas automatizadas para las salas de máquinas de las estaciones de la UAE Cuerpo Oficial de Bomberos-SGC</t>
  </si>
  <si>
    <t>72121400;
72151700;
72154109;
95121700;</t>
  </si>
  <si>
    <t>Prestación de servicios profesionales para apoyar las actividades técnicas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</si>
  <si>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</si>
  <si>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al área Financiera de la Subdirección de Gestión Corporativa--SGC</t>
  </si>
  <si>
    <t>Prestar los servicios de Custodia, Consulta y Traslado Documental de Acuerdo a las especificaciones Técnicas  y requisitos contemplados en la normatividad Archivística Vigente-SGC</t>
  </si>
  <si>
    <t>78131800;80101500;80101600;80161500;81111900;81112000</t>
  </si>
  <si>
    <t>Contratar el servicio de saneamiento ambiental, corte de césped, jardinería, poda y tala de árboles para las sedes (predios y/o estaciones) de la UAECOB-SGC</t>
  </si>
  <si>
    <t xml:space="preserve"> 02 - selec. abrev. menor cuantía </t>
  </si>
  <si>
    <t>Arrendamiento de instalaciones estación Ferias-SGC</t>
  </si>
  <si>
    <t>80131502;</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</si>
  <si>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</si>
  <si>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78102206;</t>
  </si>
  <si>
    <t>Suministro  de implementos  de  papelería y oficina para las dependencias de la UAE Cuerpo  Oficial de Bomberos-SGC</t>
  </si>
  <si>
    <t>14111500;
14111800;
44121700; 
44121800; 
44122000; 
44122100;
44121600;
60101900;
27112300;
60105700;</t>
  </si>
  <si>
    <t>Suministro de insumos para las impresoras de las dependencias de la UAE Cuerpo Oficial de Bomberos.-SGC.</t>
  </si>
  <si>
    <t>44103100;44103101;44103103;44103105;44103106;44103108;44103110;44103111;55101500;</t>
  </si>
  <si>
    <t>Arrendamiento de instalaciones estación Caobos Salazar-SGC</t>
  </si>
  <si>
    <t>92121500;</t>
  </si>
  <si>
    <t>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</si>
  <si>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84131501;84131503;84131504;84131512;84131513;84131515; 84131601,84131603;84131607</t>
  </si>
  <si>
    <t>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</si>
  <si>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</si>
  <si>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ascensor nueva Estación de Bomberos de Fontibón-SGC</t>
  </si>
  <si>
    <t>Prestación del servicio para inspección y certificación correspondientes a los sistemas de transporte vertical (ascensores) a cargo de la Unidad Administrativa Especial del Cuerpo Oficial de Bomberos Bogotá D.C. – SGC</t>
  </si>
  <si>
    <t>Mantenimiento correctivo y preventivo con suministro de repuestos para los Ascensores Edificio Comando-SGC</t>
  </si>
  <si>
    <t>Mantenimiento correctivo y preventivo con suministro de repuestos ascensor nueva Estación de Bomberos BELLAVISTA- SGC</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</si>
  <si>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</si>
  <si>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 xml:space="preserve">91111602;_x000D_
47101568;_x000D_
49241712;_x000D_
</t>
  </si>
  <si>
    <t>Prestar el servicio de recolección y diposición final de los residuos sanitarios y aguas no tratadas de las instalaciones de la Unidad Administrativa Especial Cuerpo Oficial de Bomberos Bogotá -SGC</t>
  </si>
  <si>
    <t>81141807;_x000D_
40151517;_x000D_
76121701;_x000D_
83101506;</t>
  </si>
  <si>
    <t>Suministro de insumos para lavadoras-SGC</t>
  </si>
  <si>
    <t>44103100;</t>
  </si>
  <si>
    <t>Adición y Prórroga No. 1 al contrato 639 de 2024 que tiene como objeto "Suministro de implementos de papelería y oficina para las dependencias de la UAE Cuerpo Oficial de Bomberos-SGC</t>
  </si>
  <si>
    <t xml:space="preserve">14111500 _x000D_
14111800_x000D_
44121700 _x000D_
44121800 _x000D_
44122000 _x000D_
44122100_x000D_
44121600_x000D_
60101900_x000D_
27112300_x000D_
60105700_x000D_
</t>
  </si>
  <si>
    <t>72101500; 92101600; 95121700</t>
  </si>
  <si>
    <t>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</si>
  <si>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72102900; 72121400; 72151700;72154000;72101500</t>
  </si>
  <si>
    <t>80101600; 81101500; 72101500; 72121400</t>
  </si>
  <si>
    <t>Adición y prórroga No. 1 al contrato 344 de 2024 que tiene como objeto “Prestar el servicio de vigilancia y seguridad privada en la modalidad de vigilancia fija, según especificaciones técnicas, en las instalaciones que la UAE especial cuerpo oficial de bomberos requiera-SGC</t>
  </si>
  <si>
    <t>Consultoria modalidad de licencias de la infraestructura existente de las estaciones de bomberos (reconocimiento, ampliacion etc)</t>
  </si>
  <si>
    <t>Interventoria de la consultoria modalidad de licencias de la infraestructura existente de las estaciones de bomberos (reconocimiento, ampliacion etc).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</si>
  <si>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</si>
  <si>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</si>
  <si>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</si>
  <si>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</si>
  <si>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</si>
  <si>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</si>
  <si>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</si>
  <si>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</si>
  <si>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</si>
  <si>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</si>
  <si>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</si>
  <si>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</si>
  <si>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</si>
  <si>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</si>
  <si>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</si>
  <si>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</si>
  <si>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 xml:space="preserve"> O2320202005040554590 Otros servicios especializados de la construcción </t>
  </si>
  <si>
    <t xml:space="preserve"> O232020200885330 Servicios de limpieza general </t>
  </si>
  <si>
    <t xml:space="preserve"> O232020200883990 Otros servicios profesionales, técnicos y empresariales n.c.p. </t>
  </si>
  <si>
    <t xml:space="preserve"> O23202020088715999 Servicio de mantenimiento y reparación de otros equipos n.c.p. </t>
  </si>
  <si>
    <t xml:space="preserve"> No Aplica </t>
  </si>
  <si>
    <t>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</si>
  <si>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</si>
  <si>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</si>
  <si>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</si>
  <si>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81111811;72151600; 43223300;
39131700</t>
  </si>
  <si>
    <t>81112501;43232102;43232103;43231512</t>
  </si>
  <si>
    <t>81112100;81111500</t>
  </si>
  <si>
    <t>Prestar servicios profesionales en la Dirección General para gestionar las  actividades de cooperación técnica internacional y articulación interinstitucional encaminadas a fortalecer e impulsar las metas de la Entidad</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</si>
  <si>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</si>
  <si>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en asuntos de comunicaciones y prensa para la traducción de textos editoriales que contribuyan al fortalecimiento y gestión de la imagen corporativa de la entidad.</t>
  </si>
  <si>
    <t>Prestar servicios profesionales en la Dirección General para apoyar las actividades de cooperación técnica internacional y articulación interinstitucional de conformidad a la misionalidad de la Entidad</t>
  </si>
  <si>
    <t>Prestar servicios profesionales en asuntos de comunicaciones y prensa para apoyar materia de seguimiento para el cumplimiento de la misionalidad</t>
  </si>
  <si>
    <t>Prestación de servicios de profesionales a la gestión en la Dirección para el acompañamiento en las labores administrativas en asuntos de Comunicaciones y Prensa de la UAECOB</t>
  </si>
  <si>
    <t>Prestar servicios profesionales a la Subdirección de Gestión del Riesgo liderando las actividades del proceso de inspecciones técnicas del Riesgo._SGR</t>
  </si>
  <si>
    <t>Prestar servicios profesionales en las actividades de planeación y gestión de la Subdirección de gestión del Riesgo_SGR</t>
  </si>
  <si>
    <t>Prestar servicios profesionales para el seguimiento de los componentes administrativo, técnico y financiero de la subdireccíon de Gestión del Riesgo. SGR</t>
  </si>
  <si>
    <t>Prestar servicios profesionales para la gestión de la SGR, estructurando el seguimiento de los procesos contractuales y seguimiento de los proyectos de inversión de la UAECOB._SGR</t>
  </si>
  <si>
    <t>prestar servicios profesionales liderando las actividades de caracterización de escenarios y monitoreo de gestión del riesgo.SGR</t>
  </si>
  <si>
    <t>Prestar servicios profesionales liderando las actividades de Programas y Campañas de Prevención para la Subdirección de Gestión del Riesgo._SGR</t>
  </si>
  <si>
    <t xml:space="preserve">SGH - Prestar servicios profesionales en la Subdireccion de Gestion Humana de la UAE Cuerpo Oficial de Bomberos en el proceso de ausentismo, recobro de incapacidades y los subprocesos directamente relacionados </t>
  </si>
  <si>
    <t xml:space="preserve">SGH - Prestar servicios de apoyo a la gestion en la Subdireccion de Gestion Humana de la UAE Cuerpo oficial de Bomberos en el proceso de asusentismos, recobro de incapacidades y los subprocesos directamente relacionados. </t>
  </si>
  <si>
    <t>SGH - Prestar servicios profesionales para apoyar el programa de desórdenes musculoesqueléticos de la UAE Cuerpo Oficial de Bomberos de Bogotá".</t>
  </si>
  <si>
    <t>SGH - Prestar servicios profesionales para la implementación y seguimiento del sistema de gestión de seguridad y salud en el trabajo en la Subdirección de Gestión Humana.</t>
  </si>
  <si>
    <t>SGH - Prestar sus servicios profesionales en la Subdirección de Gestión Humana, en la administración de sistema de seguridad y salud en el trabajo</t>
  </si>
  <si>
    <t>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</si>
  <si>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</si>
  <si>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</si>
  <si>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SGH-Prestación de servicios profesionales para acompañar a la subdirección de gestión humana en el desarrollo de las actividades encaminadas al diseño de piezas comunicativas que se requieran en el marco de los procesos y procedimientos a cargo de la dependencia.</t>
  </si>
  <si>
    <t>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</si>
  <si>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SGH-Prestar servicios profesionales para acompañar a la subdirección de gestión humana en el desarrollo de las actividades realizadas en el marco de la actuación del comité de mujer y género</t>
  </si>
  <si>
    <t>SGH - Prestar servicios profesionales para acompañar a la Subdireccion de Gestion Humana en la planeacion, trámite y seguimiento de los aspectos presupuestales, financieros y contractuales a cargo de la dependencia</t>
  </si>
  <si>
    <t>SGH - Prestar sus servicios profesionales en la Subdirección de Gestión Humana, en los procesos contractuales y demás actividades relacionadas con la Subdirección de Gestión Humana</t>
  </si>
  <si>
    <t>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t>
  </si>
  <si>
    <t>SGH - Prestar servicios profesionales especializados para desarrollar actividades jurídicas en atención a los distintos requerimientos de la Subdirección de Gestión Humana.</t>
  </si>
  <si>
    <t>SGH - Prestar servicios profesionales para desarrollar actividades jurídicas en atención a los distintos requerimientos de la Subdirección de Gestión Humana.</t>
  </si>
  <si>
    <t>SGH - Prestar servicios profesionales para desarrollar actividades jurídicas relacionadas con la academia bomberil, recobro de incapacidades y procesos administrativos de la Subdirección de Gestión Humana.</t>
  </si>
  <si>
    <t>SGH - Prestar servicios profesionales en la Subdirección de Gestión Humana, para el fortalecimiento transversal del proceso de Academia.</t>
  </si>
  <si>
    <t>Prestar servicios apoyo técnico para el desarrollo de los contenidos graficos, piezas comunicativa y de imagen institucional para la Subdirección de Gestión del riesgo._SGR</t>
  </si>
  <si>
    <t>Prestación de servicios profesionales en asuntos de comunicaciones y prensa para detectar las necesidades de la Entidad y facilitar la inserción de nuevas estrategias de comunicación</t>
  </si>
  <si>
    <t>Prestar servicios de apoyo a la gestión en asuntos de comunicaciones y prensa para realizar labores de diseño y diagramación de productos editoriales de la UAECOB</t>
  </si>
  <si>
    <t>Prestar servicios profesionales especializados en el desarrollo de las actividades estrategicas de la Dirección General de la UAE Cuerpo Oficial de Bomberos de Bogotá</t>
  </si>
  <si>
    <t>Prestar los servicios profesionales jurídicos para apoyar las actividades propias de la gestión contractual que adelanta la Oficina Jurídica</t>
  </si>
  <si>
    <t>Prestar los servicios profesionales jurídicos especializados en la Oficina Jurídica que garantice la verificación de la legalidad, en apoyo a cada una de las actuaciones a cargo de esta Oficina.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</si>
  <si>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</si>
  <si>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</si>
  <si>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</si>
  <si>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de apoyo para las gestiones administrativas requeridas en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</si>
  <si>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</si>
  <si>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</si>
  <si>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</si>
  <si>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SGH - Prestar servicios profesionales a la Subdirección de Gestión Humana para el fortalecimiento y seguimiento del proceso de la escuela de formación bomberil y su relacionamiento con el sistema de seguridad y salud en el trabajo</t>
  </si>
  <si>
    <t>SGH prestar servicios profesionales para acompañar a la Subdirección de Gestión Humana en el desarrollo de las actividades relacionadas con el seguimiento a la ejecución presupuestal en el marco de los procesos, procedimientos y contratos a cargo de la dependencia</t>
  </si>
  <si>
    <t>Prestar servicios profesionales en la Dirección General para apoyar las actividades de cooperación técnica Internacional, seguimientos estrategicos y articulación interinstitucional de conformidad a la misionalidad de la entidad.</t>
  </si>
  <si>
    <t>Prestar los servicios profesionales jurídicos especializados para orientar y apoyar los procesos de contratación en sus diferentes etapas adelantados por la Oficina Jurídica, tendientes a garantizar las necesidades propias de la UAECOB</t>
  </si>
  <si>
    <t>Contratar los seguros de casco aviación aeronaves no tri-puladas (drones)de propiedad y de aquellos por los cuales es legalmente responsable a Unidad Administrativa Especial del Cuerpo Oficial de Bomberos de Bogotá-SGC</t>
  </si>
  <si>
    <t>Prestar los servicios profesionales para el acompañamiento y seguimiento de los planes y proyectos del area de inventarios de la Subdireccion de Gestión Corporativa-SGC</t>
  </si>
  <si>
    <t>Prestar servicios profesionales para realizar acompañamiento juridico en la elaboración de los procesos contractuales adelantados por la Subdirección Gestión Corporativa -SGC</t>
  </si>
  <si>
    <t>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</si>
  <si>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</si>
  <si>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</si>
  <si>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47111502;
47111503;
73151802;
73152100;</t>
  </si>
  <si>
    <t>72151800;
72151502;
72151505;
73152108;</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</si>
  <si>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</si>
  <si>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</si>
  <si>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servicios profesionales especializados para acompañar jurídicamente los procesos y procedimientos del área de infraestructura de la Subdirección de Gestión Corporativa. SGC</t>
  </si>
  <si>
    <t>72101506;
72154010;</t>
  </si>
  <si>
    <t>81141503;
81141804;</t>
  </si>
  <si>
    <t>Prestación de servicios profesionales especializados para apoyar las actividades de seguimiento técnico del Área de Infraestructura de la Subdirección de Gestión Corporativa-SGC</t>
  </si>
  <si>
    <t>Prestación de servicios profesionales para apoyar las actividades jurídicas de la Subdirección de Gestión Corporativa-SGC</t>
  </si>
  <si>
    <t>Adición No 1. al contrato 244 de 2024 que tiene como objeto "Seleccionar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</si>
  <si>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Prestar servicios profesionales para realizar las actividdaes relacionadas con la emision de conceptos a cargo de la Subdirección de Gestión del Riesgo._SGR</t>
  </si>
  <si>
    <t>39121321;31162800;39121700; 31162300</t>
  </si>
  <si>
    <t>Prestación de servicios de apoyo a la gestión en el proceso de mantenimiento del equipo menor a cargo de la Subdirección Logística -SBLG.</t>
  </si>
  <si>
    <t xml:space="preserve">Prestación de servicios profesionales en la gestión contractual y administrativa de la subdirección Logística- SBLG, de acuerdo con los lineamientos internos de la UAECOB. </t>
  </si>
  <si>
    <t>Prestación de servicios profesionales para el control y seguimiento de las actividades derivadas de la gestión jurídica y contractual de la Subdirección Logística. SBLG.</t>
  </si>
  <si>
    <t>Prestar servicios de apoyo a la gestión en actividades administrativas y documentales que se desarrollen en la Subdirección Logística – SBLG.</t>
  </si>
  <si>
    <t xml:space="preserve">Prestación de servicios profesionales para apoyar la gestión financiera y presupuestal de los proyectos y planes a cargo de la Subdirección Logística - SBLG. </t>
  </si>
  <si>
    <t>Prestar servicios de apoyo a la gestión en asuntos administrativos y contractuales, seguimiento a plataforma SECOP II y archivo contractual de la Subdirección Logística -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</si>
  <si>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</si>
  <si>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definición y gestión de procedimientos, lineamientos ambientales y de SST de los procesos, así como del sistema de Gestión de Calidad en la Subdirección Logística  – SBGL</t>
  </si>
  <si>
    <t>Prestar servicios profesionales para la gestión del Plan Estratégico de Seguridad Vial (PESV), participación en el comité correspondiente y el desarrollo de programas y actividades asignadas a la Subdirección Logística SBLG.</t>
  </si>
  <si>
    <t>Prestación de servicios profesionales, para apoyar la política de Compras y Contratación Pública, en la elaboración, tramite e impulso de los procesos de contratación en sus diferentes etapas a cargo de la Subdirección Logística - SBLG.</t>
  </si>
  <si>
    <t xml:space="preserve">Prestar servicios profesionales para apoyar en los diferentes procesos de planeación,  administrativos e inventario de la Subdirección Logística – SBLG. </t>
  </si>
  <si>
    <t>Prestar  servicios de apoyo a la gestión en
actividades Técnicas, administrativas y documentales de la
Subdirección Logística - SBLG</t>
  </si>
  <si>
    <t>Prestar servicios de apoyo a la gestión de los suministros y consumibles realizando el seguimiento, control y trámites necesarios para la oportuna disponibilidad en la atención de emergencias  -SBLG.</t>
  </si>
  <si>
    <t>Prestación de servicio como conductor para apoyar en la gestión administrativa y logística de la Subdirección Logistica- SBLG.</t>
  </si>
  <si>
    <t>Prestación de servicios profesionales para la gestión, seguimiento y control administrativo, técnico y operativo del proceso de mantenimiento del parque automotor a cargo de la Subdirección Logística - SBLG.</t>
  </si>
  <si>
    <t>Prestación de servicios profesionales en el control legal de los procesos y acciones, especialmente la gestión contractual requerida por la Subdirección Logística - SBLG</t>
  </si>
  <si>
    <t>Prestar servicios profesionales para el seguimiento y control logístico en la cadena de suministros e insumos en la atención de emergencias garantizando la entrega de los bienes y servicios de la Subdirección Logística. SBLG</t>
  </si>
  <si>
    <t>Prestación de servicios profesionales para la gestión, seguimiento y control administrativo, técnico y operativo del equipo menor a cargo de la Subdirección Logística (SBLG).</t>
  </si>
  <si>
    <t>Prestación de servicios profesionales en la gestión, seguimiento y control administrativo, financiero y contractual del proceso de mantenimiento del parque automotor a cargo de la Subdirección Logística - SBLG.</t>
  </si>
  <si>
    <t>Prestar servicios de apoyo a la gestión para la organización, clasificación, foliación, digitalización e indexación de documentos de la Subdirección Logística - SBLG</t>
  </si>
  <si>
    <t>Prestación de servicios profesionales para la gestión administrativa de las herramientas tecnológicas de la Subdirección Logística asociados a la mesa logística - SBLG</t>
  </si>
  <si>
    <t xml:space="preserve">Prestar servicios de apoyo a la gestión para realizar seguimiento y control en el analisis de datos de los diferentes aplicativos tecnologicos de la Subdirección Logistica. SBLG </t>
  </si>
  <si>
    <t xml:space="preserve">Prestar servicios profesionales para acompañar en el diseño, implementación, reporte y monitoreo de los diferentes planes, programas, proyectos administrativos y financieros de la Subdirección Logística- SBLG </t>
  </si>
  <si>
    <t>Prestar servicios profesionales en la gestión, seguimiento y control administrativo, financiero y contractual la línea de insumos y suministros, para la operación durante las emergencias, eventos y capacitaciones  a cargo de la Subdirección Logística - SBLG.</t>
  </si>
  <si>
    <t>Prestar servicios de apoyo en la gestión documental, física y digital, administrando y diligenciando las bases de datos, y demás documentos a cargo de la Subdirección logística. -SBLG.</t>
  </si>
  <si>
    <t>Prestación de servicios profesionales en la proyección y seguimiento de las etapas precontractual, contractual y postcontractual que desarrolle la Subdirección Logística en el ámbito de su competencia.- SBLG</t>
  </si>
  <si>
    <t>Prestación de servicios profesionales para realizar el seguimiento y monitoreo a los diferentes procesos y procedimientos del equipo menor a cargo de la Subdirección Logística - SBLG</t>
  </si>
  <si>
    <t>Prestar servicios profesionales en las actividades administrativas y financieras que requieran los procesos de la Subdirección Logística- SBLG</t>
  </si>
  <si>
    <t>Prestar los servicios profesionales para la gestión, financiera de los proyectos y procesos de la Subdirección - SBLG.</t>
  </si>
  <si>
    <t xml:space="preserve">Prestar servicios profesionales para el seguimiento y gestión de las actividades establecidas en los planes de acción y estratégicos; así como, de los procesos de planeación y administrativos propios de Subdirección Logística - SBLG. </t>
  </si>
  <si>
    <t>Prestación de servicios profesionales técnicos y administrativos en el seguimiento y control en los diferentes procesos y procedimiemtos incluyendo el sistema de Gestión ambiental de la Subdirección Logística . -SBGL</t>
  </si>
  <si>
    <t xml:space="preserve">Prestación de servicios profesionales a la gestión administrativa, financiera y documental para la atención del cuerpo uniformado a cargo de la Subdirección - SBGL. </t>
  </si>
  <si>
    <t>Prestación de servicios profesionales para gestionar las solicitudes y requerimientos recibidos por las herramientas tecnológicas de la Subdirección Logística - SBLG</t>
  </si>
  <si>
    <t>Suministro de herramientas especializadas, equipos, accesorios y otros elementos de ferretería para garantizar la preparación y atención de emergencias de la U.A.E. Cuerpo Oficial de Bomberos de Bogotá – SBLG.</t>
  </si>
  <si>
    <t>Contratar servicio de integración, compatibilidad y puesta en funcionamiento de los dispositivos pistolas de toma físico de inventarios al sistema de control y registros inventarios de la U.A.E. Cuerpo Oficial de Bomberos de Bogotá - TIC"</t>
  </si>
  <si>
    <t>Contratar la adquisición de pantallas interactivas y televisores para el fortalecimiento de la infraestructura tecnológica para el desarrollo de la gestión misional y administrativa general de la UAE Cuerpo Oficial de Bomberos de Bogotá.</t>
  </si>
  <si>
    <t>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t>
  </si>
  <si>
    <t>Contratar la prestación del servicio de Intenet satelital para la U.A.E. Cuerpo Oficial de Bomberos de Bogotá - TIC</t>
  </si>
  <si>
    <t xml:space="preserve">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t>
  </si>
  <si>
    <t>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t>
  </si>
  <si>
    <t>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t>
  </si>
  <si>
    <t>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t>
  </si>
  <si>
    <t>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t>
  </si>
  <si>
    <t xml:space="preserve">Prestar los servicios profesionales en el área de Tecnologías de la Información y las Comunicaciones de la U.A.E. Cuerpo Oficial de Bomberos Bogotá, gestionando y administrando los sistemas de información y aplicativos tecnológicos, con los que cuenta la entidad. </t>
  </si>
  <si>
    <t>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t>
  </si>
  <si>
    <t>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t>
  </si>
  <si>
    <t>Prestar los servicios profesionales en la administración, actualización, desarrollo y mantenimiento del Sistema Integrado de Administración de Personal - SIAP para la U.A.E. Cuerpo Oficial de Bomberos Bogotá.</t>
  </si>
  <si>
    <t xml:space="preserve">Prestar los servicios profesionales en el área de Tecnologías de la Información y las Comunicaciones de la U.A.E. Cuerpo Oficial de Bomberos Bogotá, en la administración, seguimiento, monitoreo y gestión de los sitios web institucionales de la entidad. </t>
  </si>
  <si>
    <t>Prestar los servicios de apoyo a la gestión al área de Tecnologías de la Información y las Comunicaciones de la U.A.E. Cuerpo Oficial de Bomberos Bogotá, para el apoyo en la creación de productos audiovisuales y generación de contenidos digitales en la entidad.</t>
  </si>
  <si>
    <t>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t>
  </si>
  <si>
    <t>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t>
  </si>
  <si>
    <t>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t>
  </si>
  <si>
    <t>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t>
  </si>
  <si>
    <t>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t>
  </si>
  <si>
    <t>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t>
  </si>
  <si>
    <t>Prestar los servicios profesionales al área de Tecnologías de la Información y las Comunicaciones de la U.A.E. Cuerpo Oficial de Bomberos Bogotá, realizando las actividades propias del oficial de seguridad de la infraestructura tecnológica de la entidad.</t>
  </si>
  <si>
    <t>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t>
  </si>
  <si>
    <t>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t>
  </si>
  <si>
    <t>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t>
  </si>
  <si>
    <t>Prestar servicios asistenciales al área de Tecnologías de la Información y las Comunicaciones de la U.A.E. Cuerpo Oficial de Bomberos Bogotá, para la gestión y desarrollo de actividades administrativas en los procesos que adelanta el área.</t>
  </si>
  <si>
    <t xml:space="preserve">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t>
  </si>
  <si>
    <t xml:space="preserve">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t>
  </si>
  <si>
    <t>Prestar los servicios profesionales al área de Tecnologías de la Información y las Comunicaciones de la U.A.E. Cuerpo Oficial de Bomberos Bogotá, en la sustanciación, revisión y trámite de los procesos contractuales y gestión jurídica de los procedimientos a cargo del área.</t>
  </si>
  <si>
    <t xml:space="preserve">83121700; 83111600; 43221700; 25173100;  81112000; 32101600 </t>
  </si>
  <si>
    <t>Contratar la adquision, actualizacion tecnológica, soporte y mantenimiento preventivo y correctivo con repuestos, para los sistemas de video vigilancia de la U.A.E. Cuerpo Oficial de Bomberos de Bogotá - TIC.</t>
  </si>
  <si>
    <t>Contratar la adquisicion, modernizacion y mantenimiento preventivo y correctivo de UPS,  aires acondicionados con suministro de repuestos, para todas las sedes de la U.A.E. Cuerpo Oficial de Bomberos de Bogotá - TIC.</t>
  </si>
  <si>
    <t>72151500; 72101500; 731521000; 39121600; 39121000; 72151500; 72101500; 73152100.</t>
  </si>
  <si>
    <t xml:space="preserve">Contratar la adquisición de tarjetas de comunicación satelital de voz, para la U.A.E. Cuerpo Oficial de Bomberos de Bogotá. </t>
  </si>
  <si>
    <t>Contratar la adquisición de equipo, software e insumos para la generación de carnets, para la U.A.E. Cuerpo Oficial de Bomberos de Bogotá.</t>
  </si>
  <si>
    <t>Contratar la adquisición de antenas y servicio de internet satelital, para la U.A.E. Cuerpo Oficial de Bomberos de Bogotá.</t>
  </si>
  <si>
    <t>Contratar la adquisición de los equipos activos de red como parte de la renovación, de la infraestructura tecnológica de la U.A.E. Cuerpo Oficial de Bomberos de Bogotá.</t>
  </si>
  <si>
    <t>43201800; 43222600</t>
  </si>
  <si>
    <t>Contratar la renovación de garantía y soporte de fabrica de los equipos activos que hacen parte de la infraestructura tecnológica de la U.A.E. Cuerpo Oficial de Bomberos de Bogotá.</t>
  </si>
  <si>
    <t xml:space="preserve"> Contratar un sistema de control de ingreso perimetral, exterior e interior que hacen parte de la infraestructura de la U.A.E. Cuerpo Oficial de Bomberos de Bogotá.</t>
  </si>
  <si>
    <t>Adquisición de Radios, para las comunicaciones de la U.A.E. Cuerpo Oficial de Bomberos de Bogotá.</t>
  </si>
  <si>
    <t>Contratar el servicio de actualización de la página web de la U.A.E. Cuerpo Oficial de Bomberos de Bogotá.</t>
  </si>
  <si>
    <t>Prestar servicios profesionales para desarrollar e implementar sistemas de información, brindar soporte, mantenimiento y generar interoperabilidad con la Subdirección de Gestión Corporativa -SGC</t>
  </si>
  <si>
    <t>(Todas)</t>
  </si>
  <si>
    <t>Prestar los servicios profesionales jurídicos especializados para apoyar el desarrollo de las funciones de la Oficina Jurídica</t>
  </si>
  <si>
    <t>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t>
  </si>
  <si>
    <t>Prestar los servicios profesionales en la estructuración, sustanciación, revisión y trámite de los procesos de contratación y gestión jurídica en el marco de los procesos y procedimientos a cargo de la dirección de la U.A.E. Cuerpo Oficial de Bomberos
Bogotá D.C</t>
  </si>
  <si>
    <t>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t>
  </si>
  <si>
    <t>Adicion y prorroga a la orden de compra 121621, identificada con el numero de contrato 618-2023, cuyo objeto es  “Contratar el servicio de nube publica para la U.A.E Cuerpo Oficial de Bomberos de Bogotá - TIC”</t>
  </si>
  <si>
    <t>Actualización y renovación para ASMS( Aranda service manangment suite), soporte y mantenimiento del licenciamiento Software Aranda para la U.A.E. Cuerpo Oficial de Bomberos Bogota - TIC</t>
  </si>
  <si>
    <t xml:space="preserve">81112222
81111811
43231501
43231513 </t>
  </si>
  <si>
    <t>Contratar el servicio de atención para gestionar de manera integral las solicitudes, trámites y servicios de los usuarios externos relacionadas con la misionalidad de la UAE Cuerpo Oficial de Bomberos de Bogotá, en el marco de la eficiencia del servicio al ciudadano.</t>
  </si>
  <si>
    <t>83111600
83111507 
83111505</t>
  </si>
  <si>
    <t xml:space="preserve">Austeridad 5% en los proyectos que tengan
definidos productos de fortalecimiento institucional </t>
  </si>
  <si>
    <t>Prestar servicios profesionales en la Dirección General para el manejo de redes sociales, divulgación, socialización de información y apoyo periodístico, requerido en el marco de la estrategia de comunicaciones y prensa de la UAECOB.</t>
  </si>
  <si>
    <t>Prestar servicios profesionales para orientar las actividades relacionadas con la implementación del Sistema de Administración del Riesgo de Lavado de Activos y Financiación del Terrorismo (SARLAFT) en la Unidad Administrativa Especial Cuerpo Oficial de Bomberos de Bogotá.</t>
  </si>
  <si>
    <t>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t>
  </si>
  <si>
    <t>SGH - Prestar servicios de apoyo a la gestión para acompañar a la Subdirección de Gestión Humana para en la realización de las actividades referentes al Plan de Bienestar e Incentivos.</t>
  </si>
  <si>
    <t>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</si>
  <si>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SGH - Prestación de Servicios de apoyo a la gestión para acompañar a la Subdirección de Gestión Humana en la proyección y elaboración de actas técnicas de las sesiones de la comisión de personal y de los diferentes comités, en los que la dependencia ejerza la secretaria técnica</t>
  </si>
  <si>
    <t>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t>
  </si>
  <si>
    <t>Prestar servicios profesionales para ejercer las labores de secretaría común y actividades jurídicas que requieren las actuaciones disciplinarias en etapa de instrucción adelantadas por la Oficina de Control Disciplinario Interno.</t>
  </si>
  <si>
    <t>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t>
  </si>
  <si>
    <t>Prestar servicio de apoyo a la gestión para asistir a la Subdirección Logística en el seguimiento técnico y administrativo de los mantenimientos requeridos en la Subdirección Logística - SBLG</t>
  </si>
  <si>
    <t>Adición al contrato No. 352 - 2024 cuyo objeto es: “Prestar el servicio de mantenimiento preventivo y correctivo de los compresores BAUER propiedad de la U.A.E. cuerpo oficial de Bomberos de Bogotá, incluido el suministro de repuestos insumos y mano de obra especializada”.</t>
  </si>
  <si>
    <t>Prestación de servicios profesionales, para apoyar la estructuración y seguimiento de los asuntos contractuales y jurídicos que requiera la Subdirección Logística en el ámbito de su competencia.- SBLG</t>
  </si>
  <si>
    <t>Prestar servicios de apoyo en la gestión administrativa y documental de los procesos contractuales relacionados con el mantenimiento del parque automotor a cargo de la Subdirección Logística -SBLG.</t>
  </si>
  <si>
    <t>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t>
  </si>
  <si>
    <t>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</si>
  <si>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</si>
  <si>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Adquisición de insumos para la administración de emergencia_SGR</t>
  </si>
  <si>
    <t>Prestar servicio de apoyo en las actividades de identificación de escenarios a cargo de la Subdirección de Gestión del Riesgo._SGR</t>
  </si>
  <si>
    <t>Prestación de servicios profesionales para  apoyar los procesos contractuales de la Subdirección Operativa en todas sus etapas, seguimiento financiero y apoyo técnico con base en las necesidades propias de la dependencia S.O.</t>
  </si>
  <si>
    <t>Prestación de servicios profesionales para  apoyar los procesos contractuales de la Subdirección Operativa en todas sus etapas y apoyo técnico en los proyectos y procesos de la dependencia S.O.</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</si>
  <si>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</si>
  <si>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</si>
  <si>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Prestación de servicios profesionales, con autonomía técnica y administrativa para brindar  soporte jurídico a la Subdirección Operativa, en la proyección de solicitudes dirigidas a autoridades administrativas, en la sustanciación de respuestas a PQR´s   y a requerimientos que efectúen los entes de control y autoridades, en el marco de los procesos y procedimientos a cargo de la dependencia. S.O.</t>
  </si>
  <si>
    <t>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t>
  </si>
  <si>
    <t>Prestar los servicios profesionales para apoyar a la Subdirección Operativa en el fortalecimiento de los procesos de formación y capacitación al personal operativo y administrativo, en articulación con la academia y demás áreas de la entidad S.O.</t>
  </si>
  <si>
    <t>Prestación de servicios de apoyo a la gestión en las actividades documentales, administrativas y manejo de las herramientas de gestión que demanda la Subdirección Operativa S.O.</t>
  </si>
  <si>
    <t>Adquisición de elementos y accesorios para el grupo especializado UARBO de la UAECOB.</t>
  </si>
  <si>
    <t>Adquisición de elementos y accesorios para el grupo especializado BRAE de la UAECOB.</t>
  </si>
  <si>
    <t>49141503;49141504;
49141505;49141506;
49141507</t>
  </si>
  <si>
    <t>41102600;
11162108;
45121522</t>
  </si>
  <si>
    <t>Prestación de servicios para apoyar  la gestión administrativa y documental requerida a cargo de la Subdirección Operativa  S.O.</t>
  </si>
  <si>
    <t>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t>
  </si>
  <si>
    <t>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</si>
  <si>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</si>
  <si>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</si>
  <si>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</si>
  <si>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Adquisición de elementos de menaje para la sede comando de la UAECOB-SGC</t>
  </si>
  <si>
    <t xml:space="preserve">Suministro y mantenimiento de equipos de higienización, desodorización y aromatización para la sede admistratica de comando de la UAECOB </t>
  </si>
  <si>
    <t>Adquisición de banderas con astas para las 19 sedes UAECOB-SGC</t>
  </si>
  <si>
    <t>Suministros de parasoles, mesas y sillas para exteriores de las sedes UAECOB-SGC</t>
  </si>
  <si>
    <t>Adquisición de aviso de alto impacto visual para la recordación permanente del  edificio comando de la UAECOB-SGC</t>
  </si>
  <si>
    <t>48101800;
48101915;
24112601;
49121509;</t>
  </si>
  <si>
    <t>76101501;
47131829;</t>
  </si>
  <si>
    <t>55121715;</t>
  </si>
  <si>
    <t xml:space="preserve">	53131600;</t>
  </si>
  <si>
    <t>82121700;
82101500,;
82101600;
81161500;
13111203;
81112200;
55121700;</t>
  </si>
  <si>
    <t>Adición No. 1 al contrato 478 de 2024 que tiene como objeto "Mantenimiento preventivo y correctivo, que incluye el suministro de insumos y repuestos de las lavadoras y secadoras industriales ubicadas en las estaciones de bomberos de la UAE Cuerpo Oficial de Bomberos de Bogotá-SGC</t>
  </si>
  <si>
    <t>47111500;
47111502;
47111503;
73151802;
73152100;</t>
  </si>
  <si>
    <t>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t>
  </si>
  <si>
    <t>72102104; 76101503; 70111503; 72154055; 70111703; 70111706;</t>
  </si>
  <si>
    <t>Adición No. 6 y prórroga No. 7 al contrato 409 de 2021 que tiene como objeto "Prestar los servicios de Custodia, Consulta y Traslado Documental de Acuerdo a las especificaciones Técnicas y requisitos contemplados en la normatividad Archivística Vigente-SGC</t>
  </si>
  <si>
    <t>Prestar los servicios profesionales en las actividades asociadas a la política del Sistema de Gestión de la Seguridad y Salud en el Trabajo (SG-SST) que contribuyan para la adecuada prestación del servicio-SGC</t>
  </si>
  <si>
    <t>Prestar los servicios profesionales en el area de inventarios de la Subdireccion de Gestión Corporativa-SGC</t>
  </si>
  <si>
    <t>Prestar servicios de apoyo a la gestión en las actividades de monitoreo, seguimiento y reporte de información del Centro de Coordinación y Comunicaciones de la Subdirección Operativa.</t>
  </si>
  <si>
    <t>Versión No. 4 - PLAN DISTRITAL DE DESARROLLO "BOGOTÁ CAMINA SEGURA"</t>
  </si>
  <si>
    <t>Prestación de servicios profesionales en asuntos de comunicaciones y prensa para apoyar la conducción, presentación y divulgación de contenidos audiovisuales e informativos relacionados con la misionalidad de la UAECOB.</t>
  </si>
  <si>
    <t>Prestar servicios profesionales jurídicos en la Dirección General de la UAECOB en la revisión, gestión y seguimiento de temas de infraestructura, POT, plan maestro de equipamiento y procesos contractuales y estratégicos de la misionalidad de la Entidad</t>
  </si>
  <si>
    <t>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t>
  </si>
  <si>
    <t>SGH- Contratar la prestación del servicio de calibración de los alcohosensores y alcoholimetro que forman parte del inventario de la Entidad, asi como la certificación de las personas que van a realizar la toma de las muestras de alcoholimetria y alcohosensores de la Unidad Administrativa del Cuerpo Oficial de Bomberos.</t>
  </si>
  <si>
    <t>SGH - Prestar servicios profesionales en la Subdirección de Gestión Humana en los diferentes procesos y procedimientos propios de nómina de la Unidad Administrativa del Cuerpo oficial de Bomberos.</t>
  </si>
  <si>
    <t>SGH - Prestar los servicios de capacitación, formación y entrenamiento en cursos especializados  para el personal operativo de la UAE Cuerpo Oficial de Bomberos  de Bogotá en el marco del PIC</t>
  </si>
  <si>
    <t>SGH - Prestar los servicios de  capacitación, formación y entrenamiento para los cursos instructor de fuego nivel II  - Proboard y entrenamiento con fuego vivo - Proboard para el personal operativo de la UAE Cuerpo Oficial de Bomberos  de Bogotá en el marco del PIC</t>
  </si>
  <si>
    <t>SGH - Adquisición de elementos, herramientas y accesorios necesario para el desarrollo de entrenamiento rescate con cuerdas, rescate vehicular y rescate urbano   de la Academia UAE Cuerpo Oficial de Bomberos de Bogotá</t>
  </si>
  <si>
    <t>SGH - Adquisición de APH - DORSOS Y MANIQUIES para el desarrollo de entrenamiento y actividades de la Academia UAE Cuerpo Oficial de Bomberos de Bogotá</t>
  </si>
  <si>
    <t>SGH - Adquisición de elementos, herramientas y accesorios para  EQUIPAMIENTO DE MAQUINAS E INCENDIOS necesario para el desarrollo de entrenamiento de la Academia UAE Cuerpo Oficial de Bomberos de Bogotá</t>
  </si>
  <si>
    <t>SGH - Adquisición de los modulos y estructuras metalicas necesarias para la adecuacion del escenario de entrenamiento de Busqueda y Rescate USAR de la Academia de la UAE Cuerpo Oficial de Bomberos de Bogotá</t>
  </si>
  <si>
    <t>SGH -Contratar la realización de los exámenes Médicos Ocupacionales para el personal de la UAE Cuerpo Oficial de Bomberos de Bogotá</t>
  </si>
  <si>
    <t>SGH - Contratar la Prestación de Servicios para desarrollar el Plan de Bienestar de la UAE Cuerpo Oficial de Bomberos para la Vigencia 2025</t>
  </si>
  <si>
    <t>SGH - Adquirir elementos de protección personal para prevenir la aparición de enfermedades ocupacionales en el oido, del personal operativo de la UAE Cuerpo Oficial de Bomberos de Bogotá</t>
  </si>
  <si>
    <t>Mantenimiento preventivo y correctivo, adquisición de repuestos y el suministro e instalación de los equipos gasodomésticos y solares y adecuaciones de las redes de gas natural para las Estaciones de Bomberos de UAE Cuerpo Oficial de Bomberos SGC</t>
  </si>
  <si>
    <t>40102000;72121400;
72101500;72151700;
73152100;95121700;
40101800; 48101500;</t>
  </si>
  <si>
    <t>Mantenimiento preventivo y correctivo, adquisición de repuestos y el suministro e instalación de los equipos de gimnasio de las diferentes instalaciones a cargo de la UAE Cuerpo Oficial de Bomberos. -SGC</t>
  </si>
  <si>
    <t>49201500;
 49201600;
 72151800;</t>
  </si>
  <si>
    <t>Mantenimiento correctivo y/o preventivo, adquisición de repuestos y el suministro e instalación de los electrodomésticos de las instalaciones a cargo de la UAE Cuerpo Oficial de Bomberos Bogotá-SGC</t>
  </si>
  <si>
    <t>73152100;48101500;
52141500;52141500;
41103000;40101600;</t>
  </si>
  <si>
    <t>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</si>
  <si>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Adquisicion de las lavadoras industriales para las instalaciones de la UAE Cuerpo Oficial de Bomberos de Bogotá-SGC</t>
  </si>
  <si>
    <t>Adquisición de andamios, escaleras certificadas, y elementos de protección personal para la seguridad y salud en el trabajo en el desarrollo de actividades locativas de las estaciones y demás instalaciones de la UAECOB-SGC.</t>
  </si>
  <si>
    <t>30191502; 30191501; 46182307; 46182314; 49211805; 46182002; 46181900; 46182304;</t>
  </si>
  <si>
    <t>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t>
  </si>
  <si>
    <t>23101512, 23241629, 27111508,27111559, 46161707,46191605, 27111604, 46191603, 30191501, 46191614, 27111702, 46191620, 46201002, 41114408, 46191510, 46191511, 42171610, 46161715, 42171612, 27112813, 27112120, 30102409, 26121634, 41113630, 25173107, 25173108, 52161518, 46181504, 46181537, 41114501, 46161714, 46191609</t>
  </si>
  <si>
    <t>23101512, 23241629, 27111508, 27111559, 46161707,46191605, 46191609, 27111604, 46191603, 30191501, 46191614, 27111702
46191620, 46201002, 41114408, 46191510, 46191511, 42171610, 46161715, 42171612, 27112813, 27112120, 30102409, 26121634
41113630, 25173107, 25173108, 52161518, 46181504, 46181537, 41114501, 46161714</t>
  </si>
  <si>
    <t>Pago de pasivo exigible UAECOB-contrato No. 125 de 2022</t>
  </si>
  <si>
    <t>Prestar servicios de apoyo a la gestión en las actividades de soporte operacional de la UAECOB Subdirección Logística. SBLG</t>
  </si>
  <si>
    <t>Prestar los servicios de apoyo tecnologicos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t>
  </si>
  <si>
    <t>pago pasivo exigible de "Adición y Prorroga cto 495 de 2022 cuyo objeto es Prestar servicios profesionales para las actividades misionales de la Subdirección de Gestión del Riesgo._SGR"</t>
  </si>
  <si>
    <t>Adicion y Prorroga del cto 333 2024 , cuyo objeto es  "Contratar el servicio de revision técnico mecánica y de emision de gases contaminantes para los vehiculos que forman parte del parque automotor de la Unidad Administrativa Especial Cuerpo Oficial de Bomberos de Bogotá - UAECOB-SBLG"</t>
  </si>
  <si>
    <t xml:space="preserve">Prestar servicios de apoyo en asuntos administrativos, financieros, documentales y emisión de informes a cargo de la Subdireccion Logística-SBLG.  </t>
  </si>
  <si>
    <t>Adicion y prorroga al contato 398 de 2024 que tiene como objeto  "Prestar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</si>
  <si>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servicios profesionales en materia administrativa,optimizando los procesos de la dependencia a través de la gestión de herramientas tecnológicas y documentales con las que se cuenten a la Subdirección Logística – SBLG.</t>
  </si>
  <si>
    <t>Construcción y adecuación de la estación de bomberos de Caobos Salazar B-13 de la UAE Cuerpo Oficial de Bomberos de Bogotá – SGC</t>
  </si>
  <si>
    <t>Interventoría técnica, administrativa, financiera, contable, jurídica y ambiental para Construcción y adecuación de la estación de bomberos de Caobos Salazar B-13 de la UAE Cuerpo Oficial de Bomberos de Bogotá – SGC</t>
  </si>
  <si>
    <t>Adición No. 1 y Prorroga No 2 del CTO 357 de 2024 - Realizar el mantenimiento predictivo, preventivo, correctivo, mejoras y dotación a las instalaciones de las dependencias de la Unidad Administrativa Especial Cuerpo Oficial de Bomberos de Bogotá D.C. - SGC</t>
  </si>
  <si>
    <t>Adición No. 1 y prorroga No. 3 al contrato 779 de 2024 que tiene como objeto “Adquisición de mobiliario para la dotación de las instalaciones de la UAE cuerpo oficial de bomberos Bogotá- SGC."</t>
  </si>
  <si>
    <t>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t>
  </si>
  <si>
    <t>56101500;
56101700;
56101900;
56111500</t>
  </si>
  <si>
    <t>40102000;
72121400;
72101500;
72151700;
73152100
;95121700;
40101800; 48101500;</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</si>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</sst>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19" x14ac:knownFonts="1">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
      <b/>
      <sz val="11"/>
      <color rgb="FFFF0000"/>
      <name val="Tahoma"/>
      <family val="2"/>
    </font>
    <font>
      <sz val="11"/>
      <name val="Tahoma"/>
      <family val="2"/>
    </font>
  </fonts>
  <fills count="10">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rgb="FF66FF66"/>
        <bgColor indexed="64"/>
      </patternFill>
    </fill>
    <fill>
      <patternFill patternType="solid">
        <fgColor theme="0" tint="-0.14999847407452621"/>
        <bgColor indexed="64"/>
      </patternFill>
    </fill>
    <fill>
      <patternFill patternType="solid">
        <fgColor theme="8"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243">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165" fontId="3" fillId="0" borderId="3"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165" fontId="0" fillId="0" borderId="0" xfId="2" applyNumberFormat="1" applyFont="1"/>
    <xf numFmtId="0" fontId="0" fillId="0" borderId="1" xfId="0" pivotButton="1" applyBorder="1"/>
    <xf numFmtId="0" fontId="0" fillId="0" borderId="1" xfId="0" pivotButton="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165" fontId="0" fillId="0" borderId="1" xfId="0" applyNumberFormat="1" applyBorder="1"/>
    <xf numFmtId="165" fontId="0" fillId="0" borderId="1" xfId="0" applyNumberFormat="1" applyBorder="1" applyAlignment="1">
      <alignment vertical="center"/>
    </xf>
    <xf numFmtId="43" fontId="4" fillId="0" borderId="0" xfId="2" applyFont="1" applyAlignment="1" applyProtection="1">
      <alignment vertical="center" wrapText="1"/>
      <protection locked="0"/>
    </xf>
    <xf numFmtId="43" fontId="5" fillId="0" borderId="0" xfId="2" applyFont="1" applyAlignment="1" applyProtection="1">
      <alignment vertical="center"/>
      <protection locked="0"/>
    </xf>
    <xf numFmtId="43" fontId="4" fillId="0" borderId="0" xfId="2" applyFont="1" applyAlignment="1" applyProtection="1">
      <alignment horizontal="center" vertical="center" wrapText="1"/>
      <protection locked="0"/>
    </xf>
    <xf numFmtId="43" fontId="3" fillId="0" borderId="0" xfId="2" applyFont="1" applyAlignment="1" applyProtection="1">
      <alignment horizontal="right" vertical="center" wrapText="1"/>
      <protection locked="0"/>
    </xf>
    <xf numFmtId="43" fontId="0" fillId="0" borderId="0" xfId="2" applyFont="1" applyAlignment="1">
      <alignment horizontal="left" vertical="center"/>
    </xf>
    <xf numFmtId="43" fontId="0" fillId="4" borderId="1" xfId="0" applyNumberFormat="1" applyFill="1" applyBorder="1" applyAlignment="1">
      <alignment horizontal="center" vertical="center" wrapText="1"/>
    </xf>
    <xf numFmtId="43" fontId="0" fillId="0" borderId="1" xfId="0" applyNumberFormat="1" applyBorder="1"/>
    <xf numFmtId="43" fontId="0" fillId="4" borderId="1" xfId="0" applyNumberFormat="1" applyFill="1" applyBorder="1"/>
    <xf numFmtId="165" fontId="0" fillId="0" borderId="0" xfId="2" applyNumberFormat="1" applyFont="1" applyAlignment="1">
      <alignment horizontal="center"/>
    </xf>
    <xf numFmtId="0" fontId="0" fillId="4" borderId="1" xfId="0" applyFill="1" applyBorder="1" applyAlignment="1">
      <alignment horizontal="center"/>
    </xf>
    <xf numFmtId="43" fontId="3" fillId="0" borderId="0" xfId="0" applyNumberFormat="1" applyFont="1" applyAlignment="1" applyProtection="1">
      <alignment vertical="center" wrapText="1"/>
      <protection locked="0"/>
    </xf>
    <xf numFmtId="43" fontId="14" fillId="0" borderId="0" xfId="2" applyFont="1" applyFill="1" applyAlignment="1">
      <alignment vertical="center"/>
    </xf>
    <xf numFmtId="165" fontId="13" fillId="0" borderId="0" xfId="0" applyNumberFormat="1" applyFont="1" applyAlignment="1">
      <alignment horizontal="center" vertical="center"/>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165" fontId="15" fillId="0" borderId="1" xfId="2" applyNumberFormat="1" applyFont="1" applyFill="1" applyBorder="1" applyAlignment="1" applyProtection="1">
      <alignment horizontal="center" vertical="center" wrapText="1"/>
      <protection locked="0"/>
    </xf>
    <xf numFmtId="0" fontId="18" fillId="0" borderId="1" xfId="2" applyNumberFormat="1" applyFont="1" applyFill="1" applyBorder="1" applyAlignment="1" applyProtection="1">
      <alignment horizontal="center" vertical="center" wrapText="1"/>
      <protection locked="0"/>
    </xf>
    <xf numFmtId="1" fontId="18" fillId="0" borderId="1" xfId="2" applyNumberFormat="1" applyFont="1" applyFill="1" applyBorder="1" applyAlignment="1" applyProtection="1">
      <alignment horizontal="center" vertical="center"/>
      <protection locked="0"/>
    </xf>
    <xf numFmtId="165" fontId="18"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7" fillId="0" borderId="5" xfId="0" applyFont="1" applyBorder="1" applyAlignment="1" applyProtection="1">
      <alignment horizontal="center" vertical="center" wrapText="1"/>
      <protection locked="0"/>
    </xf>
    <xf numFmtId="0" fontId="4" fillId="0" borderId="9" xfId="5"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165" fontId="4" fillId="0" borderId="0" xfId="2" applyNumberFormat="1" applyFont="1" applyAlignment="1" applyProtection="1">
      <alignment vertical="center" wrapText="1"/>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center" vertical="center" wrapText="1"/>
      <protection locked="0"/>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1" fontId="3" fillId="0" borderId="1" xfId="1" applyNumberFormat="1" applyFont="1" applyFill="1" applyBorder="1" applyAlignment="1" applyProtection="1">
      <alignment horizontal="center" vertical="center" wrapText="1"/>
      <protection locked="0"/>
    </xf>
    <xf numFmtId="1" fontId="3" fillId="0" borderId="3" xfId="4" applyNumberFormat="1" applyFont="1" applyFill="1" applyBorder="1" applyAlignment="1" applyProtection="1">
      <alignment horizontal="center" vertical="center" wrapText="1"/>
      <protection locked="0"/>
    </xf>
    <xf numFmtId="165" fontId="14" fillId="0" borderId="1" xfId="2"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protection locked="0"/>
    </xf>
    <xf numFmtId="0" fontId="14" fillId="0" borderId="7" xfId="2" applyNumberFormat="1" applyFont="1" applyFill="1" applyBorder="1" applyAlignment="1" applyProtection="1">
      <alignment horizontal="center" vertical="center" wrapText="1"/>
      <protection locked="0"/>
    </xf>
    <xf numFmtId="43" fontId="3" fillId="0" borderId="1" xfId="2" applyFont="1" applyFill="1" applyBorder="1" applyAlignment="1" applyProtection="1">
      <alignment horizontal="center" vertical="center" wrapText="1"/>
      <protection locked="0"/>
    </xf>
    <xf numFmtId="43" fontId="14" fillId="0" borderId="1" xfId="2" applyFont="1" applyFill="1" applyBorder="1" applyAlignment="1" applyProtection="1">
      <alignment horizontal="center" vertical="center" wrapText="1"/>
      <protection locked="0"/>
    </xf>
    <xf numFmtId="43" fontId="18" fillId="0" borderId="1" xfId="2" applyFont="1" applyFill="1" applyBorder="1" applyAlignment="1" applyProtection="1">
      <alignment horizontal="center" vertical="center" wrapText="1"/>
      <protection locked="0"/>
    </xf>
    <xf numFmtId="43" fontId="3" fillId="0" borderId="3" xfId="2" applyFont="1" applyFill="1" applyBorder="1" applyAlignment="1" applyProtection="1">
      <alignment horizontal="center" vertical="center" wrapText="1"/>
      <protection locked="0"/>
    </xf>
    <xf numFmtId="43" fontId="15" fillId="0" borderId="0" xfId="0" applyNumberFormat="1" applyFont="1" applyAlignment="1" applyProtection="1">
      <alignment vertical="center" wrapText="1"/>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15" fillId="0" borderId="1" xfId="5" applyFont="1" applyBorder="1" applyAlignment="1" applyProtection="1">
      <alignment horizontal="center" vertical="center" wrapText="1"/>
      <protection locked="0"/>
    </xf>
    <xf numFmtId="0" fontId="3" fillId="0" borderId="6"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2"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5" applyFont="1" applyBorder="1" applyAlignment="1" applyProtection="1">
      <alignment horizontal="center" vertical="center" wrapText="1"/>
      <protection locked="0"/>
    </xf>
    <xf numFmtId="1" fontId="14" fillId="0" borderId="1" xfId="4" applyNumberFormat="1" applyFont="1" applyFill="1" applyBorder="1" applyAlignment="1" applyProtection="1">
      <alignment horizontal="center" vertical="center" wrapText="1"/>
      <protection locked="0"/>
    </xf>
    <xf numFmtId="0" fontId="14" fillId="0" borderId="1" xfId="5" applyFont="1" applyBorder="1" applyAlignment="1">
      <alignment horizontal="center" vertical="center" wrapText="1"/>
    </xf>
    <xf numFmtId="0" fontId="14" fillId="0" borderId="6" xfId="5" applyFont="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 xfId="5" applyFont="1" applyBorder="1" applyAlignment="1" applyProtection="1">
      <alignment horizontal="center" vertical="center" wrapText="1"/>
      <protection locked="0"/>
    </xf>
    <xf numFmtId="1" fontId="18" fillId="0" borderId="1" xfId="0" applyNumberFormat="1" applyFont="1" applyBorder="1" applyAlignment="1" applyProtection="1">
      <alignment horizontal="center" vertical="center" wrapText="1"/>
      <protection locked="0"/>
    </xf>
    <xf numFmtId="0" fontId="18" fillId="0" borderId="1" xfId="5" applyFont="1" applyBorder="1" applyAlignment="1">
      <alignment horizontal="center" vertical="center" wrapText="1"/>
    </xf>
    <xf numFmtId="0" fontId="18" fillId="0" borderId="6" xfId="5" applyFont="1" applyBorder="1" applyAlignment="1" applyProtection="1">
      <alignment horizontal="center" vertical="center" wrapText="1"/>
      <protection locked="0"/>
    </xf>
    <xf numFmtId="0" fontId="15" fillId="0" borderId="1" xfId="5"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3" xfId="0" applyFont="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15" fillId="0" borderId="3" xfId="5" applyFont="1" applyBorder="1" applyAlignment="1" applyProtection="1">
      <alignment horizontal="center" vertical="center" wrapText="1"/>
      <protection locked="0"/>
    </xf>
    <xf numFmtId="0" fontId="3" fillId="0" borderId="11" xfId="5" applyFont="1" applyBorder="1" applyAlignment="1" applyProtection="1">
      <alignment horizontal="center" vertical="center" wrapText="1"/>
      <protection locked="0"/>
    </xf>
    <xf numFmtId="0" fontId="15" fillId="5" borderId="1" xfId="5" applyFont="1" applyFill="1" applyBorder="1" applyAlignment="1" applyProtection="1">
      <alignment horizontal="center" vertical="center" wrapText="1"/>
      <protection locked="0"/>
    </xf>
    <xf numFmtId="0" fontId="3" fillId="6" borderId="7" xfId="2" applyNumberFormat="1" applyFont="1" applyFill="1" applyBorder="1" applyAlignment="1" applyProtection="1">
      <alignment horizontal="center" vertical="center" wrapText="1"/>
      <protection locked="0"/>
    </xf>
    <xf numFmtId="0" fontId="3" fillId="6" borderId="1" xfId="2"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1" xfId="5" applyFont="1" applyFill="1" applyBorder="1" applyAlignment="1" applyProtection="1">
      <alignment horizontal="center" vertical="center" wrapText="1"/>
      <protection locked="0"/>
    </xf>
    <xf numFmtId="1" fontId="3" fillId="6" borderId="1" xfId="4" applyNumberFormat="1" applyFont="1" applyFill="1" applyBorder="1" applyAlignment="1" applyProtection="1">
      <alignment horizontal="center" vertical="center" wrapText="1"/>
      <protection locked="0"/>
    </xf>
    <xf numFmtId="1" fontId="3" fillId="6" borderId="1" xfId="0" applyNumberFormat="1" applyFont="1" applyFill="1" applyBorder="1" applyAlignment="1" applyProtection="1">
      <alignment horizontal="center" vertical="center" wrapText="1"/>
      <protection locked="0"/>
    </xf>
    <xf numFmtId="1" fontId="3" fillId="6" borderId="1" xfId="2" applyNumberFormat="1" applyFont="1" applyFill="1" applyBorder="1" applyAlignment="1" applyProtection="1">
      <alignment horizontal="center" vertical="center"/>
      <protection locked="0"/>
    </xf>
    <xf numFmtId="43" fontId="3" fillId="6" borderId="1" xfId="2" applyFont="1" applyFill="1" applyBorder="1" applyAlignment="1" applyProtection="1">
      <alignment horizontal="center" vertical="center" wrapText="1"/>
      <protection locked="0"/>
    </xf>
    <xf numFmtId="165" fontId="3" fillId="6" borderId="1" xfId="2" applyNumberFormat="1" applyFont="1" applyFill="1" applyBorder="1" applyAlignment="1" applyProtection="1">
      <alignment horizontal="center" vertical="center" wrapText="1"/>
      <protection locked="0"/>
    </xf>
    <xf numFmtId="0" fontId="3" fillId="6" borderId="1" xfId="5" applyFont="1" applyFill="1" applyBorder="1" applyAlignment="1">
      <alignment horizontal="center" vertical="center" wrapText="1"/>
    </xf>
    <xf numFmtId="0" fontId="3" fillId="6" borderId="6" xfId="5" applyFont="1" applyFill="1" applyBorder="1" applyAlignment="1" applyProtection="1">
      <alignment horizontal="center" vertical="center" wrapText="1"/>
      <protection locked="0"/>
    </xf>
    <xf numFmtId="0" fontId="14" fillId="6" borderId="7" xfId="2" applyNumberFormat="1" applyFont="1" applyFill="1" applyBorder="1" applyAlignment="1" applyProtection="1">
      <alignment horizontal="center" vertical="center" wrapText="1"/>
      <protection locked="0"/>
    </xf>
    <xf numFmtId="0" fontId="14" fillId="6" borderId="1" xfId="2" applyNumberFormat="1"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14" fillId="6" borderId="1" xfId="5" applyFont="1" applyFill="1" applyBorder="1" applyAlignment="1" applyProtection="1">
      <alignment horizontal="center" vertical="center" wrapText="1"/>
      <protection locked="0"/>
    </xf>
    <xf numFmtId="1" fontId="14" fillId="6" borderId="1" xfId="4" applyNumberFormat="1" applyFont="1" applyFill="1" applyBorder="1" applyAlignment="1" applyProtection="1">
      <alignment horizontal="center" vertical="center" wrapText="1"/>
      <protection locked="0"/>
    </xf>
    <xf numFmtId="1" fontId="14" fillId="6" borderId="1" xfId="0" applyNumberFormat="1" applyFont="1" applyFill="1" applyBorder="1" applyAlignment="1" applyProtection="1">
      <alignment horizontal="center" vertical="center" wrapText="1"/>
      <protection locked="0"/>
    </xf>
    <xf numFmtId="1" fontId="14" fillId="6" borderId="1" xfId="2" applyNumberFormat="1" applyFont="1" applyFill="1" applyBorder="1" applyAlignment="1" applyProtection="1">
      <alignment horizontal="center" vertical="center"/>
      <protection locked="0"/>
    </xf>
    <xf numFmtId="43" fontId="14" fillId="6" borderId="1" xfId="2" applyFont="1" applyFill="1" applyBorder="1" applyAlignment="1" applyProtection="1">
      <alignment horizontal="center" vertical="center" wrapText="1"/>
      <protection locked="0"/>
    </xf>
    <xf numFmtId="165" fontId="14" fillId="6" borderId="1" xfId="2" applyNumberFormat="1" applyFont="1" applyFill="1" applyBorder="1" applyAlignment="1" applyProtection="1">
      <alignment horizontal="center" vertical="center" wrapText="1"/>
      <protection locked="0"/>
    </xf>
    <xf numFmtId="0" fontId="14" fillId="6" borderId="1" xfId="5" applyFont="1" applyFill="1" applyBorder="1" applyAlignment="1">
      <alignment horizontal="center" vertical="center" wrapText="1"/>
    </xf>
    <xf numFmtId="0" fontId="14" fillId="6" borderId="6" xfId="5" applyFont="1" applyFill="1" applyBorder="1" applyAlignment="1" applyProtection="1">
      <alignment horizontal="center" vertical="center" wrapText="1"/>
      <protection locked="0"/>
    </xf>
    <xf numFmtId="0" fontId="15" fillId="6" borderId="1" xfId="5" applyFont="1" applyFill="1" applyBorder="1" applyAlignment="1" applyProtection="1">
      <alignment horizontal="center" vertical="center" wrapText="1"/>
      <protection locked="0"/>
    </xf>
    <xf numFmtId="0" fontId="15" fillId="7" borderId="1" xfId="5" applyFont="1" applyFill="1" applyBorder="1" applyAlignment="1" applyProtection="1">
      <alignment horizontal="center" vertical="center" wrapText="1"/>
      <protection locked="0"/>
    </xf>
    <xf numFmtId="0" fontId="15" fillId="8" borderId="1" xfId="5" applyFont="1" applyFill="1" applyBorder="1" applyAlignment="1" applyProtection="1">
      <alignment horizontal="center" vertical="center" wrapText="1"/>
      <protection locked="0"/>
    </xf>
    <xf numFmtId="0" fontId="15" fillId="9" borderId="1" xfId="5" applyFont="1" applyFill="1" applyBorder="1" applyAlignment="1" applyProtection="1">
      <alignment horizontal="center" vertical="center" wrapText="1"/>
      <protection locked="0"/>
    </xf>
    <xf numFmtId="0" fontId="18" fillId="6" borderId="1" xfId="2" applyNumberFormat="1" applyFont="1" applyFill="1" applyBorder="1" applyAlignment="1" applyProtection="1">
      <alignment horizontal="center" vertical="center" wrapText="1"/>
      <protection locked="0"/>
    </xf>
    <xf numFmtId="0" fontId="18" fillId="6" borderId="1" xfId="0" applyFont="1" applyFill="1" applyBorder="1" applyAlignment="1" applyProtection="1">
      <alignment horizontal="center" vertical="center" wrapText="1"/>
      <protection locked="0"/>
    </xf>
    <xf numFmtId="0" fontId="18" fillId="6" borderId="1" xfId="5" applyFont="1" applyFill="1" applyBorder="1" applyAlignment="1" applyProtection="1">
      <alignment horizontal="center" vertical="center" wrapText="1"/>
      <protection locked="0"/>
    </xf>
    <xf numFmtId="1" fontId="18" fillId="6" borderId="1" xfId="0" applyNumberFormat="1" applyFont="1" applyFill="1" applyBorder="1" applyAlignment="1" applyProtection="1">
      <alignment horizontal="center" vertical="center" wrapText="1"/>
      <protection locked="0"/>
    </xf>
    <xf numFmtId="1" fontId="18" fillId="6" borderId="1" xfId="2" applyNumberFormat="1" applyFont="1" applyFill="1" applyBorder="1" applyAlignment="1" applyProtection="1">
      <alignment horizontal="center" vertical="center"/>
      <protection locked="0"/>
    </xf>
    <xf numFmtId="43" fontId="18" fillId="6" borderId="1" xfId="2" applyFont="1" applyFill="1" applyBorder="1" applyAlignment="1" applyProtection="1">
      <alignment horizontal="center" vertical="center" wrapText="1"/>
      <protection locked="0"/>
    </xf>
    <xf numFmtId="165" fontId="18" fillId="6" borderId="1" xfId="2" applyNumberFormat="1" applyFont="1" applyFill="1" applyBorder="1" applyAlignment="1" applyProtection="1">
      <alignment horizontal="center" vertical="center" wrapText="1"/>
      <protection locked="0"/>
    </xf>
    <xf numFmtId="0" fontId="18" fillId="6" borderId="1" xfId="5" applyFont="1" applyFill="1" applyBorder="1" applyAlignment="1">
      <alignment horizontal="center" vertical="center" wrapText="1"/>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0" fillId="0" borderId="1" xfId="0" applyBorder="1" applyAlignment="1">
      <alignment horizontal="center"/>
    </xf>
    <xf numFmtId="0" fontId="7" fillId="0" borderId="1"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xf numFmtId="0" fontId="0" fillId="0" borderId="1" xfId="0" applyBorder="1" applyAlignment="1">
      <alignment horizontal="left"/>
    </xf>
    <xf numFmtId="0" fontId="7" fillId="0" borderId="2" xfId="0" applyFont="1" applyBorder="1" applyAlignment="1">
      <alignment horizontal="center"/>
    </xf>
    <xf numFmtId="43" fontId="8" fillId="0" borderId="0" xfId="2" applyFont="1" applyAlignment="1">
      <alignment horizontal="center"/>
    </xf>
    <xf numFmtId="43" fontId="7" fillId="0" borderId="1" xfId="2" applyFont="1" applyBorder="1" applyAlignment="1">
      <alignment horizontal="center"/>
    </xf>
  </cellXfs>
  <cellStyles count="7">
    <cellStyle name="Currency" xfId="1" xr:uid="{00000000-0005-0000-0000-000000000000}"/>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174">
    <dxf>
      <fill>
        <patternFill patternType="solid">
          <fgColor rgb="FFF4B084"/>
          <bgColor rgb="FF000000"/>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
      <alignment horizontal="center"/>
    </dxf>
    <dxf>
      <alignment horizontal="center"/>
    </dxf>
    <dxf>
      <numFmt numFmtId="35" formatCode="_-* #,##0.00_-;\-* #,##0.00_-;_-* &quot;-&quot;??_-;_-@_-"/>
    </dxf>
    <dxf>
      <numFmt numFmtId="35" formatCode="_-* #,##0.00_-;\-* #,##0.00_-;_-* &quot;-&quot;??_-;_-@_-"/>
    </dxf>
    <dxf>
      <fill>
        <patternFill patternType="solid">
          <fgColor indexed="64"/>
          <bgColor theme="5" tint="0.59999389629810485"/>
        </patternFill>
      </fill>
      <alignment horizontal="center" vertical="center" wrapText="1"/>
    </dxf>
    <dxf>
      <fill>
        <patternFill patternType="solid">
          <fgColor indexed="64"/>
          <bgColor theme="5" tint="0.59999389629810485"/>
        </patternFill>
      </fill>
      <alignment horizontal="center" vertical="center" wrapText="1"/>
    </dxf>
    <dxf>
      <numFmt numFmtId="165" formatCode="_-* #,##0_-;\-* #,##0_-;_-* &quot;-&quot;??_-;_-@_-"/>
      <fill>
        <patternFill>
          <fgColor indexed="64"/>
          <bgColor theme="5" tint="0.59999389629810485"/>
        </patternFill>
      </fill>
    </dxf>
    <dxf>
      <numFmt numFmtId="165" formatCode="_-* #,##0_-;\-* #,##0_-;_-* &quot;-&quot;??_-;_-@_-"/>
    </dxf>
    <dxf>
      <numFmt numFmtId="165" formatCode="_-* #,##0_-;\-* #,##0_-;_-* &quot;-&quot;??_-;_-@_-"/>
    </dxf>
    <dxf>
      <fill>
        <patternFill patternType="solid">
          <bgColor theme="5" tint="0.59999389629810485"/>
        </patternFill>
      </fill>
    </dxf>
    <dxf>
      <fill>
        <patternFill patternType="solid">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bgColor theme="5" tint="0.59999389629810485"/>
        </patternFill>
      </fill>
    </dxf>
    <dxf>
      <fill>
        <patternFill patternType="solid">
          <fgColor indexed="64"/>
          <bgColor theme="7" tint="0.59999389629810485"/>
        </patternFill>
      </fill>
      <alignment horizontal="center" vertical="center" wrapText="1"/>
    </dxf>
    <dxf>
      <numFmt numFmtId="165" formatCode="_-* #,##0_-;\-* #,##0_-;_-* &quot;-&quot;??_-;_-@_-"/>
    </dxf>
    <dxf>
      <alignment wrapText="1"/>
    </dxf>
    <dxf>
      <alignment wrapText="1"/>
    </dxf>
    <dxf>
      <alignment wrapText="1"/>
    </dxf>
    <dxf>
      <alignment wrapText="1"/>
    </dxf>
    <dxf>
      <alignment wrapText="1"/>
    </dxf>
    <dxf>
      <alignment wrapText="1"/>
    </dxf>
    <dxf>
      <alignment wrapText="1"/>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bgColor theme="7" tint="0.5999938962981048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numFmt numFmtId="165" formatCode="_-* #,##0_-;\-* #,##0_-;_-*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 #,##0_-;_-* &quot;-&quot;??_-;_-@_-"/>
    </dxf>
    <dxf>
      <numFmt numFmtId="165" formatCode="_-* #,##0_-;\-* #,##0_-;_-* &quot;-&quot;??_-;_-@_-"/>
    </dxf>
    <dxf>
      <numFmt numFmtId="165" formatCode="_-* #,##0_-;\-* #,##0_-;_-* &quot;-&quot;??_-;_-@_-"/>
    </dxf>
    <dxf>
      <alignment wrapText="1"/>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66FF66"/>
      <color rgb="FF00FF00"/>
      <color rgb="FFCCFF99"/>
      <color rgb="FF00FFFF"/>
      <color rgb="FF66FFCC"/>
      <color rgb="FF99CCFF"/>
      <color rgb="FFFFFF99"/>
      <color rgb="FFFF8181"/>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34925</xdr:rowOff>
    </xdr:from>
    <xdr:to>
      <xdr:col>2</xdr:col>
      <xdr:colOff>1832430</xdr:colOff>
      <xdr:row>7</xdr:row>
      <xdr:rowOff>48629</xdr:rowOff>
    </xdr:to>
    <xdr:pic>
      <xdr:nvPicPr>
        <xdr:cNvPr id="1241" name="Imagen 12">
          <a:extLst>
            <a:ext uri="{FF2B5EF4-FFF2-40B4-BE49-F238E27FC236}">
              <a16:creationId xmlns:a16="http://schemas.microsoft.com/office/drawing/2014/main" id="{277E74E1-49CF-96C1-5BB6-15812E0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662215" y="216354"/>
          <a:ext cx="2993572" cy="1247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OneDrive%20-%20Bomberos%20Bogota\Escritorio\1.%20contrato%20124%20de%202024%20-%20UAECOB\5.%20armonizacion%20pptal%202024%20UAECOB\Anexo%202%20Proyectos%20y%20Conceptos%20de%20Gasto_vf_0805%20Circular%20SDH%200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bastianayala/Library/Containers/com.microsoft.Excel/Data/Documents/C:/Users/asus/Downloads/27132024122613515153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Intrucciones"/>
      <sheetName val="PROYECTOS DE INVERSION"/>
      <sheetName val=" Homologos FUT y CUIPO"/>
      <sheetName val="MGA"/>
      <sheetName val="TD"/>
      <sheetName val="Homologaciones"/>
      <sheetName val="Anexo 2 Proyectos y Conceptos d"/>
    </sheetNames>
    <sheetDataSet>
      <sheetData sheetId="0"/>
      <sheetData sheetId="1"/>
      <sheetData sheetId="2"/>
      <sheetData sheetId="3"/>
      <sheetData sheetId="4">
        <row r="7990">
          <cell r="A7990" t="str">
            <v>0401</v>
          </cell>
        </row>
        <row r="7991">
          <cell r="A7991" t="str">
            <v>0406</v>
          </cell>
        </row>
        <row r="7992">
          <cell r="A7992" t="str">
            <v>0499</v>
          </cell>
        </row>
        <row r="7993">
          <cell r="A7993" t="str">
            <v>1201</v>
          </cell>
        </row>
        <row r="7994">
          <cell r="A7994" t="str">
            <v>1202</v>
          </cell>
        </row>
        <row r="7995">
          <cell r="A7995" t="str">
            <v>1203</v>
          </cell>
        </row>
        <row r="7996">
          <cell r="A7996" t="str">
            <v>1204</v>
          </cell>
        </row>
        <row r="7997">
          <cell r="A7997" t="str">
            <v>1205</v>
          </cell>
        </row>
        <row r="7998">
          <cell r="A7998" t="str">
            <v>1206</v>
          </cell>
        </row>
        <row r="7999">
          <cell r="A7999" t="str">
            <v>1207</v>
          </cell>
        </row>
        <row r="8000">
          <cell r="A8000" t="str">
            <v>1208</v>
          </cell>
        </row>
        <row r="8001">
          <cell r="A8001" t="str">
            <v>1209</v>
          </cell>
        </row>
        <row r="8002">
          <cell r="A8002" t="str">
            <v>1299</v>
          </cell>
        </row>
        <row r="8003">
          <cell r="A8003" t="str">
            <v>1702</v>
          </cell>
        </row>
        <row r="8004">
          <cell r="A8004" t="str">
            <v>1703</v>
          </cell>
        </row>
        <row r="8005">
          <cell r="A8005" t="str">
            <v>1704</v>
          </cell>
        </row>
        <row r="8006">
          <cell r="A8006" t="str">
            <v>1705</v>
          </cell>
        </row>
        <row r="8007">
          <cell r="A8007" t="str">
            <v>1706</v>
          </cell>
        </row>
        <row r="8008">
          <cell r="A8008" t="str">
            <v>1707</v>
          </cell>
        </row>
        <row r="8009">
          <cell r="A8009" t="str">
            <v>1708</v>
          </cell>
        </row>
        <row r="8010">
          <cell r="A8010" t="str">
            <v>1709</v>
          </cell>
        </row>
        <row r="8011">
          <cell r="A8011" t="str">
            <v>1799</v>
          </cell>
        </row>
        <row r="8012">
          <cell r="A8012" t="str">
            <v>1903</v>
          </cell>
        </row>
        <row r="8013">
          <cell r="A8013" t="str">
            <v>1905</v>
          </cell>
        </row>
        <row r="8014">
          <cell r="A8014" t="str">
            <v>1906</v>
          </cell>
        </row>
        <row r="8015">
          <cell r="A8015" t="str">
            <v>1999</v>
          </cell>
        </row>
        <row r="8016">
          <cell r="A8016" t="str">
            <v>2101</v>
          </cell>
        </row>
        <row r="8017">
          <cell r="A8017" t="str">
            <v>2102</v>
          </cell>
        </row>
        <row r="8018">
          <cell r="A8018" t="str">
            <v>2103</v>
          </cell>
        </row>
        <row r="8019">
          <cell r="A8019" t="str">
            <v>2104</v>
          </cell>
        </row>
        <row r="8020">
          <cell r="A8020" t="str">
            <v>2105</v>
          </cell>
        </row>
        <row r="8021">
          <cell r="A8021" t="str">
            <v>2106</v>
          </cell>
        </row>
        <row r="8022">
          <cell r="A8022" t="str">
            <v>2199</v>
          </cell>
        </row>
        <row r="8023">
          <cell r="A8023" t="str">
            <v>2201</v>
          </cell>
        </row>
        <row r="8024">
          <cell r="A8024" t="str">
            <v>2202</v>
          </cell>
        </row>
        <row r="8025">
          <cell r="A8025" t="str">
            <v>2299</v>
          </cell>
        </row>
        <row r="8026">
          <cell r="A8026" t="str">
            <v>2301</v>
          </cell>
        </row>
        <row r="8027">
          <cell r="A8027" t="str">
            <v>2302</v>
          </cell>
        </row>
        <row r="8028">
          <cell r="A8028" t="str">
            <v>2399</v>
          </cell>
        </row>
        <row r="8029">
          <cell r="A8029" t="str">
            <v>2401</v>
          </cell>
        </row>
        <row r="8030">
          <cell r="A8030" t="str">
            <v>2402</v>
          </cell>
        </row>
        <row r="8031">
          <cell r="A8031" t="str">
            <v>2403</v>
          </cell>
        </row>
        <row r="8032">
          <cell r="A8032" t="str">
            <v>2404</v>
          </cell>
        </row>
        <row r="8033">
          <cell r="A8033" t="str">
            <v>2405</v>
          </cell>
        </row>
        <row r="8034">
          <cell r="A8034" t="str">
            <v>2406</v>
          </cell>
        </row>
        <row r="8035">
          <cell r="A8035" t="str">
            <v>2407</v>
          </cell>
        </row>
        <row r="8036">
          <cell r="A8036" t="str">
            <v>2408</v>
          </cell>
        </row>
        <row r="8037">
          <cell r="A8037" t="str">
            <v>2409</v>
          </cell>
        </row>
        <row r="8038">
          <cell r="A8038" t="str">
            <v>2410</v>
          </cell>
        </row>
        <row r="8039">
          <cell r="A8039" t="str">
            <v>2499</v>
          </cell>
        </row>
        <row r="8040">
          <cell r="A8040" t="str">
            <v>2501</v>
          </cell>
        </row>
        <row r="8041">
          <cell r="A8041" t="str">
            <v>2502</v>
          </cell>
        </row>
        <row r="8042">
          <cell r="A8042" t="str">
            <v>2503</v>
          </cell>
        </row>
        <row r="8043">
          <cell r="A8043" t="str">
            <v>2504</v>
          </cell>
        </row>
        <row r="8044">
          <cell r="A8044" t="str">
            <v>2599</v>
          </cell>
        </row>
        <row r="8045">
          <cell r="A8045" t="str">
            <v>3201</v>
          </cell>
        </row>
        <row r="8046">
          <cell r="A8046" t="str">
            <v>3202</v>
          </cell>
        </row>
        <row r="8047">
          <cell r="A8047" t="str">
            <v>3203</v>
          </cell>
        </row>
        <row r="8048">
          <cell r="A8048" t="str">
            <v>3204</v>
          </cell>
        </row>
        <row r="8049">
          <cell r="A8049" t="str">
            <v>3205</v>
          </cell>
        </row>
        <row r="8050">
          <cell r="A8050" t="str">
            <v>3206</v>
          </cell>
        </row>
        <row r="8051">
          <cell r="A8051" t="str">
            <v>3207</v>
          </cell>
        </row>
        <row r="8052">
          <cell r="A8052" t="str">
            <v>3208</v>
          </cell>
        </row>
        <row r="8053">
          <cell r="A8053" t="str">
            <v>3299</v>
          </cell>
        </row>
        <row r="8054">
          <cell r="A8054" t="str">
            <v>3301</v>
          </cell>
        </row>
        <row r="8055">
          <cell r="A8055" t="str">
            <v>3302</v>
          </cell>
        </row>
        <row r="8056">
          <cell r="A8056" t="str">
            <v>3399</v>
          </cell>
        </row>
        <row r="8057">
          <cell r="A8057" t="str">
            <v>3501</v>
          </cell>
        </row>
        <row r="8058">
          <cell r="A8058" t="str">
            <v>3502</v>
          </cell>
        </row>
        <row r="8059">
          <cell r="A8059" t="str">
            <v>3503</v>
          </cell>
        </row>
        <row r="8060">
          <cell r="A8060" t="str">
            <v>3599</v>
          </cell>
        </row>
        <row r="8061">
          <cell r="A8061" t="str">
            <v>3601</v>
          </cell>
        </row>
        <row r="8062">
          <cell r="A8062" t="str">
            <v>3602</v>
          </cell>
        </row>
        <row r="8063">
          <cell r="A8063" t="str">
            <v>3603</v>
          </cell>
        </row>
        <row r="8064">
          <cell r="A8064" t="str">
            <v>3604</v>
          </cell>
        </row>
        <row r="8065">
          <cell r="A8065" t="str">
            <v>3605</v>
          </cell>
        </row>
        <row r="8066">
          <cell r="A8066" t="str">
            <v>3699</v>
          </cell>
        </row>
        <row r="8067">
          <cell r="A8067" t="str">
            <v>3905</v>
          </cell>
        </row>
        <row r="8068">
          <cell r="A8068" t="str">
            <v>3906</v>
          </cell>
        </row>
        <row r="8069">
          <cell r="A8069" t="str">
            <v>3999</v>
          </cell>
        </row>
        <row r="8070">
          <cell r="A8070" t="str">
            <v>4001</v>
          </cell>
        </row>
        <row r="8071">
          <cell r="A8071" t="str">
            <v>4002</v>
          </cell>
        </row>
        <row r="8072">
          <cell r="A8072" t="str">
            <v>4003</v>
          </cell>
        </row>
        <row r="8073">
          <cell r="A8073" t="str">
            <v>4099</v>
          </cell>
        </row>
        <row r="8074">
          <cell r="A8074" t="str">
            <v>4101</v>
          </cell>
        </row>
        <row r="8075">
          <cell r="A8075" t="str">
            <v>4102</v>
          </cell>
        </row>
        <row r="8076">
          <cell r="A8076" t="str">
            <v>4103</v>
          </cell>
        </row>
        <row r="8077">
          <cell r="A8077" t="str">
            <v>4104</v>
          </cell>
        </row>
        <row r="8078">
          <cell r="A8078" t="str">
            <v>4199</v>
          </cell>
        </row>
        <row r="8079">
          <cell r="A8079" t="str">
            <v>4301</v>
          </cell>
        </row>
        <row r="8080">
          <cell r="A8080" t="str">
            <v>4302</v>
          </cell>
        </row>
        <row r="8081">
          <cell r="A8081" t="str">
            <v>4399</v>
          </cell>
        </row>
        <row r="8082">
          <cell r="A8082" t="str">
            <v>4501</v>
          </cell>
        </row>
        <row r="8083">
          <cell r="A8083" t="str">
            <v>4502</v>
          </cell>
        </row>
        <row r="8084">
          <cell r="A8084" t="str">
            <v>4503</v>
          </cell>
        </row>
        <row r="8085">
          <cell r="A8085" t="str">
            <v>4599</v>
          </cell>
        </row>
      </sheetData>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3" Type="http://schemas.microsoft.com/office/2019/04/relationships/externalLinkLongPath" Target="/personal/joabril_bomberosbogota_gov_co/Documents/UAE%20Bomberos%20Jose%20Alberto%20Abril%20Bernal%20-%20OAP/UAE%20BOMBEROS%20BOGOTA%202025/PAA%202025%20BOGOTA%20CAMINA%20SEGURA/MODIF%20PAA%20VR%201%20A%20VR%202%20-%202025%20UAECOB/proyecto%20PAA%20Vr%201%20UAECOB%202025%20-%20BCS%20-%20aprobado%20envio%20-%20copia.xlsx?56D9242D" TargetMode="External"/><Relationship Id="rId2" Type="http://schemas.openxmlformats.org/officeDocument/2006/relationships/externalLinkPath" Target="file:///\\56D9242D\proyecto%20PAA%20Vr%201%20UAECOB%202025%20-%20BCS%20-%20aprobado%20envio%20-%20copia.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683.868777546297" createdVersion="8" refreshedVersion="8" minRefreshableVersion="3" recordCount="610" xr:uid="{DE0DEF9B-9883-4F06-80A3-B5B9DA460E2E}">
  <cacheSource type="worksheet">
    <worksheetSource ref="B10:AC620" sheet="PAA VR1 -2025 UAECOB BCS" r:id="rId2"/>
  </cacheSource>
  <cacheFields count="28">
    <cacheField name="Id" numFmtId="0">
      <sharedItems containsSemiMixedTypes="0" containsString="0" containsNumber="1" containsInteger="1" minValue="20250001" maxValue="20250616"/>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1">
      <sharedItems containsMixedTypes="1" containsNumber="1" containsInteger="1" minValue="15101500" maxValue="90121800" longText="1"/>
    </cacheField>
    <cacheField name="Mes inicio de ejecución" numFmtId="1">
      <sharedItems containsMixedTypes="1" containsNumber="1" containsInteger="1" minValue="0" maxValue="11"/>
    </cacheField>
    <cacheField name="plazo ejec Meses" numFmtId="1">
      <sharedItems containsMixedTypes="1" containsNumber="1" containsInteger="1" minValue="0" maxValue="13"/>
    </cacheField>
    <cacheField name="mas plazo ejec Días (si aplica)" numFmtId="1">
      <sharedItems containsBlank="1" containsMixedTypes="1" containsNumber="1" containsInteger="1" minValue="0" maxValue="15"/>
    </cacheField>
    <cacheField name="Valor Programado" numFmtId="165">
      <sharedItems containsSemiMixedTypes="0" containsString="0" containsNumber="1" containsInteger="1" minValue="2000000" maxValue="8054000000"/>
    </cacheField>
    <cacheField name="Fuente de Recursos" numFmtId="0">
      <sharedItems count="3">
        <s v="1-100-I087 VA-Sobretasa Bomberil"/>
        <s v="1-100-F001 VA-Recursos distrito"/>
        <s v="1-601-F001 PAS-Otros distrito"/>
      </sharedItems>
    </cacheField>
    <cacheField name="Modalidad de Selección" numFmtId="165">
      <sharedItems/>
    </cacheField>
    <cacheField name="Meta Proyecto de Inversión" numFmtId="0">
      <sharedItems count="25" longText="1">
        <s v="8126 9-Fortalecer el 100% de la gestión administrativa de las áreas de apoyo al cumplimiento de la misionalidad de la UAECOB"/>
        <s v="8126 1-Implementar el 100% de las actividades de seguimiento y control de los requisitos y directrices de las políticas del Modelo integrado de Planeación y Gestión - MIPG"/>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3-Implementar el 100% de los sistemas y modelos de gestión que defina la UAECOB en el marco del MIPG"/>
        <s v="8126 10-Formular e Implementar una estrategia de comunicaciones en lo relacionado con la divulgación de estrategias, programas, proyectos y servicios a los grupos de interés, de la UAECOB"/>
        <s v="8173 9-Implementar el 100% del programa de capacitación, formación y entrenamiento al personal uniformado de la Unidad Administrativa Cuerpo Oficial de Bomberos de Bogotá."/>
        <s v="No aplica"/>
        <s v="8173 4-Desarrollar 3 estrategias para el fortalecimiento de la logistica en la atención de emergencias. "/>
        <s v="8173 1-Implementación 6 estrategias de reducción del riesgo de incendios,  incidentes con materiales peligrosos y rescate en todas sus modalidades en la ciudad de Bogotá"/>
        <s v="8173 5-Realizar 3 Estrategias de Investigación, desarrollo e innovación en gestión del riesgo"/>
        <s v="8173 6-Implementar un sistema de monitoreo y seguimiento a incidentes y emergencias para Bogotá, incluyendo cerros orientales"/>
        <s v="8173 2-Desarrollar un programa de renovación de equipos, herramientas, accesorios y elementos de protección personal en la UAECOB."/>
        <s v="8173 3-Desarrollar un programa de renovación de vehículos de la Unidad Administrativa Cuerpo Oficial de Bomberos de Bogotá."/>
        <s v="8126 5-Desarrollar el 100% de las acciones asociadas al fortalecimiento de la infraestructura tecnológica y de comunicaciones de la UAECOB"/>
        <s v="8126 6-Formular e Implementar 1 Plan Estratégico de Tecnologías de la Información y Transformación Digital de la UAECOB."/>
        <s v="8126 4-Administrar, soportar y mantener el 100% del servicio de Herramientas de Colaboración y sistemas de información."/>
        <s v="8126 7-Actualizar e implementar el 100% del Plan Anual de Seguridad y Privacidad de la Información."/>
        <s v="8128 5-Desarrollar el 100% de las acciones asociadas al fortalecimiento de la infraestructura tecnológica y de comunicaciones de la UAECOB"/>
        <s v="8127 4-Administrar, soportar y mantener el 100% del servicio de Herramientas de Colaboración y sistemas de información."/>
        <s v="8128 4-Administrar, soportar y mantener el 100% del servicio de Herramientas de Colaboración y sistemas de información."/>
        <s v="8129 4-Administrar, soportar y mantener el 100% del servicio de Herramientas de Colaboración y sistemas de información."/>
        <s v="8173 7-Adecuar 4 Sedes de la UAECOB"/>
        <s v="8126 8-Implementar el 100% del programa de mantenimiento a las sedes de Bomberos de Bogotá"/>
        <s v="8173 10-Realizar 2 documentos de lineamientos técnicos para la construcción de estaciones de bomberos"/>
        <s v="8173 8-Construir 1 sede de bomberos de la UAECOB"/>
      </sharedItems>
    </cacheField>
    <cacheField name="Bogotá camina segura" numFmtId="0">
      <sharedItems count="2">
        <s v="O230117"/>
        <s v="NA"/>
      </sharedItems>
    </cacheField>
    <cacheField name="Sector_Programa MGA" numFmtId="0">
      <sharedItems count="3">
        <s v="4599"/>
        <s v="4503"/>
        <s v="NA"/>
      </sharedItems>
    </cacheField>
    <cacheField name="BPIN (AÑO+COD_PROYECTO)" numFmtId="0">
      <sharedItems containsMixedTypes="1" containsNumber="1" containsInteger="1" minValue="20240207" maxValue="20240255" count="3">
        <n v="20240207"/>
        <n v="20240255"/>
        <s v="NA"/>
      </sharedItems>
    </cacheField>
    <cacheField name="Producto PMR" numFmtId="0">
      <sharedItems count="11">
        <s v="08"/>
        <s v="13"/>
        <s v="07"/>
        <s v="N/A"/>
        <s v="09"/>
        <s v="12"/>
        <s v="05"/>
        <s v="11"/>
        <s v="06"/>
        <s v="04"/>
        <s v="10"/>
      </sharedItems>
    </cacheField>
    <cacheField name="Descripción Producto PMR" numFmtId="0">
      <sharedItems/>
    </cacheField>
    <cacheField name="PMR conca" numFmtId="0">
      <sharedItems/>
    </cacheField>
    <cacheField name="Producto MGA" numFmtId="0">
      <sharedItems count="13">
        <s v="016"/>
        <s v="031"/>
        <s v="023"/>
        <s v="019"/>
        <s v="002"/>
        <s v="N/A"/>
        <s v="004"/>
        <s v="035"/>
        <s v="018"/>
        <s v="007"/>
        <s v="014"/>
        <s v="031_"/>
        <s v="015"/>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8">
        <s v="O23011745992024020708016"/>
        <s v="O23011745992024020713031"/>
        <s v="O23011745992024020713023"/>
        <s v="O23011745992024020713019"/>
        <s v="O23011745032024025507002"/>
        <s v="NANANAN/AN/A"/>
        <s v="O23011745032024025509004"/>
        <s v="O23011745032024025512004"/>
        <s v="O23011745032024025505035"/>
        <s v="O23011745032024025511018"/>
        <s v="O23011745032024025506035"/>
        <s v="O23011745032024025505002"/>
        <s v="O23011745032024025504004"/>
        <s v="O23011745032024025510004"/>
        <s v="O23011745992024020711007"/>
        <s v="O23011745032024025508014"/>
        <s v="O23011745032024025508031_"/>
        <s v="O23011745032024025508015"/>
      </sharedItems>
    </cacheField>
    <cacheField name="codigo PEP" numFmtId="0">
      <sharedItems count="18">
        <s v="PM/0131/0108/45990160207"/>
        <s v="PM/0131/0113/45990310207"/>
        <s v="PM/0131/0113/45990230207"/>
        <s v="PM/0131/0113/45990190207"/>
        <s v="PM/0131/0107/45030020255"/>
        <s v="N/A"/>
        <s v="PM/0131/0109/45030040255"/>
        <s v="PM/0131/0112/45030040255"/>
        <s v="PM/0131/0105/45030350255"/>
        <s v="PM/0131/0111/45030180255"/>
        <s v="PM/0131/0106/45030350255"/>
        <s v="PM/0131/0105/45030020255"/>
        <s v="PM/0131/0104/45030040255"/>
        <s v="PM/0131/0110/45030040255"/>
        <s v="PM/0131/0111/45990070207"/>
        <s v="PM/0131/0108/45030140255"/>
        <s v="PM/0131/0108/45030310255"/>
        <s v="PM/0131/0108/45030150255"/>
      </sharedItems>
    </cacheField>
    <cacheField name="POSPRE" numFmtId="0">
      <sharedItems count="24">
        <s v="O232020200883990 Otros servicios profesionales, técnicos y empresariales n.c.p."/>
        <s v="O232020200882199 Otros servicios jurídicos n.c.p."/>
        <s v="No Aplica"/>
        <s v="O23201010030208 Otra maquinaria para usos especiales y sus partes y piezas"/>
        <s v="O23202020088714199 Servicio de mantenimiento y reparación de vehículos automotores n.c.p."/>
        <s v="O2320201003083899997 Artículos n.c.p. para protección"/>
        <s v="O232020200663393 Otros servicios de comidas contratadas"/>
        <s v="O2320201003053543003 Aditivos para gasolina, aceites minerales y combustible en general"/>
        <s v="O232020200883590 Otros servicios veterinarios"/>
        <s v="O2120202008078714199 Servicio de mantenimiento y reparación de vehículos automotores n.c.p."/>
        <s v="O232020200883132 Servicios de soporte en tecnologías de la información (TI)"/>
        <s v="O2120201002082823609    Uniformes de trabajo"/>
        <s v="O232020200883159 Otros servicios de alojamiento y suministro de infraestructura en tecnología de la información (TI)"/>
        <s v=" O2320202005040554590 Otros servicios especializados de la construcción "/>
        <s v=" O232020200885330 Servicios de limpieza general "/>
        <s v=" O23202020088715999 Servicio de mantenimiento y reparación de otros equipos n.c.p. "/>
        <s v=" O232020200883990 Otros servicios profesionales, técnicos y empresariales n.c.p. "/>
        <s v=" No Aplica "/>
        <s v="O232020200885250 Servicios de protección (guardas de seguridad)"/>
        <s v="O2320202005040554590 Otros servicios especializados de la construcción"/>
        <s v="O21202020080787130 Servicios de mantenimiento y reparación de computa"/>
        <s v="O21202020080484290 Otros servicios de telecomunicaciones vía Internet"/>
        <s v="O21202020080383141 Servicios de diseño y desarrollo de aplicaciones en tecnologías de la información (TI)"/>
        <s v="O21202020080383990 Otros servicios profesionales, técnicos y empresariales n.c.p." u="1"/>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708.936634490739" createdVersion="8" refreshedVersion="8" minRefreshableVersion="3" recordCount="628" xr:uid="{CD136255-B829-44EF-98C3-C8A4E4BD8F97}">
  <cacheSource type="worksheet">
    <worksheetSource ref="B10:AC631" sheet="PAA VR4 -2025 UAECOB BCS"/>
  </cacheSource>
  <cacheFields count="28">
    <cacheField name="Id" numFmtId="0">
      <sharedItems containsSemiMixedTypes="0" containsString="0" containsNumber="1" containsInteger="1" minValue="20250001" maxValue="20250652"/>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1">
      <sharedItems containsMixedTypes="1" containsNumber="1" containsInteger="1" minValue="15101500" maxValue="90121800" longText="1"/>
    </cacheField>
    <cacheField name="Mes inicio de ejecución" numFmtId="1">
      <sharedItems containsMixedTypes="1" containsNumber="1" containsInteger="1" minValue="0" maxValue="11"/>
    </cacheField>
    <cacheField name="plazo ejec Meses" numFmtId="1">
      <sharedItems containsMixedTypes="1" containsNumber="1" containsInteger="1" minValue="0" maxValue="13"/>
    </cacheField>
    <cacheField name="mas plazo ejec Días (si aplica)" numFmtId="1">
      <sharedItems containsMixedTypes="1" containsNumber="1" containsInteger="1" minValue="0" maxValue="15"/>
    </cacheField>
    <cacheField name="Valor Programado" numFmtId="43">
      <sharedItems containsSemiMixedTypes="0" containsString="0" containsNumber="1" containsInteger="1" minValue="2000000" maxValue="7642435039"/>
    </cacheField>
    <cacheField name="Fuente de Recursos" numFmtId="0">
      <sharedItems count="3">
        <s v="1-100-I087 VA-Sobretasa Bomberil"/>
        <s v="1-100-F001 VA-Recursos distrito"/>
        <s v="1-601-F001 PAS-Otros distrito"/>
      </sharedItems>
    </cacheField>
    <cacheField name="Modalidad de Selección" numFmtId="165">
      <sharedItems/>
    </cacheField>
    <cacheField name="Meta Proyecto de Inversión" numFmtId="0">
      <sharedItems count="21" longText="1">
        <s v="8126 9-Fortalecer el 100% de la gestión administrativa de las áreas de apoyo al cumplimiento de la misionalidad de la UAECOB"/>
        <s v="8126 1-Implementar el 100% de las actividades de seguimiento y control de los requisitos y directrices de las políticas del Modelo integrado de Planeación y Gestión - MIPG"/>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3-Implementar el 100% de los sistemas y modelos de gestión que defina la UAECOB en el marco del MIPG"/>
        <s v="8126 10-Formular e Implementar una estrategia de comunicaciones en lo relacionado con la divulgación de estrategias, programas, proyectos y servicios a los grupos de interés, de la UAECOB"/>
        <s v="8173 9-Implementar el 100% del programa de capacitación, formación y entrenamiento al personal uniformado de la Unidad Administrativa Cuerpo Oficial de Bomberos de Bogotá."/>
        <s v="No aplica"/>
        <s v="8173 4-Desarrollar 3 estrategias para el fortalecimiento de la logistica en la atención de emergencias. "/>
        <s v="8173 1-Implementación 6 estrategias de reducción del riesgo de incendios,  incidentes con materiales peligrosos y rescate en todas sus modalidades en la ciudad de Bogotá"/>
        <s v="8173 5-Realizar 3 Estrategias de Investigación, desarrollo e innovación en gestión del riesgo"/>
        <s v="8173 6-Implementar un sistema de monitoreo y seguimiento a incidentes y emergencias para Bogotá, incluyendo cerros orientales"/>
        <s v="8173 2-Desarrollar un programa de renovación de equipos, herramientas, accesorios y elementos de protección personal en la UAECOB."/>
        <s v="8173 3-Desarrollar un programa de renovación de vehículos de la Unidad Administrativa Cuerpo Oficial de Bomberos de Bogotá."/>
        <s v="8126 5-Desarrollar el 100% de las acciones asociadas al fortalecimiento de la infraestructura tecnológica y de comunicaciones de la UAECOB"/>
        <s v="8126 6-Formular e Implementar 1 Plan Estratégico de Tecnologías de la Información y Transformación Digital de la UAECOB."/>
        <s v="8126 4-Administrar, soportar y mantener el 100% del servicio de Herramientas de Colaboración y sistemas de información."/>
        <s v="8126 7-Actualizar e implementar el 100% del Plan Anual de Seguridad y Privacidad de la Información."/>
        <s v="8173 7-Adecuar 4 Sedes de la UAECOB"/>
        <s v="8126 8-Implementar el 100% del programa de mantenimiento a las sedes de Bomberos de Bogotá"/>
        <s v="8173 10-Realizar 2 documentos de lineamientos técnicos para la construcción de estaciones de bomberos"/>
        <s v="8173 8-Construir 1 sede de bomberos de la UAECOB"/>
      </sharedItems>
    </cacheField>
    <cacheField name="Bogotá camina segura" numFmtId="0">
      <sharedItems count="2">
        <s v="O230117"/>
        <s v="NA"/>
      </sharedItems>
    </cacheField>
    <cacheField name="Sector_Programa MGA" numFmtId="0">
      <sharedItems count="3">
        <s v="4599"/>
        <s v="4503"/>
        <s v="NA"/>
      </sharedItems>
    </cacheField>
    <cacheField name="BPIN (AÑO+COD_PROYECTO)" numFmtId="0">
      <sharedItems containsMixedTypes="1" containsNumber="1" containsInteger="1" minValue="20240207" maxValue="20240255" count="3">
        <n v="20240207"/>
        <n v="20240255"/>
        <s v="NA"/>
      </sharedItems>
    </cacheField>
    <cacheField name="Producto PMR" numFmtId="0">
      <sharedItems count="11">
        <s v="08"/>
        <s v="13"/>
        <s v="07"/>
        <s v="N/A"/>
        <s v="09"/>
        <s v="12"/>
        <s v="05"/>
        <s v="11"/>
        <s v="06"/>
        <s v="04"/>
        <s v="10"/>
      </sharedItems>
    </cacheField>
    <cacheField name="Descripción Producto PMR" numFmtId="0">
      <sharedItems/>
    </cacheField>
    <cacheField name="PMR conca" numFmtId="0">
      <sharedItems/>
    </cacheField>
    <cacheField name="Producto MGA" numFmtId="0">
      <sharedItems count="13">
        <s v="016"/>
        <s v="031"/>
        <s v="023"/>
        <s v="019"/>
        <s v="002"/>
        <s v="N/A"/>
        <s v="004"/>
        <s v="035"/>
        <s v="018"/>
        <s v="007"/>
        <s v="014"/>
        <s v="031_"/>
        <s v="015"/>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8">
        <s v="O23011745992024020708016"/>
        <s v="O23011745992024020713031"/>
        <s v="O23011745992024020713023"/>
        <s v="O23011745992024020713019"/>
        <s v="O23011745032024025507002"/>
        <s v="NANANAN/AN/A"/>
        <s v="O23011745032024025509004"/>
        <s v="O23011745032024025512004"/>
        <s v="O23011745032024025505035"/>
        <s v="O23011745032024025511018"/>
        <s v="O23011745032024025506035"/>
        <s v="O23011745032024025505002"/>
        <s v="O23011745032024025504004"/>
        <s v="O23011745032024025510004"/>
        <s v="O23011745992024020711007"/>
        <s v="O23011745032024025508014"/>
        <s v="O23011745032024025508031_"/>
        <s v="O23011745032024025508015"/>
      </sharedItems>
    </cacheField>
    <cacheField name="codigo PEP" numFmtId="0">
      <sharedItems count="18">
        <s v="PM/0131/0108/45990160207"/>
        <s v="PM/0131/0113/45990310207"/>
        <s v="PM/0131/0113/45990230207"/>
        <s v="PM/0131/0113/45990190207"/>
        <s v="PM/0131/0107/45030020255"/>
        <s v="N/A"/>
        <s v="PM/0131/0109/45030040255"/>
        <s v="PM/0131/0112/45030040255"/>
        <s v="PM/0131/0105/45030350255"/>
        <s v="PM/0131/0111/45030180255"/>
        <s v="PM/0131/0106/45030350255"/>
        <s v="PM/0131/0105/45030020255"/>
        <s v="PM/0131/0104/45030040255"/>
        <s v="PM/0131/0110/45030040255"/>
        <s v="PM/0131/0111/45990070207"/>
        <s v="PM/0131/0108/45030140255"/>
        <s v="PM/0131/0108/45030310255"/>
        <s v="PM/0131/0108/45030150255"/>
      </sharedItems>
    </cacheField>
    <cacheField name="POSPRE" numFmtId="0">
      <sharedItems count="24">
        <s v="O232020200883990 Otros servicios profesionales, técnicos y empresariales n.c.p."/>
        <s v="O232020200882199 Otros servicios jurídicos n.c.p."/>
        <s v="No Aplica"/>
        <s v="O23201010030208 Otra maquinaria para usos especiales y sus partes y piezas"/>
        <s v="O23202020088714199 Servicio de mantenimiento y reparación de vehículos automotores n.c.p."/>
        <s v="O2320201003083899997 Artículos n.c.p. para protección"/>
        <s v="O232020200663393 Otros servicios de comidas contratadas"/>
        <s v="O2320201003053543003 Aditivos para gasolina, aceites minerales y combustible en general"/>
        <s v="O232020200883590 Otros servicios veterinarios"/>
        <s v="O23202020088715999 Servicio de mantenimiento y reparación de otros equipos n.c.p."/>
        <s v="O2120202008078714199 Servicio de mantenimiento y reparación de vehículos automotores n.c.p."/>
        <s v="O232020200883132 Servicios de soporte en tecnologías de la información (TI)"/>
        <s v="O2120201002082823609    Uniformes de trabajo"/>
        <s v="O232020200883159 Otros servicios de alojamiento y suministro de infraestructura en tecnología de la información (TI)"/>
        <s v=" O2320202005040554590 Otros servicios especializados de la construcción "/>
        <s v=" O232020200885330 Servicios de limpieza general "/>
        <s v=" O23202020088715999 Servicio de mantenimiento y reparación de otros equipos n.c.p. "/>
        <s v=" O232020200883990 Otros servicios profesionales, técnicos y empresariales n.c.p. "/>
        <s v=" No Aplica "/>
        <s v="O232020200885250 Servicios de protección (guardas de seguridad)"/>
        <s v="O2320202005040554590 Otros servicios especializados de la construcción"/>
        <s v="O21202020080787130 Servicios de mantenimiento y reparación de computa"/>
        <s v="O21202020080484290 Otros servicios de telecomunicaciones vía Internet"/>
        <s v="O21202020080383141 Servicios de diseño y desarrollo de aplicaciones en tecnologías de la información (TI)"/>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0">
  <r>
    <n v="20250001"/>
    <x v="0"/>
    <x v="0"/>
    <s v="Jaime Hernando Arias Patiño"/>
    <s v="Prestar los servicios profesionales  como abogado en la Oficina de Control Interno para el desarrollo del Plan Anual de Auditorías."/>
    <s v="25 - contrato de prestacion de servicios profesionales"/>
    <n v="80111600"/>
    <s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2"/>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3"/>
    <x v="0"/>
    <x v="0"/>
    <s v="Jaime Hernando Arias Patiño"/>
    <s v="Prestar los servicios profesionales  en la Oficina de Control Interno para el desarrollo del Plan Anual de Auditorías."/>
    <s v="25 - contrato de prestacion de servicios profesionales"/>
    <n v="80111600"/>
    <n v="1"/>
    <n v="9"/>
    <n v="12"/>
    <n v="7217409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4"/>
    <x v="0"/>
    <x v="0"/>
    <s v="Jaime Hernando Arias Patiño"/>
    <s v="Prestar los servicios profesionales  en la Oficina de Control Interno para el desarrollo del Plan Anual de Auditorías."/>
    <s v="25 - contrato de prestacion de servicios profesionales"/>
    <n v="80111600"/>
    <n v="1"/>
    <n v="10"/>
    <n v="0"/>
    <n v="4628582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5"/>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6"/>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104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7"/>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8"/>
    <x v="0"/>
    <x v="1"/>
    <s v="Monica Perez Barragan"/>
    <s v="Prestar los servicios profesionales especializados de asesoría y control, en el desarrollo de las funciones de la Oficina  Jurídica para la elaboración y revisión de Estudios de Mercado, Análisis del sector y estructuración del presupuesto de los procesos de selección."/>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9"/>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99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0"/>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1"/>
    <x v="0"/>
    <x v="1"/>
    <s v="Monica Perez Barragan"/>
    <s v="Prestar los servicios profesionales jurídicos especializados en el desarrollo de las funciones de la Oficina Jurídica prestando asesoría jurídica especializada en Defensa Judicial"/>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5"/>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77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6"/>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7"/>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577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9"/>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0"/>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1"/>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2"/>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3"/>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918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4"/>
    <x v="0"/>
    <x v="1"/>
    <s v="Monica Perez Barragan"/>
    <s v="Prestar los servicios profesionales especializados para la representación judicial  de la Entidad y la prevención del daño antijurídico."/>
    <s v="25 - contrato de prestacion de servicios profesionales"/>
    <n v="80111600"/>
    <n v="2"/>
    <n v="11"/>
    <n v="0"/>
    <n v="346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25"/>
    <x v="0"/>
    <x v="1"/>
    <s v="Monica Perez Barragan"/>
    <s v="Prestar los servicios de apoyo para las gestiones administrativas requeridas en la Oficina Jurídic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6"/>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7"/>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8"/>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9"/>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0"/>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1"/>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2"/>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3"/>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4"/>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5"/>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10"/>
    <n v="0"/>
    <n v="7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6"/>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7"/>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8"/>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9"/>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0"/>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1"/>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2"/>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71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3"/>
    <x v="0"/>
    <x v="2"/>
    <s v="Yenire Yohansy Lozano Ascanio"/>
    <s v="Prestar servicios de apoyo técnico para la gestión administrativa de las actuaciones disciplinarias adelantadas en etapa de instrucción por la Oficina de Control Disciplinario Interno."/>
    <s v="25 - contrato de prestacion de servicios profesionales"/>
    <n v="80111600"/>
    <n v="1"/>
    <n v="10"/>
    <n v="0"/>
    <n v="3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44"/>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5 - contrato de prestacion de servicios profesionales"/>
    <n v="80111600"/>
    <n v="1"/>
    <n v="11"/>
    <n v="0"/>
    <n v="3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45"/>
    <x v="0"/>
    <x v="2"/>
    <s v="Yenire Yohansy Lozano Ascanio"/>
    <s v="Prestar servicios profesionales para generar acciones enfocadas en la prevención de faltas disciplinarias en la Oficina de Control Disciplinario Interno"/>
    <s v="25 - contrato de prestacion de servicios profesionales"/>
    <n v="80111600"/>
    <n v="1"/>
    <n v="11"/>
    <n v="0"/>
    <n v="4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6"/>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11"/>
    <n v="0"/>
    <n v="3484096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7"/>
    <x v="0"/>
    <x v="3"/>
    <s v="Manuel Eduardo Castillo Guzman"/>
    <s v="Prestación de servicios profesionales en el desarrollo de las actividades encaminadas al diseño de piezas comunicativas que se requiera en la implementación de las políticas del Modelo Integrado de Planeación y Gestión  MIPG que lidera la Oficina Asesora de Planeación."/>
    <s v="25 - contrato de prestacion de servicios profesionales"/>
    <n v="80111600"/>
    <n v="2"/>
    <n v="8"/>
    <n v="0"/>
    <n v="40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8"/>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11"/>
    <n v="0"/>
    <n v="43362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9"/>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0"/>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7"/>
    <n v="0"/>
    <n v="45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1"/>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8"/>
    <n v="0"/>
    <n v="576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2"/>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3"/>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8"/>
    <n v="0"/>
    <n v="56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4"/>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7"/>
    <n v="0"/>
    <n v="26523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5"/>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6"/>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1"/>
    <n v="0"/>
    <n v="77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7"/>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9"/>
    <n v="0"/>
    <n v="58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8"/>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2"/>
    <n v="7"/>
    <n v="0"/>
    <n v="511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9"/>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0"/>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8"/>
    <n v="0"/>
    <n v="536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1"/>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7"/>
    <n v="0"/>
    <n v="45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2"/>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3"/>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11"/>
    <n v="0"/>
    <n v="41679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4"/>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2"/>
    <n v="7"/>
    <n v="0"/>
    <n v="45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5"/>
    <x v="0"/>
    <x v="3"/>
    <s v="Manuel Eduardo Castillo Guzman"/>
    <s v="Prestación de servicios profesionales para el desarrollo de actividades designadas en el marco del Modelo Integrado de Planeación y Gestión (MIPG), orientadas a brindar soporte en el área que lo requiera."/>
    <s v="26 - contrato de prestacion de servicios profesionales"/>
    <n v="80111601"/>
    <n v="2"/>
    <n v="6"/>
    <n v="0"/>
    <n v="420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6"/>
    <x v="0"/>
    <x v="3"/>
    <s v="Manuel Eduardo Castillo Guzman"/>
    <s v="Contratar la prestación de servicios de auditoria bajo los requisitos de las normas internacionales del Sistema de Gestión de la Calidad e ISO 9001 y el Sistema de Seguridad de la Información ISO 27001"/>
    <s v="26 - contrato de prestacion de servicios de apoyo a la gestion"/>
    <n v="80111600"/>
    <n v="9"/>
    <n v="1"/>
    <n v="0"/>
    <n v="25795547"/>
    <x v="0"/>
    <s v="09 - contratación directa"/>
    <x v="3"/>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7"/>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68"/>
    <x v="0"/>
    <x v="4"/>
    <s v="Paula Ximena Henao Escobar"/>
    <s v="Prestación de servicios profesionales para acompañar a la Dirección en la estructuración de fichas técnicas y en la identificación de necesidades técnicas que requiere suplir la UAE Cuerpo Oficial de Bomberos de Bogotá"/>
    <s v="25 - contrato de prestacion de servicios profesionales"/>
    <n v="80111600"/>
    <n v="2"/>
    <n v="11"/>
    <n v="0"/>
    <n v="913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69"/>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0"/>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1"/>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72"/>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3"/>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4"/>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5"/>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6"/>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7"/>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8"/>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9"/>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0"/>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1"/>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2"/>
    <x v="0"/>
    <x v="4"/>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83"/>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4"/>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5"/>
    <x v="0"/>
    <x v="5"/>
    <s v="Paula Ximena Henao Escobar"/>
    <s v="Prestar apoyo técnico en la Dirección, en asuntos de comunicaciones y prensa, para la producción, diseño y edición de material audiovisual de la UAECOB."/>
    <s v="26 - contrato de prestacion de servicios de apoyo a la gestion"/>
    <n v="80111600"/>
    <n v="2"/>
    <n v="11"/>
    <n v="0"/>
    <n v="48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6"/>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7"/>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8"/>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9"/>
    <x v="0"/>
    <x v="5"/>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2"/>
    <n v="6"/>
    <n v="0"/>
    <n v="4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0"/>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1"/>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2"/>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2"/>
    <n v="6"/>
    <n v="0"/>
    <n v="4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3"/>
    <x v="0"/>
    <x v="5"/>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4"/>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5"/>
    <x v="0"/>
    <x v="4"/>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96"/>
    <x v="0"/>
    <x v="5"/>
    <s v="Paula Ximena Henao Escobar"/>
    <s v="Prestar servicios profesionales especializados en la Dirección General de la UAECOB en la organización de los temas relacionados con las comunicaciones estratégicas."/>
    <s v="25 - contrato de prestacion de servicios profesionales"/>
    <n v="80111600"/>
    <n v="2"/>
    <n v="6"/>
    <n v="0"/>
    <n v="55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7"/>
    <x v="1"/>
    <x v="6"/>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098"/>
    <x v="1"/>
    <x v="6"/>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099"/>
    <x v="1"/>
    <x v="6"/>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0"/>
    <x v="1"/>
    <x v="6"/>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1"/>
    <x v="1"/>
    <x v="6"/>
    <s v="Jose Andres Ponce Caicedo"/>
    <s v="SGH - Prestar servicios profesionales en la Subdirección de Gestión Humana, para el fortalecimiento transversal del proceso de Academia."/>
    <s v="25 - contrato de prestacion de servicios profesionales"/>
    <n v="80111600"/>
    <n v="2"/>
    <n v="11"/>
    <n v="0"/>
    <n v="41019299"/>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2"/>
    <x v="1"/>
    <x v="6"/>
    <s v="Jose Andres Ponce Caicedo"/>
    <s v="SGH - Prestar sus servicios profesionales en los procesos de la Subdirección de Gestión Humana de la UAE Cuerpo Oficial de Bomberos."/>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3"/>
    <x v="1"/>
    <x v="6"/>
    <s v="Jose Andres Ponce Caicedo"/>
    <s v="SGH - Prestar servicios profesionales para apoyar el programa de desórdenes musculo esqueléticos de la UAE Cuerpo Oficial de Bomberos de Bogotá."/>
    <s v="25 - contrato de prestacion de servicios profesionales"/>
    <n v="80111600"/>
    <n v="3"/>
    <n v="10"/>
    <n v="0"/>
    <n v="34188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4"/>
    <x v="1"/>
    <x v="6"/>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11"/>
    <n v="0"/>
    <n v="3410625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5"/>
    <x v="1"/>
    <x v="6"/>
    <s v="Jose Andres Ponce Caicedo"/>
    <s v="SGH - Prestar sus servicios profesionales en la Subdirección de Gestión Humana en temas de desarrollo organizacional."/>
    <s v="25 - contrato de prestacion de servicios profesionales"/>
    <n v="80111600"/>
    <n v="2"/>
    <n v="11"/>
    <n v="0"/>
    <n v="567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6"/>
    <x v="1"/>
    <x v="6"/>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8683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7"/>
    <x v="1"/>
    <x v="6"/>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35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8"/>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711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9"/>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5956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0"/>
    <x v="1"/>
    <x v="6"/>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4016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1"/>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1014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2"/>
    <x v="1"/>
    <x v="6"/>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3"/>
    <x v="1"/>
    <x v="6"/>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54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5"/>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31723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6"/>
    <x v="1"/>
    <x v="6"/>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801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7"/>
    <x v="1"/>
    <x v="6"/>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8"/>
    <x v="1"/>
    <x v="6"/>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711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9"/>
    <x v="1"/>
    <x v="6"/>
    <s v="Jose Andres Ponce Caicedo"/>
    <s v="SGH - Prestar servicios profesionales en la Subdirección de Gestión Humana de la UAE Cuerpo Oficial de Bomberos en temas de Administración de Personal."/>
    <s v="25 - contrato de prestacion de servicios profesionales"/>
    <n v="80111600"/>
    <n v="2"/>
    <n v="11"/>
    <n v="0"/>
    <n v="48100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1"/>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61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2"/>
    <x v="1"/>
    <x v="6"/>
    <s v="Jose Andres Ponce Caicedo"/>
    <s v="SGH - Prestar servicios profesionales en la Subdirección de Gestión Humana en los diferentes procesos y procedimientos propios del área de nómina de la Unidad Administrativa del Cuerpo oficial de Bomberos."/>
    <s v="25 - contrato de prestacion de servicios profesionales"/>
    <n v="80111600"/>
    <n v="2"/>
    <n v="11"/>
    <n v="0"/>
    <n v="70875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3"/>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4"/>
    <x v="1"/>
    <x v="6"/>
    <s v="Jose Andres Ponce Caicedo"/>
    <s v="SGH - Prestar servicios profesionales juridicos para desarrollar actividades en la Subdireccion de Gestion Humana y el area de academia. "/>
    <s v="25 - contrato de prestacion de servicios profesionales"/>
    <n v="80111600"/>
    <n v="3"/>
    <n v="10"/>
    <n v="0"/>
    <n v="273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25"/>
    <x v="1"/>
    <x v="6"/>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6"/>
    <x v="1"/>
    <x v="6"/>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7"/>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0086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8"/>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9"/>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30"/>
    <x v="1"/>
    <x v="6"/>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791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2"/>
    <x v="1"/>
    <x v="6"/>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976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3"/>
    <x v="1"/>
    <x v="6"/>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5"/>
    <x v="1"/>
    <x v="6"/>
    <s v="Jose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25 - contrato de prestacion de servicios profesionales"/>
    <n v="80111600"/>
    <n v="3"/>
    <n v="10"/>
    <n v="0"/>
    <n v="11666667"/>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6"/>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8"/>
    <x v="1"/>
    <x v="6"/>
    <s v="Jose Andres Ponce Caicedo"/>
    <s v="SGH - Apoyo en la proyección y elaboración de actas técnicas de los diferentes comités y comisiones de personal, en los cuales la subdirección de gestión humana tenga participación o ejerza la secretaria técnica”"/>
    <s v="26 - contrato de prestacion de servicios de apoyo a la gestion"/>
    <n v="80111600"/>
    <n v="3"/>
    <n v="10"/>
    <n v="0"/>
    <n v="132006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9"/>
    <x v="1"/>
    <x v="6"/>
    <s v="Jose Andres Ponce Caicedo"/>
    <s v="SGH - Prestar servicios profesionales para apoyar el programa de riesgo psicosocial y diferentes  actividades de seguridad y salud en el trabajo en la Subdirección de Gestión Humana"/>
    <s v="11 - orden de prestacion de servicios"/>
    <n v="80111600"/>
    <n v="3"/>
    <n v="10"/>
    <n v="0"/>
    <n v="5769716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0"/>
    <x v="1"/>
    <x v="6"/>
    <s v="Jose Andres Ponce Caicedo"/>
    <s v="SGH - Prestar servicios en la subdireccion de gestion humana "/>
    <s v="11 - orden de prestacion de servicios"/>
    <n v="80111600"/>
    <n v="2"/>
    <n v="11"/>
    <n v="0"/>
    <n v="43390578"/>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1"/>
    <x v="1"/>
    <x v="6"/>
    <s v="Jose Andres Ponce Caicedo"/>
    <s v="SGH- Prestar servicios profesionales en la Subdirección de Gestión Humana de la UAE Cuerpo Oficial de Bomberos en el proceso de ausentismo, recobro de incapacidades, y los subprocesos directamente relacionados."/>
    <s v="25 - contrato de prestacion de servicios profesionales"/>
    <n v="80111600"/>
    <n v="2"/>
    <n v="10"/>
    <n v="0"/>
    <n v="369106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2"/>
    <x v="1"/>
    <x v="6"/>
    <s v="Jose Andres Ponce Caicedo"/>
    <s v="SGH - Prestar los servicios de capacitación, formación y entrenamiento en cursos especializado para Bomberos necesarios para el desarrollo de estos procesos para el personal operativo y administrativo de la Academia UAECOB en el marco del PIC"/>
    <s v="11 - orden de prestacion de servicios"/>
    <s v="86101600, 86101700, 86101800, 86111600, 86141500,  86121800, 80111500,86131800"/>
    <n v="3"/>
    <n v="6"/>
    <n v="0"/>
    <n v="5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3"/>
    <x v="1"/>
    <x v="6"/>
    <s v="Jose Andres Ponce Caicedo"/>
    <s v="SGH - Prestar los servicios de capacitación, formación y entrenamiento en cursos especializado para Bomberos  en OPERADORES DE GRUAS, necesario para el desarrollo de estos procesos para el personal operativo y administrativo de la Academia UAECOB "/>
    <s v="11 - orden de prestacion de servicios"/>
    <s v="86101600, 86101700, 86101800, 86111600, 86141500,  86121800, 80111500"/>
    <n v="3"/>
    <n v="4"/>
    <n v="0"/>
    <n v="5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4"/>
    <x v="1"/>
    <x v="6"/>
    <s v="Jose Andres Ponce Caicedo"/>
    <s v="SGH - Prestar los servicios de capacitación, formación y entrenamiento en cursos especializado para Bomberos en BUZO DE SEGURIDAD PUBLICA, necesario para el desarrollo de estos procesos para el personal operativo y administrativo  de la Academia UAECOB "/>
    <s v="11 - orden de prestacion de servicios"/>
    <s v="86101600, 86101700, 86101800, 86111600, 86141500,  86121800, 80111500"/>
    <n v="3"/>
    <n v="4"/>
    <n v="0"/>
    <n v="2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5"/>
    <x v="1"/>
    <x v="6"/>
    <s v="Jose Andres Ponce Caicedo"/>
    <s v="SGH - Adquisición de elementos, herramientas y accesorios necesario para el desarrollo de entrenamiento rescate con cuerdas, rescate vehicular y rescate urban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6"/>
    <x v="1"/>
    <x v="6"/>
    <s v="Jose Andres Ponce Caicedo"/>
    <s v="SGH - Adquisición de elementos, herramientas y accesorios necesario para el desarrollo de entrenamiento APH - DORSOS Y MANIQUIES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7"/>
    <x v="1"/>
    <x v="6"/>
    <s v="Jose Andres Ponce Caicedo"/>
    <s v="SGH - Adquisición de elementos, herramientas y accesorios para  EQUIPAMIENTO DE MAQUINAS E INCENDIOS necesario para el desarrollo de entrenamient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8"/>
    <x v="1"/>
    <x v="6"/>
    <s v="Jose Andres Ponce Caicedo"/>
    <s v="SGH - Adquisicion y adecuacion de escenarios necesario para el desarrollo de entrenamiento USAR de la Academia UAECOB"/>
    <s v="08 - contrato de suministro"/>
    <s v="72121100, 24101600, 30131500, 31371300, 30101500, 30101700, 30103600, 95121633, 30103619, 73121600, 73121500, 30101704, 30101504"/>
    <n v="3"/>
    <n v="4"/>
    <n v="0"/>
    <n v="8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9"/>
    <x v="1"/>
    <x v="6"/>
    <s v="Jose Andres Ponce Caicedo"/>
    <s v="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
    <s v="11 - orden de prestacion de servicios"/>
    <s v="80101500;80111500;86132000;93151500"/>
    <n v="3"/>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0"/>
    <x v="1"/>
    <x v="6"/>
    <s v="Jose Andres Ponce Caicedo"/>
    <s v="SGH - Garantizar los Recursos para movilización del Personal para emergencias"/>
    <s v="03 - contrato de prestacion de servicios"/>
    <n v="90121800"/>
    <n v="2"/>
    <n v="11"/>
    <n v="0"/>
    <n v="5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1"/>
    <x v="1"/>
    <x v="6"/>
    <s v="Jose Andres Ponce Caicedo"/>
    <s v="SGH - Garantizar los recursos para viáticos y tiquetes del personal"/>
    <s v="03 - contrato de prestacion de servicios"/>
    <n v="90121800"/>
    <n v="2"/>
    <n v="11"/>
    <n v="0"/>
    <n v="15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2"/>
    <x v="2"/>
    <x v="6"/>
    <s v="Jose Andres Ponce Caicedo"/>
    <s v="Realizar los exámenes Médicos Ocupacionales para el personal de la UAECOB"/>
    <s v="03 - contrato de prestacion de servicios"/>
    <s v="85121503;85121603;85121604;85121608;85121610;85121611;85121612;85121702;85122201"/>
    <n v="3"/>
    <n v="9"/>
    <n v="0"/>
    <n v="302388000"/>
    <x v="1"/>
    <s v="02 - selec. abrev. menor cuantía"/>
    <x v="6"/>
    <x v="1"/>
    <x v="2"/>
    <x v="2"/>
    <x v="3"/>
    <s v="N/A"/>
    <s v="N/A-N/A"/>
    <x v="5"/>
    <s v="N/A"/>
    <s v="N/A_N/A"/>
    <s v="N/A-N/A N/A_N/A"/>
    <x v="5"/>
    <x v="5"/>
    <x v="2"/>
    <s v="Si Secop "/>
  </r>
  <r>
    <n v="20250153"/>
    <x v="2"/>
    <x v="6"/>
    <s v="Jose Andres Ponce Caicedo"/>
    <s v="INCENTIVOS"/>
    <s v="12 - resolucion"/>
    <s v="N/A"/>
    <n v="9"/>
    <n v="9"/>
    <n v="0"/>
    <n v="179741000"/>
    <x v="1"/>
    <s v="91 - n/a acto administrativo (resolución, decreto, acuerdo, etc.)"/>
    <x v="6"/>
    <x v="1"/>
    <x v="2"/>
    <x v="2"/>
    <x v="3"/>
    <s v="N/A"/>
    <s v="N/A-N/A"/>
    <x v="5"/>
    <s v="N/A"/>
    <s v="N/A_N/A"/>
    <s v="N/A-N/A N/A_N/A"/>
    <x v="5"/>
    <x v="5"/>
    <x v="2"/>
    <s v="Si Secop "/>
  </r>
  <r>
    <n v="20250154"/>
    <x v="2"/>
    <x v="6"/>
    <s v="Jose Andres Ponce Caicedo"/>
    <s v="Contratar la Prestación de Servicios para desarrollar el Plan de Bienestar de la UAE Cuerpo Oficial de Bomberos para la Vigencia 2024."/>
    <s v="03 - contrato de prestacion de servicios"/>
    <s v="90101600;90111600;90141700;90151700"/>
    <n v="3"/>
    <n v="8"/>
    <n v="0"/>
    <n v="1620259000"/>
    <x v="1"/>
    <s v="09 - contratación directa"/>
    <x v="6"/>
    <x v="1"/>
    <x v="2"/>
    <x v="2"/>
    <x v="3"/>
    <s v="N/A"/>
    <s v="N/A-N/A"/>
    <x v="5"/>
    <s v="N/A"/>
    <s v="N/A_N/A"/>
    <s v="N/A-N/A N/A_N/A"/>
    <x v="5"/>
    <x v="5"/>
    <x v="2"/>
    <s v="Si Secop "/>
  </r>
  <r>
    <n v="20250155"/>
    <x v="2"/>
    <x v="6"/>
    <s v="Jose Andres Ponce Caicedo"/>
    <s v="Contratar elementos de protección personal de acuerdo con las diferentes visitas de las estaciones según el sistema de gestión de salud ocupacional"/>
    <s v="03 - contrato de prestacion de servicios"/>
    <s v="46181900;46181901"/>
    <n v="3"/>
    <n v="4"/>
    <n v="0"/>
    <n v="61199000"/>
    <x v="1"/>
    <s v="02 - selec. abrev. menor cuantía"/>
    <x v="6"/>
    <x v="1"/>
    <x v="2"/>
    <x v="2"/>
    <x v="3"/>
    <s v="N/A"/>
    <s v="N/A-N/A"/>
    <x v="5"/>
    <s v="N/A"/>
    <s v="N/A_N/A"/>
    <s v="N/A-N/A N/A_N/A"/>
    <x v="5"/>
    <x v="5"/>
    <x v="2"/>
    <s v="Si Secop "/>
  </r>
  <r>
    <n v="20250156"/>
    <x v="1"/>
    <x v="7"/>
    <s v="Omer Mauricio Rivera Ruiz"/>
    <s v="Suministro de llantas y  prestación del servicio de instalación, alineación, balanceo y conexos a los vehículos del parque automotor de la U.A.E. Cuerpo Oficial de Bomberos de Bogotá - SBLG"/>
    <s v="03 - contrato de prestacion de servicios"/>
    <n v="25172500"/>
    <n v="2"/>
    <n v="12"/>
    <n v="0"/>
    <n v="15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7"/>
    <x v="1"/>
    <x v="7"/>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n v="46161600"/>
    <n v="4"/>
    <n v="12"/>
    <n v="0"/>
    <n v="746334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8"/>
    <x v="1"/>
    <x v="7"/>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
    <s v="17 - contrato de mantenimiento"/>
    <n v="78181500"/>
    <n v="4"/>
    <n v="12"/>
    <n v="0"/>
    <n v="4950000000"/>
    <x v="0"/>
    <s v="01 - licitación públic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Si Secop "/>
  </r>
  <r>
    <n v="20250159"/>
    <x v="1"/>
    <x v="7"/>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2"/>
    <n v="12"/>
    <n v="0"/>
    <n v="65000000"/>
    <x v="0"/>
    <s v="02 - selec. abrev. menor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5"/>
    <s v="Si Secop "/>
  </r>
  <r>
    <n v="20250160"/>
    <x v="1"/>
    <x v="7"/>
    <s v="Omer Mauricio Rivera Ruiz"/>
    <s v="Suministro de alimentación,  hidratación  y raciones para el cuerpo operativo en la atención de emergencias, entrenamientos, capacitaciones y actividades de prevención- - SBLG"/>
    <s v="08 - contrato de suministro"/>
    <s v="90101800;90101600;50192700;50112000;50202311;50201709;50161509;50192110;93131602"/>
    <n v="5"/>
    <n v="7"/>
    <n v="0"/>
    <n v="38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6"/>
    <s v="Si Secop "/>
  </r>
  <r>
    <n v="20250161"/>
    <x v="1"/>
    <x v="7"/>
    <s v="Omer Mauricio Rivera Ruiz"/>
    <s v="Suministrar combustible para los vehículos, y equipos especializados de la U.A.E. Cuerpo Oficial de Bomberos Bogotá dentro y fuera del perímetro del distrito capital de la  - SBLG"/>
    <s v="08 - contrato de suministro"/>
    <n v="15101500"/>
    <n v="2"/>
    <n v="12"/>
    <n v="0"/>
    <n v="1080000000"/>
    <x v="0"/>
    <s v="17 - acuerdo marco de precios"/>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7"/>
    <s v="Si Secop "/>
  </r>
  <r>
    <n v="20250162"/>
    <x v="1"/>
    <x v="7"/>
    <s v="Omer Mauricio Rivera Ruiz"/>
    <s v="Contratar el suministro de alimentación para los caninos del cuerpo oficial y animales rescatados por la U.A.E. del Cuerpo Oficial de Bomberos de Bogotá – . - SBLG"/>
    <s v="08 - contrato de suministro"/>
    <s v="10121801;10121802;10121602 "/>
    <n v="2"/>
    <n v="12"/>
    <n v="0"/>
    <n v="10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3"/>
    <x v="1"/>
    <x v="7"/>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12"/>
    <n v="0"/>
    <n v="12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4"/>
    <x v="1"/>
    <x v="7"/>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72101500;72154200"/>
    <n v="2"/>
    <n v="12"/>
    <n v="0"/>
    <n v="12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5"/>
    <x v="1"/>
    <x v="7"/>
    <s v="Omer Mauricio Rivera Ruiz"/>
    <s v="Suministrar repuestos, accesorios e insumos para los equipos menores  y transversales de propiedad de la UAECOB. - SBLG"/>
    <s v="08 - contrato de suministro"/>
    <s v="31261500; 31161500; 31161600; 31162300; 31162800; 31171500; 31171700; 39121600; 27121600 "/>
    <n v="3"/>
    <n v="10"/>
    <n v="0"/>
    <n v="15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6"/>
    <x v="1"/>
    <x v="7"/>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n v="3"/>
    <n v="12"/>
    <n v="0"/>
    <n v="40000000"/>
    <x v="0"/>
    <s v="04 - contratación mínima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7"/>
    <x v="1"/>
    <x v="7"/>
    <s v="Omer Mauricio Rivera Ruiz"/>
    <s v="Adquisición de concentrado de espuma, mantenimiento y recarga de extintores, cilindros y tanques de las maquinas extintoras de la UAECOB.   LOTE I Y LOTE II - SBLG"/>
    <s v="08 - contrato de suministro"/>
    <n v="72101509"/>
    <n v="2"/>
    <n v="12"/>
    <n v="0"/>
    <n v="25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3"/>
    <s v="Si Secop "/>
  </r>
  <r>
    <n v="20250168"/>
    <x v="1"/>
    <x v="7"/>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9"/>
    <x v="1"/>
    <x v="7"/>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5086432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0"/>
    <x v="1"/>
    <x v="7"/>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1"/>
    <x v="1"/>
    <x v="7"/>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40151601;40151802"/>
    <n v="3"/>
    <n v="12"/>
    <n v="0"/>
    <n v="10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2"/>
    <x v="1"/>
    <x v="7"/>
    <s v="Omer Mauricio Rivera Ruiz"/>
    <s v="Prestar el servicio de mantenimiento preventivo y correctivo de los Equipos acuaticos propiedad de la U.A.E. Cuerpo Oficial de Bomberos de Bogotá, incluido el suministro de repuestos, insumos y mano de obra especializada.  - SBLG"/>
    <s v="03 - contrato de prestacion de servicios"/>
    <s v="40151601;40151802"/>
    <n v="2"/>
    <n v="12"/>
    <n v="0"/>
    <n v="10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3"/>
    <x v="1"/>
    <x v="7"/>
    <s v="Omer Mauricio Rivera Ruiz"/>
    <s v="Mantenimiento y actulizacion de elementos para la atencion de emergencias, rescate y salvamento  acuatico  (Trajes de buceo) - SBLG"/>
    <s v="03 - contrato de prestacion de servicios"/>
    <s v="40151601;40151802"/>
    <n v="2"/>
    <n v="12"/>
    <n v="0"/>
    <n v="50000000"/>
    <x v="0"/>
    <s v="04 - contratación mínima cuantí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5"/>
    <s v="Si Secop "/>
  </r>
  <r>
    <n v="20250174"/>
    <x v="1"/>
    <x v="7"/>
    <s v="Omer Mauricio Rivera Ruiz"/>
    <s v="Prestación de servicios de apoyo a la gestión en el proceso de mantenimiento del equipo menor a cargo de la Subdirección Logística -SBLG."/>
    <s v="26 - contrato de prestacion de servicios de apoyo a la gestion"/>
    <n v="80111600"/>
    <n v="2"/>
    <n v="9"/>
    <n v="0"/>
    <n v="297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75"/>
    <x v="1"/>
    <x v="7"/>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5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6"/>
    <x v="1"/>
    <x v="7"/>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10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77"/>
    <x v="1"/>
    <x v="7"/>
    <s v="Omer Mauricio Rivera Ruiz"/>
    <s v="Prestar servicios de apoyo a la gestión en actividades administrativas y documentales que se desarrollen en la Subdirección Logística – SBLG."/>
    <s v="26 - contrato de prestacion de servicios de apoyo a la gestion"/>
    <n v="80111600"/>
    <n v="2"/>
    <n v="10"/>
    <n v="0"/>
    <n v="3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8"/>
    <x v="1"/>
    <x v="7"/>
    <s v="Omer Mauricio Rivera Ruiz"/>
    <s v="Prestación de servicios profesionales para apoyar la gestión financiera y presupuestal de los proyectos y planes a cargo de la Subdirección Logística - SBLG. "/>
    <s v="25 - contrato de prestacion de servicios profesionales"/>
    <n v="80111600"/>
    <n v="2"/>
    <n v="9"/>
    <n v="0"/>
    <n v="55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9"/>
    <x v="1"/>
    <x v="7"/>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0"/>
    <x v="1"/>
    <x v="7"/>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6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1"/>
    <x v="1"/>
    <x v="7"/>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2"/>
    <x v="1"/>
    <x v="7"/>
    <s v="Omer Mauricio Rivera Ruiz"/>
    <s v="Prestación de servicios de apoyo a la gestión en el proceso de mantenimiento del equipo menor a cargo de la Subdirección Logística -SBLG."/>
    <s v="26 - contrato de prestacion de servicios de apoyo a la gestion"/>
    <n v="80111600"/>
    <n v="2"/>
    <n v="10"/>
    <n v="0"/>
    <n v="3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3"/>
    <x v="1"/>
    <x v="7"/>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4"/>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5"/>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6"/>
    <x v="1"/>
    <x v="7"/>
    <s v="Omer Mauricio Rivera Ruiz"/>
    <s v="Prestar servicios profesionales para apoyar en los diferentes procesos de planeación,  administrativos e inventario de la Subdirección Logística – SBLG. "/>
    <s v="25 - contrato de prestacion de servicios profesionales"/>
    <n v="80111600"/>
    <n v="2"/>
    <n v="10"/>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7"/>
    <x v="1"/>
    <x v="7"/>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9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8"/>
    <x v="1"/>
    <x v="7"/>
    <s v="Omer Mauricio Rivera Ruiz"/>
    <s v="Prestar  servicios de apoyo a la gestión en_x000a_actividades Técnicas, administrativas y documentales de la_x000a_Subdirección Logística - SBLG"/>
    <s v="26 - contrato de prestacion de servicios de apoyo a la gestion"/>
    <n v="80111600"/>
    <n v="2"/>
    <n v="9"/>
    <n v="0"/>
    <n v="288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9"/>
    <x v="1"/>
    <x v="7"/>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374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0"/>
    <x v="1"/>
    <x v="7"/>
    <s v="Omer Mauricio Rivera Ruiz"/>
    <s v="Prestar servicio de apoyo a la gestión para asistir a la Subdirección Logística en el seguimiento técnico y administrativo del mantenimiento de los vehículos del parque automotor de la UAECOB - SBLG"/>
    <s v="26 - contrato de prestacion de servicios de apoyo a la gestion"/>
    <n v="80111600"/>
    <n v="2"/>
    <n v="11"/>
    <n v="0"/>
    <n v="38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1"/>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2"/>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1023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3"/>
    <x v="1"/>
    <x v="7"/>
    <s v="Omer Mauricio Rivera Ruiz"/>
    <s v="Prestación de servicios de apoyo a la gestión en la recepción, trámite, gestión y resolución de todas las incidencias o solicitudes reportadas a través de la herramienta de la mesa logística de la Subdirección Logística de la UAECOB. –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4"/>
    <x v="1"/>
    <x v="7"/>
    <s v="Omer Mauricio Rivera Ruiz"/>
    <s v="Prestar servicios profesionales en la seguimiento,verificación y control administrativo financiero de los procesos contractuales en la etapa de ejecución a cargo de la Subdirección Logistica – . - SBLG"/>
    <s v="25 - contrato de prestacion de servicios profesionales"/>
    <n v="80111600"/>
    <n v="2"/>
    <n v="11"/>
    <n v="0"/>
    <n v="61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5"/>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9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96"/>
    <x v="1"/>
    <x v="7"/>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8"/>
    <x v="1"/>
    <x v="7"/>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935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9"/>
    <x v="1"/>
    <x v="7"/>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6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0"/>
    <x v="1"/>
    <x v="7"/>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1"/>
    <x v="1"/>
    <x v="7"/>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2"/>
    <x v="1"/>
    <x v="7"/>
    <s v="Omer Mauricio Rivera Ruiz"/>
    <s v="Prestación de servicios profesionales para apoyar las actividades relacionadas con el seguimiento y control administrativo, financiero y contractual del proceso de mantenimiento del parque automotor a cargo de la Subdirección Logística - SBLG."/>
    <s v="26 - contrato de prestacion de servicios de apoyo a la gestion"/>
    <n v="80111600"/>
    <n v="2"/>
    <n v="10"/>
    <n v="0"/>
    <n v="5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3"/>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8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04"/>
    <x v="1"/>
    <x v="7"/>
    <s v="Omer Mauricio Rivera Ruiz"/>
    <s v="Prestar servicios de apoyo a la gestión para realizar seguimiento y control en el analisis de datos de los diferentes aplicativos tecnologicos de la Subdirección Logistica. SBLG "/>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5"/>
    <x v="1"/>
    <x v="7"/>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2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6"/>
    <x v="1"/>
    <x v="7"/>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8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8"/>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6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9"/>
    <x v="1"/>
    <x v="7"/>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0"/>
    <x v="1"/>
    <x v="7"/>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1"/>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2"/>
    <x v="1"/>
    <x v="7"/>
    <s v="Omer Mauricio Rivera Ruiz"/>
    <s v="Prestar servicios profesionales para realizar seguimiento y control de los diferentes procesos administrativos a cargo de la Subdirección Logística - SBLG. "/>
    <s v="25 - contrato de prestacion de servicios profesionales"/>
    <n v="80111600"/>
    <n v="2"/>
    <n v="10"/>
    <n v="0"/>
    <n v="61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3"/>
    <x v="1"/>
    <x v="7"/>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5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14"/>
    <x v="1"/>
    <x v="7"/>
    <s v="Omer Mauricio Rivera Ruiz"/>
    <s v="Prestar servicios profesionales en las actividades administrativas y financieras que requieran los procesos de la Subdirección Logística- SBLG"/>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5"/>
    <x v="1"/>
    <x v="7"/>
    <s v="Omer Mauricio Rivera Ruiz"/>
    <s v="Prestar los servicios profesionales para la gestión, financiera de los proyectos y procesos de la Subdirección - SBLG."/>
    <s v="25 - contrato de prestacion de servicios profesionales"/>
    <n v="80111600"/>
    <n v="2"/>
    <n v="10"/>
    <n v="0"/>
    <n v="6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6"/>
    <x v="1"/>
    <x v="7"/>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7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7"/>
    <x v="1"/>
    <x v="7"/>
    <s v="Omer Mauricio Rivera Ruiz"/>
    <s v="Prestación de servicios profesionales técnicos y administrativos en el seguimiento y control en los diferentes procesos y procedimiemtos incluyendo el sistema de Gestión ambiental de la Subdirección Logística . -SBGL"/>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8"/>
    <x v="1"/>
    <x v="7"/>
    <s v="Omer Mauricio Rivera Ruiz"/>
    <s v="Brind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0"/>
    <x v="1"/>
    <x v="7"/>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1"/>
    <x v="1"/>
    <x v="7"/>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2"/>
    <x v="1"/>
    <x v="7"/>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003568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3"/>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8795000"/>
    <x v="1"/>
    <s v="04 - contratación mínima cuantía"/>
    <x v="6"/>
    <x v="1"/>
    <x v="2"/>
    <x v="2"/>
    <x v="3"/>
    <s v="N/A"/>
    <s v="N/A-N/A"/>
    <x v="5"/>
    <s v="N/A"/>
    <s v="N/A_N/A"/>
    <s v="N/A-N/A N/A_N/A"/>
    <x v="5"/>
    <x v="5"/>
    <x v="9"/>
    <s v="Si Secop "/>
  </r>
  <r>
    <n v="20250224"/>
    <x v="1"/>
    <x v="8"/>
    <s v="William Tovar Segura"/>
    <s v="“Adquisición de elementos de apoyo didáctico y pedagógico para actividades, programas y campañas requeridas en la Subdirección de Gestión del Riesgo_SGR”"/>
    <s v="06 - contrato de compraventa"/>
    <s v="60141000_x000a_60141100_x000a_60141200_x000a_60141400_x000a_73101500_x000a_73151500"/>
    <n v="1"/>
    <n v="3"/>
    <n v="0"/>
    <n v="30000000"/>
    <x v="0"/>
    <s v="5 - contratación mínima cuantí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25"/>
    <x v="1"/>
    <x v="8"/>
    <s v="William Tovar Segura"/>
    <s v="Adquisición de insumos y materias primas para la producción de impresos de artes gráficas_ SGR."/>
    <s v="06 - contrato de compraventa"/>
    <s v="60121104_x000a_60121708_x000a_44111515_x000a_24121503_x000a_24112404"/>
    <n v="1"/>
    <n v="3"/>
    <n v="0"/>
    <n v="35000000"/>
    <x v="0"/>
    <s v="6 - contratación mínima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6"/>
    <x v="1"/>
    <x v="8"/>
    <s v="William Tovar Segura"/>
    <s v="Prestar servicios profesionales a la Subdirección de Gestión del Riesgo liderando las actividades del proceso de inspecciones técnicas del Riesgo._SGR"/>
    <s v="25 - contrato de prestacion de servicios profesionales"/>
    <n v="80111600"/>
    <n v="1"/>
    <n v="10"/>
    <n v="0"/>
    <n v="100000000"/>
    <x v="0"/>
    <s v="0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27"/>
    <x v="1"/>
    <x v="8"/>
    <s v="William Tovar Segura"/>
    <s v="Prestar servicios profesionales a la Subdirección de Gestión del Riesgo coordinando las actividades del proceso de Conocimiento del Riesgo._SGR"/>
    <s v="25 - contrato de prestacion de servicios profesionales"/>
    <n v="80111600"/>
    <n v="1"/>
    <n v="10"/>
    <n v="0"/>
    <n v="20000000"/>
    <x v="0"/>
    <s v="0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8"/>
    <x v="1"/>
    <x v="8"/>
    <s v="William Tovar Segura"/>
    <s v="Prestar servicios profesionales a la Subdirección de Gestión del Riesgo para la definicion de lineamientos de infraestructura de la UAECOB_SGR."/>
    <s v="25 - contrato de prestacion de servicios profesionales"/>
    <n v="80111600"/>
    <n v="1"/>
    <n v="10"/>
    <n v="0"/>
    <n v="5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9"/>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10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0"/>
    <x v="1"/>
    <x v="8"/>
    <s v="William Tovar Segura"/>
    <s v="Prestar servicios profesionales en las actividades de planeación y gestió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1"/>
    <x v="1"/>
    <x v="8"/>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32"/>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3"/>
    <x v="1"/>
    <x v="8"/>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4"/>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5"/>
    <x v="1"/>
    <x v="8"/>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6"/>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7"/>
    <x v="1"/>
    <x v="8"/>
    <s v="William Tovar Segura"/>
    <s v="Prestar servicios profesionales para el desarrollo de actividades de planeación y gestión para la Subdirección de Gestión del Riesgo._SGR"/>
    <s v="25 - contrato de prestacion de servicios profesionales"/>
    <n v="80111600"/>
    <n v="1"/>
    <n v="10"/>
    <n v="0"/>
    <n v="4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8"/>
    <x v="1"/>
    <x v="8"/>
    <s v="William Tovar Segura"/>
    <s v="Prestar servicios de apoyo a la gestión como conductor en la Subdirección de Gestión del Riesgo._SGR"/>
    <s v="26 - contrato de prestacion de servicios de apoyo a la gestion"/>
    <n v="80111600"/>
    <n v="1"/>
    <n v="10"/>
    <n v="0"/>
    <n v="35000000"/>
    <x v="0"/>
    <s v="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9"/>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40"/>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1"/>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2"/>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3"/>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4"/>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5"/>
    <x v="1"/>
    <x v="8"/>
    <s v="William Tovar Segura"/>
    <s v="Prestar  servicios profesionales en las actividades de proyeccion e innovacion para la Subdirección de Gestión del Riesgo._SGR"/>
    <s v="25 - contrato de prestacion de servicios profesionales"/>
    <n v="80111600"/>
    <n v="1"/>
    <n v="10"/>
    <n v="0"/>
    <n v="5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6"/>
    <x v="1"/>
    <x v="8"/>
    <s v="William Tovar Segura"/>
    <s v="Prestar servicios profesionales en las actividades de identificacion de escenarios a cargo de la Subdirección de Gestión del Riesgo._SGR"/>
    <s v="25 - contrato de prestacion de servicios profesionales"/>
    <n v="80111600"/>
    <n v="1"/>
    <n v="10"/>
    <n v="0"/>
    <n v="6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7"/>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8"/>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9"/>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51"/>
    <x v="1"/>
    <x v="8"/>
    <s v="William Tovar Segura"/>
    <s v="prestar servicios profesionales liderando las actividades de caracterización de escenarios y monitoreo de gestión del riesgo.SGR"/>
    <s v="25 - contrato de prestacion de servicios profesionales"/>
    <n v="80111600"/>
    <n v="1"/>
    <n v="10"/>
    <n v="0"/>
    <n v="9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2"/>
    <x v="1"/>
    <x v="8"/>
    <s v="William Tovar Segura"/>
    <s v="Prestar servicios profesionales en las actividades de monitoreo del riesgo para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3"/>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4"/>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5"/>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6"/>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7"/>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8"/>
    <x v="1"/>
    <x v="8"/>
    <s v="William Tovar Segura"/>
    <s v="Prestar servicios profesionales en las actividades de monitoreo del riesgo para la Subdirección de Gestión del Riesgo._SGR"/>
    <s v="25 - contrato de prestacion de servicios profesionales"/>
    <n v="80111600"/>
    <n v="1"/>
    <n v="10"/>
    <n v="0"/>
    <n v="4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9"/>
    <x v="1"/>
    <x v="8"/>
    <s v="William Tovar Segura"/>
    <s v="Prestar servicios de apoyo a la gestion en las actividades de monitoreo del riesgo para la Subdirección de Gestión del Riesgo._SGR"/>
    <s v="26 - contrato de prestacion de servicios de apoyo a la gestion"/>
    <n v="80111600"/>
    <n v="1"/>
    <n v="10"/>
    <n v="0"/>
    <n v="35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0"/>
    <x v="1"/>
    <x v="8"/>
    <s v="William Tovar Segura"/>
    <s v="Prestar servicios profesionales liderando las actividades de Programas y Campañas de Prevención para la Subdirección de Gestión del Riesgo._SGR"/>
    <s v="25 - contrato de prestacion de servicios profesionales"/>
    <n v="80111600"/>
    <n v="1"/>
    <n v="11"/>
    <n v="0"/>
    <n v="88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1"/>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2"/>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3"/>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4"/>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5"/>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6"/>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6000000"/>
    <x v="0"/>
    <s v="01 - licitación públic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67"/>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1"/>
    <n v="12"/>
    <n v="0"/>
    <n v="107000000"/>
    <x v="0"/>
    <s v="02 - selec. abrev. menor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8"/>
    <x v="1"/>
    <x v="8"/>
    <s v="William Tovar Segura"/>
    <s v="Adquisición de elementos de identificación institucional para el programa de Bomberitos_SGR."/>
    <s v="08 - contrato de suministro"/>
    <s v="60141000_x000a_60141100_x000a_60141200_x000a_60141400_x000a_73101500_x000a_73151500"/>
    <n v="1"/>
    <n v="3"/>
    <n v="0"/>
    <n v="50000000"/>
    <x v="0"/>
    <s v="04 - contratación mínima cuantí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9"/>
    <x v="1"/>
    <x v="8"/>
    <s v="William Tovar Segura"/>
    <s v="Prestar servicios profesionales para la gestión de la SGR, en su compomente técnico, administrativo y análisis financier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70"/>
    <x v="1"/>
    <x v="8"/>
    <s v="William Tovar Segura"/>
    <s v="Prestar sus servicios profesionales en las actividad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1"/>
    <x v="1"/>
    <x v="8"/>
    <s v="William Tovar Segura"/>
    <s v="Prestar servicios profesionales para realizar las actividda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2"/>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3"/>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4"/>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8"/>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9"/>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3"/>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4"/>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7"/>
    <x v="1"/>
    <x v="8"/>
    <s v="William Tovar Segura"/>
    <s v="Prestar sus servicios profesionales en los procesos de formacion y capacitacion de la Subdirección de Gestión del Riesgo para las acciones derivadas de la plataforma virtual.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88"/>
    <x v="1"/>
    <x v="8"/>
    <s v="William Tovar Segura"/>
    <s v="Prestar servicios profesionales en los procesos de formacion y capacitacio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89"/>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0"/>
    <x v="1"/>
    <x v="8"/>
    <s v="William Tovar Segura"/>
    <s v="Prestar servicios profesionales en los procesos de formacion y capacitacion de la subdirección de gestión del riesg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1"/>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2"/>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3"/>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4"/>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5"/>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6"/>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10"/>
    <n v="15"/>
    <n v="2976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7"/>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8"/>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9"/>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10"/>
    <n v="0"/>
    <n v="283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0"/>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8"/>
    <n v="1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7"/>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21288667"/>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8"/>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10"/>
    <n v="15"/>
    <n v="2535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9"/>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0"/>
    <x v="1"/>
    <x v="9"/>
    <s v="Mauricio Ayála Vásquez"/>
    <s v="Prestación de servicios para apoyar  la gestión administrativa, documental y según lo requerido  en la estación de bomberos asignada, a cargo de la Subdirección Operativa  S.O."/>
    <s v="26 - contrato de prestacion de servicios de apoyo a la gestion"/>
    <n v="80111600"/>
    <n v="2"/>
    <n v="6"/>
    <n v="0"/>
    <n v="2535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n v="0"/>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10"/>
    <m/>
    <n v="24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7"/>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1"/>
    <n v="0"/>
    <n v="5890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8"/>
    <x v="1"/>
    <x v="9"/>
    <s v="Mauricio Ayála Vásquez"/>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9"/>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15"/>
    <n v="56227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0"/>
    <x v="1"/>
    <x v="9"/>
    <s v="Mauricio Ayála Vásquez"/>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11"/>
    <n v="0"/>
    <n v="3118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1"/>
    <x v="1"/>
    <x v="9"/>
    <s v="Mauricio Ayála Vásquez"/>
    <s v="prestación de servicios de apoyo para transportar los recursos para el cumplimiento de las funciones y  brindar la atención en los diferentes requerimientos y gestiones a cargo de la dependencia."/>
    <s v="26 - contrato de prestacion de servicios de apoyo a la gestion"/>
    <n v="80111600"/>
    <n v="2"/>
    <n v="11"/>
    <n v="0"/>
    <n v="365904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2"/>
    <x v="1"/>
    <x v="9"/>
    <s v="Mauricio Ayála Vásquez"/>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3"/>
    <x v="1"/>
    <x v="9"/>
    <s v="Mauricio Ayála Vásquez"/>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92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4"/>
    <x v="1"/>
    <x v="9"/>
    <s v="Mauricio Ayála Vásquez"/>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5"/>
    <x v="1"/>
    <x v="9"/>
    <s v="Mauricio Ayála Vásquez"/>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1"/>
    <n v="0"/>
    <n v="77385001"/>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6"/>
    <x v="1"/>
    <x v="9"/>
    <s v="Mauricio Ayála Vásquez"/>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7"/>
    <x v="1"/>
    <x v="9"/>
    <s v="Mauricio Ayála Vásquez"/>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8"/>
    <x v="1"/>
    <x v="9"/>
    <s v="Mauricio Ayála Vásquez"/>
    <s v="prestación de servicios profesionales para realizar la planeación, trámite y seguimiento de los aspectos presupuestales, financieros y contractuales a cargo de la dependencia - s.o."/>
    <s v="25 - contrato de prestacion de servicios profesionales"/>
    <n v="80111600"/>
    <n v="2"/>
    <n v="10"/>
    <n v="15"/>
    <n v="7717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9"/>
    <x v="1"/>
    <x v="9"/>
    <s v="Mauricio Ayála Vásquez"/>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0"/>
    <x v="1"/>
    <x v="9"/>
    <s v="Mauricio Ayála Vásquez"/>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1"/>
    <x v="1"/>
    <x v="9"/>
    <s v="Mauricio Ayála Vásquez"/>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2"/>
    <x v="1"/>
    <x v="9"/>
    <s v="Mauricio Ayála Vásquez"/>
    <s v="prestación de servicios profesionales para la a estructuración, revisión, seguimiento y verificación de los procesos contractuales en las diferentes etapas y brindar el acompañamiento jurídico en el desarrollo de las actividades inherentes a los procesos y procedimientos que son competencia de la dependencia. - s.o."/>
    <s v="25 - contrato de prestacion de servicios profesionales"/>
    <n v="80111600"/>
    <n v="3"/>
    <n v="10"/>
    <n v="0"/>
    <n v="94683333"/>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3"/>
    <x v="1"/>
    <x v="9"/>
    <s v="Mauricio Ayála Vásquez"/>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4"/>
    <x v="1"/>
    <x v="9"/>
    <s v="Mauricio Ayála Vásquez"/>
    <s v="prestación de servicios profesionales para la sustanciación, revisión y trámite de solicitudes dirigidas a autoridades administrativas, respuestas a pqrs, derechos de petición,  requerimientos que efectúen los entes de control, así como brindar acompañamiento juridico en la estructuración de los procesos y procedimientos que sea requerido por la dependencia s.o."/>
    <s v="25 - contrato de prestacion de servicios profesionales"/>
    <n v="80111600"/>
    <n v="3"/>
    <n v="10"/>
    <n v="0"/>
    <n v="682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5"/>
    <x v="1"/>
    <x v="9"/>
    <s v="Mauricio Ayála Vásquez"/>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2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6"/>
    <x v="1"/>
    <x v="9"/>
    <s v="Mauricio Ayála Vásquez"/>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10"/>
    <n v="15"/>
    <n v="661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7"/>
    <x v="1"/>
    <x v="9"/>
    <s v="Mauricio Ayála Vásquez"/>
    <s v="prestación de servicios profesionales para ejecutar las actividades relacionadas con el sistema de gestión de calidad, el sistema ambiental y el sistema de control interno-s.o."/>
    <s v="25 - contrato de prestacion de servicios profesionales"/>
    <n v="80111600"/>
    <n v="2"/>
    <n v="10"/>
    <n v="15"/>
    <n v="60637496"/>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8"/>
    <x v="1"/>
    <x v="9"/>
    <s v="Mauricio Ayála Vásquez"/>
    <s v="prestación de servicios profesionales para ejecutar las actividades de carácter administrativo y de apoyo de los procesos y procedimientos a cargo de la subdirección operativa-s.o."/>
    <s v="25 - contrato de prestacion de servicios profesionales"/>
    <n v="80111600"/>
    <n v="3"/>
    <n v="10"/>
    <n v="0"/>
    <n v="50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9"/>
    <x v="1"/>
    <x v="9"/>
    <s v="Mauricio Ayála Vásquez"/>
    <s v="prestación de servicios profesionales con plena autonomía técnica y administrativa en el seguimiento, verificación y alimentación de los sistemas de información y demás requerimientos de acuerdo con las funciones de la dependencia-s.o."/>
    <s v="25 - contrato de prestacion de servicios profesionales"/>
    <n v="80111600"/>
    <n v="3"/>
    <n v="10"/>
    <n v="0"/>
    <n v="577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0"/>
    <x v="1"/>
    <x v="9"/>
    <s v="Mauricio Ayála Vásquez"/>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1"/>
    <x v="1"/>
    <x v="9"/>
    <s v="Mauricio Ayála Vásquez"/>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10"/>
    <n v="15"/>
    <n v="7717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2"/>
    <x v="1"/>
    <x v="9"/>
    <s v="Mauricio Ayála Vásquez"/>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10"/>
    <n v="15"/>
    <n v="7717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3"/>
    <x v="1"/>
    <x v="9"/>
    <s v="Mauricio Ayála Vásquez"/>
    <s v="prestación de servicios profesionales para gestionar y ejecutar la  estrategia de preparativos de la uae cuerpo oficial de bomberos de bogotá s.o."/>
    <s v="25 - contrato de prestacion de servicios profesionales"/>
    <n v="80111600"/>
    <n v="2"/>
    <n v="10"/>
    <n v="15"/>
    <n v="937125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4"/>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10"/>
    <n v="15"/>
    <n v="65653875"/>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5"/>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10"/>
    <n v="15"/>
    <n v="65653875"/>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6"/>
    <x v="1"/>
    <x v="9"/>
    <s v="Mauricio Ayála Vásquez"/>
    <s v="Adquisición de elementos de protección personal (E.P.P.) para la atención de emergencias de la UAE Cuerpo Oficial de Bomberos de Bogotá"/>
    <s v="08 - contrato de suministro"/>
    <n v="80111600"/>
    <n v="2"/>
    <n v="6"/>
    <n v="0"/>
    <n v="3000000000"/>
    <x v="0"/>
    <s v="03 - selec. abrev. subasta invers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n v="20250347"/>
    <x v="1"/>
    <x v="9"/>
    <s v="Mauricio Ayála Vásquez"/>
    <s v="Adquisición de equipos, herramientas y accesorios (E.H.A.) para la atención de emergencias de la UAE Cuerpo Oficial de Bomberos de Bogotá"/>
    <s v="08 - contrato de suministro"/>
    <n v="80111600"/>
    <n v="2"/>
    <n v="3"/>
    <n v="0"/>
    <n v="1436467353"/>
    <x v="0"/>
    <s v="03 - selec. abrev. subasta invers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n v="20250348"/>
    <x v="1"/>
    <x v="9"/>
    <s v="Mauricio Ayála Vásquez"/>
    <s v="Adquisición de vehículos operativos o especilizados para la atención de emergencias de la UAE  Cuerpo Oficial de Bomberos de Bogotá"/>
    <s v="06 - contrato de compraventa"/>
    <n v="80111600"/>
    <n v="2"/>
    <n v="12"/>
    <n v="0"/>
    <n v="8054000000"/>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9"/>
    <x v="1"/>
    <x v="9"/>
    <s v="Mauricio Ayála Vásquez"/>
    <s v="Adquisición de tecnologia  especilizada para la atención de emergencias de la UAE  Cuerpo Oficial de Bomberos de Bogotá"/>
    <s v="06 - contrato de compraventa"/>
    <n v="80111600"/>
    <n v="2"/>
    <n v="12"/>
    <n v="0"/>
    <n v="994376000"/>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10"/>
    <s v="Si Secop "/>
  </r>
  <r>
    <n v="20250350"/>
    <x v="2"/>
    <x v="9"/>
    <s v="Mauricio Ayala Vasquez"/>
    <s v="Adquisición de uniformes para el personal operativo de la UAECOB"/>
    <s v="06 - contrato de compraventa"/>
    <n v="53102710"/>
    <n v="2"/>
    <n v="6"/>
    <n v="0"/>
    <n v="300050000"/>
    <x v="1"/>
    <s v="03 - selec. abrev. subasta inversa"/>
    <x v="6"/>
    <x v="1"/>
    <x v="2"/>
    <x v="2"/>
    <x v="3"/>
    <s v="N/A"/>
    <s v="N/A-N/A"/>
    <x v="5"/>
    <s v="N/A"/>
    <s v="N/A_N/A"/>
    <s v="N/A-N/A N/A_N/A"/>
    <x v="5"/>
    <x v="5"/>
    <x v="11"/>
    <s v="Si Secop "/>
  </r>
  <r>
    <n v="20250351"/>
    <x v="0"/>
    <x v="10"/>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2"/>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85387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3"/>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54"/>
    <x v="0"/>
    <x v="10"/>
    <s v="Paula Ximena Henao Escobar"/>
    <s v="Prestar servicios profesionales para administrar, gestionar y mantener las bases de datos de la UAE Cuerpo Oficial de Bomberos Bogotá. -TIC"/>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5"/>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9108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6"/>
    <x v="0"/>
    <x v="10"/>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89555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7"/>
    <x v="0"/>
    <x v="10"/>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8"/>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9"/>
    <x v="0"/>
    <x v="10"/>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81972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0"/>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61"/>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2"/>
    <x v="0"/>
    <x v="10"/>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99415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3"/>
    <x v="0"/>
    <x v="10"/>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4"/>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831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5"/>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6"/>
    <x v="0"/>
    <x v="10"/>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42124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7"/>
    <x v="0"/>
    <x v="10"/>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643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8"/>
    <x v="0"/>
    <x v="10"/>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9"/>
    <x v="0"/>
    <x v="10"/>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0"/>
    <x v="0"/>
    <x v="10"/>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47300000"/>
    <x v="0"/>
    <s v="09 - contratación directa"/>
    <x v="17"/>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1"/>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2"/>
    <n v="11"/>
    <n v="0"/>
    <n v="938124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2"/>
    <x v="0"/>
    <x v="10"/>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7817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3"/>
    <x v="0"/>
    <x v="10"/>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96950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4"/>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5"/>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8"/>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6"/>
    <x v="0"/>
    <x v="10"/>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986000"/>
    <x v="0"/>
    <s v="09 - contratación directa"/>
    <x v="19"/>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7"/>
    <x v="0"/>
    <x v="10"/>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986000"/>
    <x v="0"/>
    <s v="09 - contratación directa"/>
    <x v="20"/>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8"/>
    <x v="0"/>
    <x v="10"/>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33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9"/>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6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8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81"/>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82"/>
    <x v="0"/>
    <x v="10"/>
    <s v="Paula Ximena Henao Escobar"/>
    <s v="Adquisición, instalación, funcionamiento y puesta en marcha de una plataforma tecnológica, para el servicio de telefonía de voz  IP para La U.A.E. Cuerpo Oficial de Bomberos de Bogotá - TICs"/>
    <s v="17 - contrato de mantenimiento"/>
    <s v="43221700;43191500"/>
    <n v="3"/>
    <n v="9"/>
    <n v="0"/>
    <n v="15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3"/>
    <x v="0"/>
    <x v="10"/>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1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4"/>
    <x v="0"/>
    <x v="10"/>
    <s v="Paula Ximena Henao Escobar"/>
    <s v="Contratar el servicio de soporte del software Veeam Backup para la U.A.E. Cuerpo oficial de Bomberos de Bogotá - TIC"/>
    <s v="24 - contrato de servicio"/>
    <n v="81112200"/>
    <n v="3"/>
    <n v="9"/>
    <n v="0"/>
    <n v="75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5"/>
    <x v="0"/>
    <x v="10"/>
    <s v="Paula Ximena Henao Escobar"/>
    <s v="Contratar el servicio de soporte del sistema misional FUOCO para la U.A.E. Cuerpo Oficial de Bomberos de Bogotá de acuerdo a lo contemplado en el anexo técnico.-TIC-"/>
    <s v="24 - contrato de servicio"/>
    <s v="81112200;81112201"/>
    <n v="3"/>
    <n v="9"/>
    <n v="0"/>
    <n v="17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6"/>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30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87"/>
    <x v="0"/>
    <x v="10"/>
    <s v="Paula Ximena Henao Escobar"/>
    <s v="Adicionar el contrato cuyo objeto es &quot;Contratar la renovación y soporte de licenciamiento del antivirus de la U.A.E. Cuerpo Oficial de Bomberos de Bogotá - TIC&quot;"/>
    <s v="24 - contrato de servicio"/>
    <n v="43233205"/>
    <n v="3"/>
    <n v="9"/>
    <n v="0"/>
    <n v="20000000"/>
    <x v="0"/>
    <s v="04 - contratación mínima cuantí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388"/>
    <x v="0"/>
    <x v="10"/>
    <s v="Paula Ximena Henao Escobar"/>
    <s v="Contratar la adquisición, renovación y  suscripciones de licencia Microsoft para la U.A.E. Cuerpo Oficial de Bomberos de Bogotá - TIC"/>
    <s v="03 - contrato de prestacion de servicios"/>
    <s v="43231512;81112501"/>
    <n v="3"/>
    <n v="9"/>
    <n v="0"/>
    <n v="7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389"/>
    <x v="0"/>
    <x v="10"/>
    <s v="Paula Ximena Henao Escobar"/>
    <s v="Contratar el alquiler de equipos tecnológicos, periféricos y servicios complementarios para la U.A.E. Cuerpo Oficial de Bomberos de Bogotá. - TIC"/>
    <s v="23 - contrato de alquiler"/>
    <n v="81112401"/>
    <n v="3"/>
    <n v="9"/>
    <n v="0"/>
    <n v="50000000"/>
    <x v="0"/>
    <s v="04 - contratación mínima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390"/>
    <x v="0"/>
    <x v="10"/>
    <s v="Paula Ximena Henao Escobar"/>
    <s v="Contratar el servicio de soporte y mantenimiento del sistema de gestión documental  para la U.A.E. Cuerpo Oficial de Bomberos de Bogotá- TIC"/>
    <s v="13 - orden de servicio"/>
    <s v="43233000;81112200"/>
    <n v="3"/>
    <n v="9"/>
    <n v="0"/>
    <n v="21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1"/>
    <x v="0"/>
    <x v="10"/>
    <s v="Paula Ximena Henao Escobar"/>
    <s v="Contratar el servicio de nube publica para la U.A.E Cuerpo Oficial de Bomberos de Bogotá - TIC"/>
    <s v="24 - contrato de servicio"/>
    <n v="81112006"/>
    <n v="3"/>
    <n v="9"/>
    <n v="0"/>
    <n v="1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2"/>
    <x v="0"/>
    <x v="10"/>
    <s v="Paula Ximena Henao Escobar"/>
    <s v="Contratar la renovación , servicio de actualización y soporte de licenciamiento Oracle para Base de Datos,  y Web Logic para la U.A.E. Cuerpo Oficial de Bomberos de Bogotá - TIC"/>
    <s v="19 - contrato de renovacion de licencias"/>
    <s v="81112204;81112501"/>
    <n v="3"/>
    <n v="9"/>
    <n v="0"/>
    <n v="1445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3"/>
    <x v="0"/>
    <x v="10"/>
    <s v="Paula Ximena Henao Escobar"/>
    <s v="Adicionar el contrato cuyo objeto es &quot;Contratar el servicio de mantenimiento para el sistema de atención de turnos de la U.A.E. Cuerpo Oficial de Bomberos de Bogotá - TIC&quot;"/>
    <s v="27 - contrato de prestacion de servicios de mantenimiento"/>
    <s v="32131023;39121011;43232300"/>
    <n v="3"/>
    <n v="9"/>
    <n v="0"/>
    <n v="2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4"/>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5"/>
    <x v="0"/>
    <x v="10"/>
    <s v="Paula Ximena Henao Escobar"/>
    <s v="Contratar la adquision, actualizacion tecnológica, soporte y mantenimiento preventivo y correctivo con repuestos, para los sistemas de video vigilancia de la U.A.E. Cuerpo Oficial de Bomberos de Bogotá - TIC."/>
    <s v="24 - contrato de servicio"/>
    <n v="43233200"/>
    <n v="3"/>
    <n v="9"/>
    <n v="0"/>
    <n v="15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6"/>
    <x v="0"/>
    <x v="10"/>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7"/>
    <x v="0"/>
    <x v="10"/>
    <s v="Paula Ximena Henao Escobar"/>
    <s v="Adicionar el contrato cuyo objeto es &quot;Contratar el servicio de actualización y soporte de licenciamiento ArcGIS para la U.A.E. Cuerpo Oficial de Bomberos de Bogotá.- TIC&quot;"/>
    <s v="19 - contrato de renovacion de licencias"/>
    <n v="81112217"/>
    <n v="3"/>
    <n v="9"/>
    <n v="0"/>
    <n v="3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8"/>
    <x v="0"/>
    <x v="10"/>
    <s v="Paula Ximena Henao Escobar"/>
    <s v="Contratar la adquisición de usuarios de ArcGis para la U.A.E. Cuerpo Oficial de Bomberos de Bogotá. - TIC"/>
    <s v="19 - contrato de renovacion de licencias"/>
    <n v="81112217"/>
    <n v="1"/>
    <n v="12"/>
    <n v="0"/>
    <n v="2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399"/>
    <x v="0"/>
    <x v="10"/>
    <s v="Paula Ximena Henao Escobar"/>
    <s v="Contratar la adquisición de tarjetas de comunicación satelital de voz, para la U.A.E. Cuerpo Oficial de Bomberos de Bogotá. "/>
    <s v="03 - contrato de prestacion de servicios"/>
    <s v="83121700;83111600;43221700"/>
    <n v="3"/>
    <n v="9"/>
    <n v="0"/>
    <n v="3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0"/>
    <x v="0"/>
    <x v="10"/>
    <s v="Paula Ximena Henao Escobar"/>
    <s v="Adquisición de software para análisis de vulnerabilidades para la UAE Cuerpo Oficial de Bomberos de Bogotá"/>
    <s v="24 - contrato de servicio"/>
    <s v="43233203, 43233205"/>
    <n v="3"/>
    <n v="9"/>
    <n v="0"/>
    <n v="20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1"/>
    <x v="0"/>
    <x v="10"/>
    <s v="Paula Ximena Henao Escobar"/>
    <s v="Contratar la adquisición de equipo, software e insumos para la generación de carnets, para la U.A.E. Cuerpo Oficial de Bomberos de Bogotá."/>
    <s v="06 - contrato de compraventa"/>
    <s v="43212105, 43212110,43212115"/>
    <n v="3"/>
    <n v="9"/>
    <n v="0"/>
    <n v="28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2"/>
    <x v="0"/>
    <x v="10"/>
    <s v="Paula Ximena Henao Escobar"/>
    <s v="Contratar la adquisición de antenas y servicio de internet satelital, para la U.A.E. Cuerpo Oficial de Bomberos de Bogotá."/>
    <s v="03 - contrato de prestacion de servicios"/>
    <s v="83121700;83111600;43221700"/>
    <n v="3"/>
    <n v="9"/>
    <n v="0"/>
    <n v="5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3"/>
    <x v="0"/>
    <x v="10"/>
    <s v="Paula Ximena Henao Escobar"/>
    <s v="Contratar la adquisición de los equipos activos de red como parte de la renovación, de la infraestructura tecnológica de la U.A.E. Cuerpo Oficial de Bomberos de Bogotá."/>
    <s v="06 - contrato de compraventa"/>
    <s v="43201800; 43222600"/>
    <n v="3"/>
    <n v="9"/>
    <n v="0"/>
    <n v="14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404"/>
    <x v="0"/>
    <x v="10"/>
    <s v="Paula Ximena Henao Escobar"/>
    <s v="Contratar la renovación de garantía y soporte de fabrica de los equipos activos que hacen parte de la infraestructura tecnológica de la U.A.E. Cuerpo Oficial de Bomberos de Bogotá."/>
    <s v="19 - contrato de renovacion de licencias"/>
    <n v="43222635"/>
    <n v="3"/>
    <n v="9"/>
    <n v="0"/>
    <n v="15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5"/>
    <x v="0"/>
    <x v="10"/>
    <s v="Paula Ximena Henao Escobar"/>
    <s v=" Contratar un sistema de control de ingreso perimetral, exterior e interior que hacen parte de la infraestructura de la U.A.E. Cuerpo Oficial de Bomberos de Bogotá."/>
    <s v="03 - contrato de prestacion de servicios"/>
    <s v="81111508;81111809;81161501;43231500;43231513"/>
    <n v="3"/>
    <n v="9"/>
    <n v="0"/>
    <n v="20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6"/>
    <x v="0"/>
    <x v="10"/>
    <s v="Paula Ximena Henao Escobar"/>
    <s v="Realizar la adquisición de un software para la capacitación a la comunidad sobre la prevención de emergencias"/>
    <s v="06 - contrato de compraventa"/>
    <n v="43232505"/>
    <n v="3"/>
    <n v="9"/>
    <n v="0"/>
    <n v="200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7"/>
    <x v="0"/>
    <x v="10"/>
    <s v="Paula Ximena Henao Escobar"/>
    <s v="Adquisición de Radios, para las comunicaciones de la U.A.E. Cuerpo Oficial de Bomberos de Bogotá."/>
    <s v="06 - contrato de compraventa"/>
    <n v="43232505"/>
    <n v="3"/>
    <n v="9"/>
    <n v="0"/>
    <n v="326473093"/>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408"/>
    <x v="0"/>
    <x v="10"/>
    <s v="Paula Ximena Henao Escobar"/>
    <s v="Contratar el servicio de actualización de la página web de la U.A.E. Cuerpo Oficial de Bomberos de Bogotá."/>
    <s v="06 - contrato de compraventa"/>
    <n v="81112100"/>
    <n v="3"/>
    <n v="9"/>
    <n v="0"/>
    <n v="80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09"/>
    <x v="0"/>
    <x v="10"/>
    <s v="Paula Ximena Henao Escobar"/>
    <s v="Adquisición de sistema de monitoreo para la prevención y alertas tempranas en lo que corresponde a los incidentes forestales en los cerros"/>
    <s v="06 - contrato de compraventa"/>
    <n v="43233700"/>
    <n v="3"/>
    <n v="9"/>
    <n v="0"/>
    <n v="400000000"/>
    <x v="0"/>
    <s v="02 - selec. abrev. menor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0"/>
    <s v="Si Secop "/>
  </r>
  <r>
    <n v="20250410"/>
    <x v="1"/>
    <x v="11"/>
    <s v="Fatima Veronica Quintero Nuñez"/>
    <s v="Pago de pasivos exigibles"/>
    <s v="12 - resolucion"/>
    <s v="N/A"/>
    <s v="N/A"/>
    <s v="N/A"/>
    <s v="N/A"/>
    <n v="600049334"/>
    <x v="2"/>
    <s v=" 91 - n/a acto administrativo (resolución, decreto, acuerdo, etc.)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411"/>
    <x v="0"/>
    <x v="11"/>
    <s v="Fatima Veronica Quintero Nuñez"/>
    <s v="Contratar la prestación del servicio de aseo y cafetería incluido insumos para la UAE Cuerpo Oficial de Bomberos -SGC"/>
    <s v="01 - orden de compra"/>
    <s v="44121700;44121800;44121900;44122000"/>
    <n v="2"/>
    <n v="11"/>
    <n v="0"/>
    <n v="400000000"/>
    <x v="0"/>
    <s v=" 17 - acuerdo marco de precios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4"/>
    <s v="Si Secop "/>
  </r>
  <r>
    <n v="2025041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3"/>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5"/>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6"/>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7"/>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8"/>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9"/>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4"/>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5"/>
    <x v="0"/>
    <x v="11"/>
    <s v="Fatima Veronica Quintero Nuñez"/>
    <s v="Prestación de servicios de apoyo en la gestión de seguros de la Subdirección de Gestión Corporativa. –SGC"/>
    <s v="26 - contrato de prestacion de servicios de apoyo a la gestion"/>
    <s v="80111600;"/>
    <n v="2"/>
    <n v="11"/>
    <n v="0"/>
    <n v="30028145"/>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6"/>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7"/>
    <x v="0"/>
    <x v="11"/>
    <s v="Fatima Veronica Quintero Nuñez"/>
    <s v="Prestación de servicios de apoyo a la gestión de seguros de la Subdirección de Gestión Corporativa. –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8"/>
    <x v="0"/>
    <x v="11"/>
    <s v="Fatima Veronica Quintero Nuñez"/>
    <s v="Prestación de servicios profesionales en la Subdirección de Gestión Corporativa en las actividades relacionadas con MIPG-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9"/>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30"/>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1"/>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2"/>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3"/>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4"/>
    <x v="0"/>
    <x v="11"/>
    <s v="Fatima Veronica Quintero Nuñez"/>
    <s v="Prestar servicios profesionales en la Subdirección de Gestión Corporativa en lo relacionado con los procesos de inventarios, almacén y bajas-SGC"/>
    <s v="25 - contrato de prestacion de servicios profesionales"/>
    <s v="80111600;"/>
    <n v="2"/>
    <n v="11"/>
    <n v="0"/>
    <n v="7372981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5"/>
    <x v="0"/>
    <x v="11"/>
    <s v="Fatima Veronica Quintero Nuñez"/>
    <s v="Prestar servicios profesionales en la Subdirección de Gestión Corporativa para aplicar los procesos y procedimientos a los inventarios a cargo de la UAECOB-SGC "/>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6"/>
    <x v="0"/>
    <x v="11"/>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7"/>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8"/>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9"/>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0"/>
    <x v="0"/>
    <x v="11"/>
    <s v="Fatima Veronica Quintero Nuñez"/>
    <s v="Prestación de servicios de apoyo a la gestión documental de la Subdirección de Gestión Corporativa de la Unidad.-SGC"/>
    <s v="26 - contrato de prestacion de servicios de apoyo a la gestion"/>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1"/>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2"/>
    <x v="0"/>
    <x v="11"/>
    <s v="Fatima Veronica Quintero Nuñez"/>
    <s v="Prestación de servicios de apoyo a la gestión documental de la Subdirección de Gestión Corporativa de la Unidad.-SGC"/>
    <s v="26 - contrato de prestacion de servicios de apoyo a la gestion"/>
    <s v="80111600;"/>
    <n v="2"/>
    <n v="11"/>
    <n v="0"/>
    <n v="1970597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3"/>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4"/>
    <x v="0"/>
    <x v="11"/>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5"/>
    <x v="0"/>
    <x v="11"/>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6"/>
    <x v="0"/>
    <x v="11"/>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7"/>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8"/>
    <x v="0"/>
    <x v="11"/>
    <s v="Fatima Veronica Quintero Nuñez"/>
    <s v="Prestar los servicios como conductor de la Subdirección de Gestión Corporativa -SGC"/>
    <s v="26 - contrato de prestacion de servicios de apoyo a la gestion"/>
    <s v="80111600;"/>
    <n v="2"/>
    <n v="11"/>
    <n v="0"/>
    <n v="65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9"/>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4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0"/>
    <x v="0"/>
    <x v="11"/>
    <s v="Fatima Veronica Quintero Nuñez"/>
    <s v="Prestar servicios profesionales en la Subdirección de Gestión Corporativa en el marco de las actividades administrativas de la Dependencia.-SGC"/>
    <s v="25 - contrato de prestacion de servicios profesionales"/>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1"/>
    <x v="0"/>
    <x v="11"/>
    <s v="Fatima Veronica Quintero Nuñez"/>
    <s v="Prestación de servicios profesionales, en temas jurídicos de la gestión administrativa a cargo de la Subdirección de Gestión Corporativa.- SGC"/>
    <s v="25 - contrato de prestacion de servicios profesionales"/>
    <s v="80111600;"/>
    <n v="2"/>
    <n v="11"/>
    <n v="0"/>
    <n v="63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52"/>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x v="0"/>
    <s v=" 04 - contratación mínima cuantí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3"/>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3"/>
    <n v="8"/>
    <n v="0"/>
    <n v="60000000"/>
    <x v="0"/>
    <s v=" 04 - contratación mínima cuantí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4"/>
    <x v="0"/>
    <x v="11"/>
    <s v="Fatima Veronica Quintero Nuñez"/>
    <s v="Adición y prórroga No. 1 al contrato 478 de 2024 que tiene como objeto “Mantenimiento preventivo y correctivo de los equipos gasodomésticos y solares, adecuación de las redes de gas natural y repuestos para las Estaciones de Bomberos de UAE Cuerpo Oficial de Bomberos SGC"/>
    <s v="17 - contrato de mantenimiento"/>
    <s v="72121400;_x000a_72151700;_x000a_95121700;"/>
    <n v="8"/>
    <n v="8"/>
    <n v="0"/>
    <n v="12000000"/>
    <x v="0"/>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5"/>
    <x v="0"/>
    <x v="11"/>
    <s v="Fatima Veronica Quintero Nuñez"/>
    <s v="Mantenimiento preventivo y correctivo de los equipos gasodomésticos y solares, adecuación de las redes de gas natural y repuestos para las Estaciones de Bomberos de UAE Cuerpo Oficial de Bomberos SGC"/>
    <s v="17 - contrato de mantenimiento"/>
    <s v="40102000;_x000a_72121400;_x000a_72101500;_x000a_72151700;_x000a_73152100;_x000a_95121700;"/>
    <n v="8"/>
    <n v="8"/>
    <n v="0"/>
    <n v="80000000"/>
    <x v="0"/>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6"/>
    <x v="0"/>
    <x v="11"/>
    <s v="Fatima Veronica Quintero Nuñez"/>
    <s v="Mantenimiento correctivo y/o preventivo, suministros y repuestos de los equipos hidroneumáticos, motobombas eléctricas, bombas sumergibles, tableros de control y fuerza y demás equipos de bombeo instalados en las estaciones de bomberos de la UAE Cuerpo oficial de Bomberos -SGC"/>
    <s v="17 - contrato de mantenimiento"/>
    <s v="72154100; 73152100"/>
    <n v="4"/>
    <n v="10"/>
    <n v="0"/>
    <n v="70000000"/>
    <x v="0"/>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7"/>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x v="0"/>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58"/>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3798996"/>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9"/>
    <x v="1"/>
    <x v="11"/>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93075136"/>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460"/>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9918896"/>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461"/>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3075136"/>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462"/>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8470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3"/>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11223766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4"/>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99918896"/>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5"/>
    <x v="1"/>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7260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
    <s v="Si Secop "/>
  </r>
  <r>
    <n v="20250466"/>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8228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7"/>
    <x v="0"/>
    <x v="11"/>
    <s v="Fatima Veronica Quintero Nuñ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s v="80111600;"/>
    <n v="2"/>
    <n v="11"/>
    <n v="0"/>
    <n v="8228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8"/>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7528136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9"/>
    <x v="0"/>
    <x v="11"/>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11223766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70"/>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8470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1"/>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582615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2"/>
    <x v="0"/>
    <x v="11"/>
    <s v="Fatima Veronica Quintero Nuñez"/>
    <s v="Prestar los servicios como conductor de la Subdirección de Gestión Corporativa -SGC"/>
    <s v="26 - contrato de prestacion de servicios de apoyo a la gestion"/>
    <s v="80111600;"/>
    <n v="2"/>
    <n v="11"/>
    <n v="0"/>
    <n v="38325056"/>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3"/>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6"/>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60500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8"/>
    <x v="0"/>
    <x v="11"/>
    <s v="Fatima Veronica Quintero Nuñez"/>
    <s v="Prestación de servicios profesionales al área Financiera de la Subdirección de Gestión Corporativa--SGC"/>
    <s v="25 - contrato de prestacion de servicios profesionales"/>
    <s v="80111600;"/>
    <n v="2"/>
    <n v="11"/>
    <n v="0"/>
    <n v="77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9"/>
    <x v="0"/>
    <x v="11"/>
    <s v="Fatima Veronica Quintero Nuñez"/>
    <s v="Prestación de servicios profesionales al área Financiera de la Subdirección de Gestión Corporativa--SGC"/>
    <s v="25 - contrato de prestacion de servicios profesionales"/>
    <s v="80111600;"/>
    <n v="2"/>
    <n v="11"/>
    <n v="0"/>
    <n v="77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0"/>
    <x v="0"/>
    <x v="11"/>
    <s v="Fatima Veronica Quintero Nuñez"/>
    <s v="Prestación de servicios de apoyo a la gestión del área Financiera de la Subdirección de Gestión Corporativa.-SGC"/>
    <s v="26 - contrato de prestacion de servicios de apoyo a la gestion"/>
    <s v="80111600;"/>
    <n v="2"/>
    <n v="11"/>
    <n v="0"/>
    <n v="4585319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1"/>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77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2"/>
    <x v="2"/>
    <x v="11"/>
    <s v="Fatima Veronica Quintero Nuñez"/>
    <s v="Prestar los servicios de Custodia, Consulta y Traslado Documental de Acuerdo a las especificaciones Técnicas  y requisitos contemplados en la normatividad Archivística Vigente-SGC"/>
    <s v="11 - orden de prestacion de servicios"/>
    <s v="78131800;80101500;80101600;80161500;81111900;81112000"/>
    <n v="5"/>
    <n v="10"/>
    <n v="0"/>
    <n v="129996120"/>
    <x v="1"/>
    <s v=" 04 - contratación mínima cuantía "/>
    <x v="6"/>
    <x v="1"/>
    <x v="2"/>
    <x v="2"/>
    <x v="3"/>
    <s v="N/A"/>
    <s v="N/A-N/A"/>
    <x v="5"/>
    <s v="N/A"/>
    <s v="N/A_N/A"/>
    <s v="N/A-N/A N/A_N/A"/>
    <x v="5"/>
    <x v="5"/>
    <x v="17"/>
    <s v="Si Secop "/>
  </r>
  <r>
    <n v="20250483"/>
    <x v="2"/>
    <x v="11"/>
    <s v="Fatima Veronica Quintero Nuñez"/>
    <s v="Contratar el servicio de saneamiento ambiental, corte de césped, jardinería, poda y tala de árboles para las sedes (predios y/o estaciones) de la UAECOB-SGC"/>
    <s v="03 - contrato de prestacion de servicios"/>
    <s v="70111500;"/>
    <n v="1"/>
    <n v="10"/>
    <n v="0"/>
    <n v="240000000"/>
    <x v="1"/>
    <s v=" 02 - selec. abrev. menor cuantía "/>
    <x v="6"/>
    <x v="1"/>
    <x v="2"/>
    <x v="2"/>
    <x v="3"/>
    <s v="N/A"/>
    <s v="N/A-N/A"/>
    <x v="5"/>
    <s v="N/A"/>
    <s v="N/A_N/A"/>
    <s v="N/A-N/A N/A_N/A"/>
    <x v="5"/>
    <x v="5"/>
    <x v="17"/>
    <s v="Si Secop "/>
  </r>
  <r>
    <n v="20250484"/>
    <x v="2"/>
    <x v="11"/>
    <s v="Fatima Veronica Quintero Nuñez"/>
    <s v="Contratar la prestación del servicio de aseo y cafetería incluido insumos para la UAE Cuerpo Oficial de Bomberos -SGC"/>
    <s v="03 - contrato de prestacion de servicios"/>
    <s v="44121700;44121800;44121900;44122000"/>
    <n v="2"/>
    <n v="11"/>
    <n v="0"/>
    <n v="272011000"/>
    <x v="1"/>
    <s v=" 17 - acuerdo marco de precios "/>
    <x v="6"/>
    <x v="1"/>
    <x v="2"/>
    <x v="2"/>
    <x v="3"/>
    <s v="N/A"/>
    <s v="N/A-N/A"/>
    <x v="5"/>
    <s v="N/A"/>
    <s v="N/A_N/A"/>
    <s v="N/A-N/A N/A_N/A"/>
    <x v="5"/>
    <x v="5"/>
    <x v="17"/>
    <s v="Si Secop "/>
  </r>
  <r>
    <n v="20250485"/>
    <x v="2"/>
    <x v="11"/>
    <s v="Fatima Veronica Quintero Nuñez"/>
    <s v="Contratar la prestación del servicio de aseo y cafetería incluido insumos para la UAE Cuerpo Oficial de Bomberos -SGC"/>
    <s v="03 - contrato de prestacion de servicios"/>
    <s v="44121700;44121800;44121900;44122000"/>
    <n v="2"/>
    <n v="11"/>
    <n v="0"/>
    <n v="500000000"/>
    <x v="1"/>
    <s v=" 17 - acuerdo marco de precios "/>
    <x v="6"/>
    <x v="1"/>
    <x v="2"/>
    <x v="2"/>
    <x v="3"/>
    <s v="N/A"/>
    <s v="N/A-N/A"/>
    <x v="5"/>
    <s v="N/A"/>
    <s v="N/A_N/A"/>
    <s v="N/A-N/A N/A_N/A"/>
    <x v="5"/>
    <x v="5"/>
    <x v="17"/>
    <s v="Si Secop "/>
  </r>
  <r>
    <n v="20250486"/>
    <x v="2"/>
    <x v="11"/>
    <s v="Fatima Veronica Quintero Nuñez"/>
    <s v="Arrendamiento de instalaciones estación Ferias-SGC"/>
    <s v="07 - contrato de arrendamiento"/>
    <s v="80131502;"/>
    <n v="1"/>
    <n v="12"/>
    <n v="0"/>
    <n v="160000000"/>
    <x v="1"/>
    <s v=" 09 - contratación directa "/>
    <x v="6"/>
    <x v="1"/>
    <x v="2"/>
    <x v="2"/>
    <x v="3"/>
    <s v="N/A"/>
    <s v="N/A-N/A"/>
    <x v="5"/>
    <s v="N/A"/>
    <s v="N/A_N/A"/>
    <s v="N/A-N/A N/A_N/A"/>
    <x v="5"/>
    <x v="5"/>
    <x v="17"/>
    <s v="Si Secop "/>
  </r>
  <r>
    <n v="20250487"/>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64000000"/>
    <x v="1"/>
    <s v=" 09 - contratación directa "/>
    <x v="6"/>
    <x v="1"/>
    <x v="2"/>
    <x v="2"/>
    <x v="3"/>
    <s v="N/A"/>
    <s v="N/A-N/A"/>
    <x v="5"/>
    <s v="N/A"/>
    <s v="N/A_N/A"/>
    <s v="N/A-N/A N/A_N/A"/>
    <x v="5"/>
    <x v="5"/>
    <x v="17"/>
    <s v="Si Secop "/>
  </r>
  <r>
    <n v="20250488"/>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8"/>
    <n v="0"/>
    <n v="72917000"/>
    <x v="1"/>
    <s v="03 - selec. abrev. subasta inversa"/>
    <x v="6"/>
    <x v="1"/>
    <x v="2"/>
    <x v="2"/>
    <x v="3"/>
    <s v="N/A"/>
    <s v="N/A-N/A"/>
    <x v="5"/>
    <s v="N/A"/>
    <s v="N/A_N/A"/>
    <s v="N/A-N/A N/A_N/A"/>
    <x v="5"/>
    <x v="5"/>
    <x v="17"/>
    <s v="Si Secop "/>
  </r>
  <r>
    <n v="20250489"/>
    <x v="2"/>
    <x v="11"/>
    <s v="Fatima Veronica Quintero Nuñez"/>
    <s v="Suministro de insumos para las impresoras de las dependencias de la UAE Cuerpo Oficial de Bomberos.-SGC."/>
    <s v="08 - contrato de suministro"/>
    <s v="44103100;44103101;44103103;44103105;44103106;44103108;44103110;44103111;55101500;"/>
    <n v="3"/>
    <n v="9"/>
    <n v="0"/>
    <n v="80000000"/>
    <x v="1"/>
    <s v="03 - selec. abrev. subasta inversa"/>
    <x v="6"/>
    <x v="1"/>
    <x v="2"/>
    <x v="2"/>
    <x v="3"/>
    <s v="N/A"/>
    <s v="N/A-N/A"/>
    <x v="5"/>
    <s v="N/A"/>
    <s v="N/A_N/A"/>
    <s v="N/A-N/A N/A_N/A"/>
    <x v="5"/>
    <x v="5"/>
    <x v="17"/>
    <s v="Si Secop "/>
  </r>
  <r>
    <n v="20250490"/>
    <x v="2"/>
    <x v="11"/>
    <s v="Fatima Veronica Quintero Nuñez"/>
    <s v="Arrendamiento de instalaciones estación Caobos Salazar-SGC"/>
    <s v="07 - contrato de arrendamiento"/>
    <s v="80131502;"/>
    <n v="4"/>
    <n v="10"/>
    <n v="0"/>
    <n v="160000000"/>
    <x v="1"/>
    <s v=" 09 - contratación directa "/>
    <x v="6"/>
    <x v="1"/>
    <x v="2"/>
    <x v="2"/>
    <x v="3"/>
    <s v="N/A"/>
    <s v="N/A-N/A"/>
    <x v="5"/>
    <s v="N/A"/>
    <s v="N/A_N/A"/>
    <s v="N/A-N/A N/A_N/A"/>
    <x v="5"/>
    <x v="5"/>
    <x v="17"/>
    <s v="Si Secop "/>
  </r>
  <r>
    <n v="20250491"/>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8"/>
    <n v="0"/>
    <n v="560000000"/>
    <x v="1"/>
    <s v="01 - licitación pública"/>
    <x v="6"/>
    <x v="1"/>
    <x v="2"/>
    <x v="2"/>
    <x v="3"/>
    <s v="N/A"/>
    <s v="N/A-N/A"/>
    <x v="5"/>
    <s v="N/A"/>
    <s v="N/A_N/A"/>
    <s v="N/A-N/A N/A_N/A"/>
    <x v="5"/>
    <x v="5"/>
    <x v="17"/>
    <s v="Si Secop "/>
  </r>
  <r>
    <n v="20250492"/>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2000000000"/>
    <x v="1"/>
    <s v="01 - licitación pública"/>
    <x v="6"/>
    <x v="1"/>
    <x v="2"/>
    <x v="2"/>
    <x v="3"/>
    <s v="N/A"/>
    <s v="N/A-N/A"/>
    <x v="5"/>
    <s v="N/A"/>
    <s v="N/A_N/A"/>
    <s v="N/A-N/A N/A_N/A"/>
    <x v="5"/>
    <x v="5"/>
    <x v="17"/>
    <s v="No Secop"/>
  </r>
  <r>
    <n v="20250493"/>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14000000"/>
    <x v="1"/>
    <s v="01 - licitación pública"/>
    <x v="6"/>
    <x v="1"/>
    <x v="2"/>
    <x v="2"/>
    <x v="3"/>
    <s v="N/A"/>
    <s v="N/A-N/A"/>
    <x v="5"/>
    <s v="N/A"/>
    <s v="N/A_N/A"/>
    <s v="N/A-N/A N/A_N/A"/>
    <x v="5"/>
    <x v="5"/>
    <x v="17"/>
    <s v="No Secop"/>
  </r>
  <r>
    <n v="20250494"/>
    <x v="2"/>
    <x v="11"/>
    <s v="Fatima Veronica Quintero Nuñez"/>
    <s v="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5900939000"/>
    <x v="1"/>
    <s v="01 - licitación pública"/>
    <x v="6"/>
    <x v="1"/>
    <x v="2"/>
    <x v="2"/>
    <x v="3"/>
    <s v="N/A"/>
    <s v="N/A-N/A"/>
    <x v="5"/>
    <s v="N/A"/>
    <s v="N/A_N/A"/>
    <s v="N/A-N/A N/A_N/A"/>
    <x v="5"/>
    <x v="5"/>
    <x v="17"/>
    <s v="Si Secop "/>
  </r>
  <r>
    <n v="20250495"/>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Otro Si No. 06 de 2024."/>
    <s v="11 - orden de prestacion de servicios"/>
    <s v="78131800;80101500;80101600;80161500;81111900;81112000"/>
    <n v="2"/>
    <n v="3"/>
    <n v="0"/>
    <n v="20003880"/>
    <x v="1"/>
    <s v="01 - licitación pública"/>
    <x v="6"/>
    <x v="1"/>
    <x v="2"/>
    <x v="2"/>
    <x v="3"/>
    <s v="N/A"/>
    <s v="N/A-N/A"/>
    <x v="5"/>
    <s v="N/A"/>
    <s v="N/A_N/A"/>
    <s v="N/A-N/A N/A_N/A"/>
    <x v="5"/>
    <x v="5"/>
    <x v="17"/>
    <s v="No Secop"/>
  </r>
  <r>
    <n v="20250496"/>
    <x v="2"/>
    <x v="11"/>
    <s v="Fatima Veronica Quintero Nuñez"/>
    <s v="Mantenimiento ascensor nueva Estación de Bomberos de Fontibón-SGC"/>
    <s v="27 - contrato de prestacion de servicios de mantenimiento"/>
    <s v="72101506;_x000a_72154010;"/>
    <n v="3"/>
    <n v="9"/>
    <n v="0"/>
    <n v="10000000"/>
    <x v="1"/>
    <s v=" 09 - contratación directa "/>
    <x v="6"/>
    <x v="1"/>
    <x v="2"/>
    <x v="2"/>
    <x v="3"/>
    <s v="N/A"/>
    <s v="N/A-N/A"/>
    <x v="5"/>
    <s v="N/A"/>
    <s v="N/A_N/A"/>
    <s v="N/A-N/A N/A_N/A"/>
    <x v="5"/>
    <x v="5"/>
    <x v="17"/>
    <s v="Si Secop "/>
  </r>
  <r>
    <n v="20250497"/>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2000000"/>
    <x v="1"/>
    <s v=" 09 - contratación directa "/>
    <x v="6"/>
    <x v="1"/>
    <x v="2"/>
    <x v="2"/>
    <x v="3"/>
    <s v="N/A"/>
    <s v="N/A-N/A"/>
    <x v="5"/>
    <s v="N/A"/>
    <s v="N/A_N/A"/>
    <s v="N/A-N/A N/A_N/A"/>
    <x v="5"/>
    <x v="5"/>
    <x v="17"/>
    <s v="Si Secop "/>
  </r>
  <r>
    <n v="20250498"/>
    <x v="2"/>
    <x v="11"/>
    <s v="Fatima Veronica Quintero Nuñez"/>
    <s v="Mantenimiento correctivo y preventivo con suministro de repuestos para los Ascensores Edificio Comando-SGC"/>
    <s v="27 - contrato de prestacion de servicios de mantenimiento"/>
    <s v="72101506;_x000a_72154010;"/>
    <n v="3"/>
    <n v="9"/>
    <n v="0"/>
    <n v="38000000"/>
    <x v="1"/>
    <s v=" 09 - contratación directa "/>
    <x v="6"/>
    <x v="1"/>
    <x v="2"/>
    <x v="2"/>
    <x v="3"/>
    <s v="N/A"/>
    <s v="N/A-N/A"/>
    <x v="5"/>
    <s v="N/A"/>
    <s v="N/A_N/A"/>
    <s v="N/A-N/A N/A_N/A"/>
    <x v="5"/>
    <x v="5"/>
    <x v="17"/>
    <s v="Si Secop "/>
  </r>
  <r>
    <n v="20250499"/>
    <x v="2"/>
    <x v="11"/>
    <s v="Fatima Veronica Quintero Nuñez"/>
    <s v="Mantenimiento correctivo y preventivo con suministro de repuestos ascensor nueva Estación de Bomberos BELLAVISTA- SGC"/>
    <s v="27 - contrato de prestacion de servicios de mantenimiento"/>
    <s v="72101506;_x000a_72154010;"/>
    <n v="3"/>
    <n v="9"/>
    <n v="0"/>
    <n v="10000000"/>
    <x v="1"/>
    <s v=" 09 - contratación directa "/>
    <x v="6"/>
    <x v="1"/>
    <x v="2"/>
    <x v="2"/>
    <x v="3"/>
    <s v="N/A"/>
    <s v="N/A-N/A"/>
    <x v="5"/>
    <s v="N/A"/>
    <s v="N/A_N/A"/>
    <s v="N/A-N/A N/A_N/A"/>
    <x v="5"/>
    <x v="5"/>
    <x v="17"/>
    <s v="Si Secop "/>
  </r>
  <r>
    <n v="20250500"/>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40000000"/>
    <x v="1"/>
    <s v="04 - contratación mínima cuantía"/>
    <x v="6"/>
    <x v="1"/>
    <x v="2"/>
    <x v="2"/>
    <x v="3"/>
    <s v="N/A"/>
    <s v="N/A-N/A"/>
    <x v="5"/>
    <s v="N/A"/>
    <s v="N/A_N/A"/>
    <s v="N/A-N/A N/A_N/A"/>
    <x v="5"/>
    <x v="5"/>
    <x v="17"/>
    <s v="Si Secop "/>
  </r>
  <r>
    <n v="20250501"/>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x v="1"/>
    <s v="04 - contratación mínima cuantía"/>
    <x v="6"/>
    <x v="1"/>
    <x v="2"/>
    <x v="2"/>
    <x v="3"/>
    <s v="N/A"/>
    <s v="N/A-N/A"/>
    <x v="5"/>
    <s v="N/A"/>
    <s v="N/A_N/A"/>
    <s v="N/A-N/A N/A_N/A"/>
    <x v="5"/>
    <x v="5"/>
    <x v="17"/>
    <s v="Si Secop "/>
  </r>
  <r>
    <n v="20250502"/>
    <x v="2"/>
    <x v="11"/>
    <s v="Fatima Veronica Quintero Nuñez"/>
    <s v="Suministro de insumos para lavadoras-SGC"/>
    <s v="08 - contrato de suministro"/>
    <s v="44103100;"/>
    <n v="3"/>
    <n v="8"/>
    <n v="0"/>
    <n v="10000000"/>
    <x v="1"/>
    <s v="04 - contratación mínima cuantía"/>
    <x v="6"/>
    <x v="1"/>
    <x v="2"/>
    <x v="2"/>
    <x v="3"/>
    <s v="N/A"/>
    <s v="N/A-N/A"/>
    <x v="5"/>
    <s v="N/A"/>
    <s v="N/A_N/A"/>
    <s v="N/A-N/A N/A_N/A"/>
    <x v="5"/>
    <x v="5"/>
    <x v="17"/>
    <s v="Si Secop "/>
  </r>
  <r>
    <n v="20250503"/>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x v="1"/>
    <s v="04 - contratación mínima cuantía"/>
    <x v="6"/>
    <x v="1"/>
    <x v="2"/>
    <x v="2"/>
    <x v="3"/>
    <s v="N/A"/>
    <s v="N/A-N/A"/>
    <x v="5"/>
    <s v="N/A"/>
    <s v="N/A_N/A"/>
    <s v="N/A-N/A N/A_N/A"/>
    <x v="5"/>
    <x v="5"/>
    <x v="17"/>
    <s v="No Secop"/>
  </r>
  <r>
    <n v="20250504"/>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8"/>
    <n v="0"/>
    <n v="600000000"/>
    <x v="0"/>
    <s v="01 - licitación públic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8"/>
    <s v="Si Secop "/>
  </r>
  <r>
    <n v="20250505"/>
    <x v="0"/>
    <x v="11"/>
    <s v="Fatima Veronica Quintero Nuñez"/>
    <s v="Realizar el mantenimiento preventivo, correctivo y suministro de repuestos para los equipos de gimnasio instalados en las diferentes instalaciones a cargo de la UAE Cuerpo Oficial de Bomberos. -SGC"/>
    <s v="27 - contrato de prestacion de servicios de mantenimiento"/>
    <s v="49201501;49201503;_x000a_49201516; 49201603;_x000a_ 49201605; 49201611; _x000a_ 72151800;"/>
    <n v="2"/>
    <n v="9"/>
    <n v="0"/>
    <n v="60000000"/>
    <x v="0"/>
    <s v="04 - contratación mínima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6"/>
    <x v="0"/>
    <x v="11"/>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6"/>
    <n v="0"/>
    <n v="150000000"/>
    <x v="0"/>
    <s v="02 - selec. abrev. menor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7"/>
    <x v="0"/>
    <x v="11"/>
    <s v="Fatima Veronica Quintero Nuñez"/>
    <s v="Mantenimiento preventivo y correctivo, que incluye el suministro de insumos y repuestos de los electrodomésticos de las instalaciones a cargo de la UAE Cuerpo Oficial de Bomberos Bogotá-SGC"/>
    <s v="27 - contrato de prestacion de servicios de mantenimiento"/>
    <s v="73152108;"/>
    <n v="3"/>
    <n v="8"/>
    <n v="0"/>
    <n v="30000000"/>
    <x v="0"/>
    <s v="04 - contratación mínima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8"/>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x v="0"/>
    <s v="17 - acuerdo marco de precios"/>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09"/>
    <x v="0"/>
    <x v="11"/>
    <s v="Fatima Veronica Quintero Nuñez"/>
    <s v="Adición No. 2  al contrato 301 de 2024 cyto objeto es &quot;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2"/>
    <n v="0"/>
    <n v="56938444"/>
    <x v="0"/>
    <s v="17 - acuerdo marco de precios"/>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510"/>
    <x v="0"/>
    <x v="11"/>
    <s v="Fatima Veronica Quintero Nuñez"/>
    <s v="Realizar el mantenimiento predictivo, preventivo, correctivo, mejoras y dotación a las instalaciones de las dependencias de la Unidad Administrativa Especial Cuerpo Oficial de Bomberos de Bogotá D.C. - SGC_x000d__x000a_"/>
    <s v="17 - contrato de mantenimiento"/>
    <s v="72102900; 72121400; 72151700;72154000;72101500"/>
    <n v="2"/>
    <n v="8"/>
    <n v="0"/>
    <n v="784028135"/>
    <x v="0"/>
    <s v="01 - licitación públic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Si Secop "/>
  </r>
  <r>
    <n v="20250511"/>
    <x v="0"/>
    <x v="11"/>
    <s v="Fatima Veronica Quintero Nuñez"/>
    <s v="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181681869"/>
    <x v="0"/>
    <s v="06 - concurso de méritos abierto"/>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Si Secop "/>
  </r>
  <r>
    <n v="20250512"/>
    <x v="0"/>
    <x v="11"/>
    <s v="Fatima Veronica Quintero Nuñez"/>
    <s v="Suministro e instalación de las lavadoras y secadoras industriales  para las instalaciones de la UAE Cuerpo Oficial de Bomberos de Bogotá-SGC"/>
    <s v="08 - contrato de suministro"/>
    <s v="47111500; 47111700"/>
    <n v="4"/>
    <n v="3"/>
    <n v="0"/>
    <n v="200000000"/>
    <x v="0"/>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3"/>
    <x v="0"/>
    <x v="11"/>
    <s v="Fatima Veronica Quintero Nuñez"/>
    <s v="Suministro e instalación de equipos gasodomésticos y solares para las instalaciones de la UAE Cuerpo Oficial de Bomberos SGC"/>
    <s v="08 - contrato de suministro"/>
    <s v="48101500; 52141500; 40101800"/>
    <n v="4"/>
    <n v="3"/>
    <n v="0"/>
    <n v="50000000"/>
    <x v="0"/>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4"/>
    <x v="0"/>
    <x v="11"/>
    <s v="Fatima Veronica Quintero Nuñez"/>
    <s v="Suministro e instalación de equipos de gimnasio para las diferentes instalaciones a cargo de la UAE Cuerpo Oficial de Bomberos. -SGC"/>
    <s v="08 - contrato de suministro"/>
    <s v="49201500; 49201600"/>
    <n v="4"/>
    <n v="3"/>
    <n v="0"/>
    <n v="50000000"/>
    <x v="0"/>
    <s v="03 - selec. abrev. subasta invers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5"/>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2"/>
    <n v="0"/>
    <n v="100000000"/>
    <x v="0"/>
    <s v="01 - licitación públic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8"/>
    <s v="No Secop"/>
  </r>
  <r>
    <n v="20250516"/>
    <x v="0"/>
    <x v="11"/>
    <s v="Fatima Veronica Quintero Nuñez"/>
    <s v="Adquisicion de Andamios certificados, escalera multifuncional y elemento de seguridad y salud en el trabajo (gafas,tapa oidos, lineas de vida)"/>
    <s v="08 - contrato de suministro"/>
    <s v="30191502;"/>
    <n v="1"/>
    <n v="2"/>
    <n v="0"/>
    <n v="50000000"/>
    <x v="0"/>
    <s v="04 - contratación mínima cuantí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7"/>
    <x v="1"/>
    <x v="11"/>
    <s v="Fatima Veronica Quintero Nuñez"/>
    <s v="Elaboración de estudios y diseños técnicos para la construcción de la estación de bomberos  B-18 de la UAE Cuerpo Oficial de Bomberos de Bogotá – SGC"/>
    <s v="04 - contrato de consultoria"/>
    <s v="81101500;80101600"/>
    <n v="4"/>
    <n v="10"/>
    <n v="0"/>
    <n v="50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18"/>
    <x v="1"/>
    <x v="11"/>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10"/>
    <n v="0"/>
    <n v="15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19"/>
    <x v="1"/>
    <x v="11"/>
    <s v="Fatima Veronica Quintero Nuñez"/>
    <s v="Consultoria modalidad de licencias de la infraestructura existente de las estaciones de bomberos (reconocimiento, ampliacion etc)"/>
    <s v="04 - contrato de consultoria"/>
    <s v="81101500;80101600"/>
    <n v="4"/>
    <n v="10"/>
    <n v="0"/>
    <n v="20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0"/>
    <x v="1"/>
    <x v="11"/>
    <s v="Fatima Veronica Quintero Nuñez"/>
    <s v="Interventoria de la consultoria modalidad de licencias de la infraestructura existente de las estaciones de bomberos (reconocimiento, ampliacion etc)."/>
    <s v="14 - contrato de interventoria"/>
    <s v="80101600;81101500;72101500;72121400"/>
    <n v="4"/>
    <n v="10"/>
    <n v="0"/>
    <n v="15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1"/>
    <x v="1"/>
    <x v="11"/>
    <s v="Fatima Veronica Quintero Nuñez"/>
    <s v="Elaboración de estudios y diseños técnicos para la construcción de la estación de bomberos de Puente Aranda B-4 de la UAE Cuerpo Oficial de Bomberos de Bogotá – SGC"/>
    <s v="04 - contrato de consultoria"/>
    <s v="81101500;80101600"/>
    <n v="4"/>
    <n v="10"/>
    <n v="0"/>
    <n v="50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2"/>
    <x v="1"/>
    <x v="11"/>
    <s v="Fatima Veronica Quintero Nuñez"/>
    <s v="Interventoría técnica, administrativa, financiera, contable, jurídica y ambiental para la elaboración de estudios y diseños técnicos para la construcción de la estación de Bomberos de Punete Aranda B-4 de la UAE Cuerpo Oficial de Bomberos de Bogotá – SGC"/>
    <s v="14 - contrato de interventoria"/>
    <s v="80101600;81101500;72101500;72121400"/>
    <n v="4"/>
    <n v="10"/>
    <n v="0"/>
    <n v="15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3"/>
    <x v="1"/>
    <x v="11"/>
    <s v="Fatima Veronica Quintero Nuñez"/>
    <s v="Construcción de la estación de bomberos de Caobos Salazar B-13 de la UAE Cuerpo Oficial de Bomberos de Bogotá – SGC"/>
    <s v="05 - contrato de obra"/>
    <s v="72121400; 72151700; 72151700; 81101500"/>
    <n v="6"/>
    <n v="13"/>
    <n v="0"/>
    <n v="6000000000"/>
    <x v="0"/>
    <s v="01 - licitación pública"/>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4"/>
    <x v="1"/>
    <x v="11"/>
    <s v="Fatima Veronica Quintero Nuñez"/>
    <s v="Interventoría técnica, administrativa, financiera, contable, jurídica y ambiental para la construcción de la estación de Bomberos de Caobos Salazar B-13 de la UAE Cuerpo Oficial de Bomberos de Bogotá – SGC"/>
    <s v="14 - contrato de interventoria"/>
    <s v="81101500; 80101600; 72121400; 95121700"/>
    <n v="6"/>
    <n v="13"/>
    <n v="0"/>
    <n v="1380000000"/>
    <x v="0"/>
    <s v="06 - concurso de méritos abierto"/>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3"/>
    <s v="Si Secop "/>
  </r>
  <r>
    <n v="20250525"/>
    <x v="0"/>
    <x v="11"/>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11223766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9"/>
    <x v="1"/>
    <x v="11"/>
    <s v="Fatima Veronica Quintero Nuñez"/>
    <s v="Prestación de servicios profesionales para apoyar las actividades jurídicas de la Subdirección de Gestión Corporativa-SGC"/>
    <s v="25 - contrato de prestacion de servicios profesionales"/>
    <s v="80111600;"/>
    <n v="2"/>
    <n v="11"/>
    <n v="0"/>
    <n v="78650000"/>
    <x v="0"/>
    <s v=" 09 - contratación directa "/>
    <x v="23"/>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1"/>
    <s v="Si Secop "/>
  </r>
  <r>
    <n v="20250530"/>
    <x v="1"/>
    <x v="11"/>
    <s v="Fatima Veronica Quintero Nuñez"/>
    <s v="Prestación de servicios profesionales en la proyección y el seguimiento financiero a los proyectos de la Subdirección de Gestión Corporativa-SGC"/>
    <s v="25 - contrato de prestacion de servicios profesionales"/>
    <s v="80111600;"/>
    <n v="2"/>
    <n v="11"/>
    <n v="0"/>
    <n v="6292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31"/>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6655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32"/>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5333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3"/>
    <x v="1"/>
    <x v="11"/>
    <s v="Fatima Veronica Quintero Nuñez"/>
    <s v="Prestar los servicios profesionales para el acompañamiento y seguimiento de los planes y proyectos de la Subdireccion de Gestión Corporativa-SGC"/>
    <s v="25 - contrato de prestacion de servicios profesionales"/>
    <s v="80111600;"/>
    <n v="2"/>
    <n v="11"/>
    <n v="0"/>
    <n v="7940625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3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6"/>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11223766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7"/>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7623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8"/>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999188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39"/>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4380006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0"/>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99918896"/>
    <x v="0"/>
    <s v=" 09 - contratación directa "/>
    <x v="24"/>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0"/>
    <s v="Si Secop "/>
  </r>
  <r>
    <n v="20250541"/>
    <x v="0"/>
    <x v="11"/>
    <s v="Fatima Veronica Quintero Nuñez"/>
    <s v="Prestación de servicios de apoyo en las actividades asociadas a los procesos de almacén de la Subdirección de Gestión Corporativa 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2"/>
    <x v="0"/>
    <x v="11"/>
    <s v="Fatima Veronica Quintero Nuñez"/>
    <s v="Prestación de servicios profesionales para atender las actividades financieras, a cargo de la Subdirección de Gestión Corporativa-SGC"/>
    <s v="25 - contrato de prestacion de servicios profesionales"/>
    <s v="80111600;"/>
    <n v="2"/>
    <n v="11"/>
    <n v="0"/>
    <n v="72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3"/>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72438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4"/>
    <x v="0"/>
    <x v="11"/>
    <s v="Fatima Veronica Quintero Nuñez"/>
    <s v="Prestación de servicios profesionales en el marco de las actividades administrativas de la Subdirección de Gestión Corporativa--SGC"/>
    <s v="25 - contrato de prestacion de servicios profesionales"/>
    <s v="80111600;"/>
    <n v="2"/>
    <n v="11"/>
    <n v="0"/>
    <n v="673863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5"/>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9066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6"/>
    <x v="1"/>
    <x v="11"/>
    <s v="Fatima Veronica Quintero Nuñez"/>
    <s v="Prestar servicios profesionales para realizar acompañamiento en los procesos contractuales adelantados por la Subdirección Gestión Corporativa -SGC"/>
    <s v="25 - contrato de prestacion de servicios profesionales"/>
    <s v="80111600;"/>
    <n v="2"/>
    <n v="11"/>
    <n v="0"/>
    <n v="6050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47"/>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72600000"/>
    <x v="0"/>
    <s v=" 09 - contratación directa "/>
    <x v="24"/>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1"/>
    <s v="Si Secop "/>
  </r>
  <r>
    <n v="20250548"/>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72600000"/>
    <x v="0"/>
    <s v=" 09 - contratación directa "/>
    <x v="23"/>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16"/>
    <s v="Si Secop "/>
  </r>
  <r>
    <n v="20250549"/>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67386352"/>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50"/>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90750000"/>
    <x v="0"/>
    <s v=" 09 - contratación directa "/>
    <x v="21"/>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6"/>
    <s v="Si Secop "/>
  </r>
  <r>
    <n v="20250551"/>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2"/>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3"/>
    <x v="0"/>
    <x v="11"/>
    <s v="Fatima Veronica Quintero Nuñez"/>
    <s v="Prestar los servicios de apoyo las actividades conforme a la política del Sistema de Gestión de la Seguridad y Salud en el Trabajo (SG-SST) que contribuyan para la adecuada prestación del servicio-SGC"/>
    <s v="26 - contrato de prestacion de servicios de apoyo a la gestion"/>
    <s v="80111600;"/>
    <n v="2"/>
    <n v="11"/>
    <n v="0"/>
    <n v="46585000"/>
    <x v="0"/>
    <s v=" 09 - contratación directa "/>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4"/>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5"/>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6"/>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7"/>
    <x v="0"/>
    <x v="11"/>
    <s v="Fatima Veronica Quintero Nuñez"/>
    <s v="Prestación de servicios de apoyo técnico en la gestión documental de la Subdirección de Gestión Corporativa de la Unidad-SGC"/>
    <s v="26 - contrato de prestacion de servicios de apoyo a la gestion"/>
    <s v="80111600;"/>
    <n v="2"/>
    <n v="11"/>
    <n v="0"/>
    <n v="4585319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8"/>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2"/>
    <n v="0"/>
    <n v="240000000"/>
    <x v="1"/>
    <s v="01 - licitación pública"/>
    <x v="6"/>
    <x v="1"/>
    <x v="2"/>
    <x v="2"/>
    <x v="3"/>
    <s v="N/A"/>
    <s v="N/A-N/A"/>
    <x v="5"/>
    <s v="N/A"/>
    <s v="N/A_N/A"/>
    <s v="N/A-N/A N/A_N/A"/>
    <x v="5"/>
    <x v="5"/>
    <x v="17"/>
    <s v="Si Secop "/>
  </r>
  <r>
    <n v="20250559"/>
    <x v="2"/>
    <x v="10"/>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5"/>
    <n v="8"/>
    <n v="0"/>
    <n v="262870000"/>
    <x v="1"/>
    <s v="03 - selec. abrev. subasta inversa"/>
    <x v="6"/>
    <x v="1"/>
    <x v="2"/>
    <x v="2"/>
    <x v="3"/>
    <s v="N/A"/>
    <s v="N/A-N/A"/>
    <x v="5"/>
    <s v="N/A"/>
    <s v="N/A_N/A"/>
    <s v="N/A-N/A N/A_N/A"/>
    <x v="5"/>
    <x v="5"/>
    <x v="20"/>
    <s v="Si Secop "/>
  </r>
  <r>
    <n v="20250560"/>
    <x v="2"/>
    <x v="10"/>
    <s v="Paula Ximena Henao Escobar"/>
    <s v="Contratar los servicios de canales de datos dedicados para la UAE Cuerpo Oficial de Bomberos de Bogotá-TIC"/>
    <s v="24 - contrato de servicio"/>
    <n v="81112100"/>
    <n v="3"/>
    <n v="11"/>
    <n v="0"/>
    <n v="350000000"/>
    <x v="1"/>
    <s v="09 - contratación directa"/>
    <x v="6"/>
    <x v="1"/>
    <x v="2"/>
    <x v="2"/>
    <x v="3"/>
    <s v="N/A"/>
    <s v="N/A-N/A"/>
    <x v="5"/>
    <s v="N/A"/>
    <s v="N/A_N/A"/>
    <s v="N/A-N/A N/A_N/A"/>
    <x v="5"/>
    <x v="5"/>
    <x v="21"/>
    <s v="Si Secop "/>
  </r>
  <r>
    <n v="20250561"/>
    <x v="2"/>
    <x v="10"/>
    <s v="Paula Ximena Henao Escobar"/>
    <s v="Contratar  la suscripción de licencias Suite Adobe para la UAE Cuerpo Oficial de Bomberos de Bogotá-TIC"/>
    <s v="19 - contrato de renovacion de licencias"/>
    <s v="81112501;43232102;43232103;43231512"/>
    <n v="11"/>
    <n v="12"/>
    <n v="0"/>
    <n v="53000000"/>
    <x v="1"/>
    <s v="04 - contratación mínima cuantía"/>
    <x v="6"/>
    <x v="1"/>
    <x v="2"/>
    <x v="2"/>
    <x v="3"/>
    <s v="N/A"/>
    <s v="N/A-N/A"/>
    <x v="5"/>
    <s v="N/A"/>
    <s v="N/A_N/A"/>
    <s v="N/A-N/A N/A_N/A"/>
    <x v="5"/>
    <x v="5"/>
    <x v="22"/>
    <s v="Si Secop "/>
  </r>
  <r>
    <n v="20250562"/>
    <x v="2"/>
    <x v="10"/>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x v="1"/>
    <s v="04 - contratación mínima cuantía"/>
    <x v="6"/>
    <x v="1"/>
    <x v="2"/>
    <x v="2"/>
    <x v="3"/>
    <s v="N/A"/>
    <s v="N/A-N/A"/>
    <x v="5"/>
    <s v="N/A"/>
    <s v="N/A_N/A"/>
    <s v="N/A-N/A N/A_N/A"/>
    <x v="5"/>
    <x v="5"/>
    <x v="21"/>
    <s v="Si Secop "/>
  </r>
  <r>
    <n v="20250563"/>
    <x v="0"/>
    <x v="4"/>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4"/>
    <x v="0"/>
    <x v="4"/>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5"/>
    <x v="0"/>
    <x v="5"/>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6"/>
    <x v="0"/>
    <x v="5"/>
    <s v="Paula Ximena Henao Escobar"/>
    <s v="Prestación de servicios profesionales en asuntos de comunicaciones y prensa para la traducción de textos editoriales que contribuyan al fortalecimiento y gestión de la imagen corporativa de la entidad."/>
    <s v="25 - contrato de prestacion de servicios profesionales"/>
    <n v="80111600"/>
    <n v="2"/>
    <n v="3"/>
    <n v="0"/>
    <n v="27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7"/>
    <x v="0"/>
    <x v="4"/>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8"/>
    <x v="0"/>
    <x v="5"/>
    <s v="Paula Ximena Henao Escobar"/>
    <s v="Prestar servicios profesionales en asuntos de comunicaciones y prensa para apoyar materia de seguimiento para el cumplimiento de la misionalidad"/>
    <s v="25 - contrato de prestacion de servicios profesionales"/>
    <n v="80111600"/>
    <n v="2"/>
    <n v="11"/>
    <n v="0"/>
    <n v="91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9"/>
    <x v="1"/>
    <x v="6"/>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51272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0"/>
    <x v="1"/>
    <x v="6"/>
    <s v="Jose Andres Ponce Caicedo"/>
    <s v="SGH - Prestar servicios de apoyo a la gestion en la Subdireccion de Gestion Humana de la UAE Cuerpo oficial de Bomberos en el proceso de asusentismos, recobro de incapacidades y los subprocesos directamente relacionados. "/>
    <s v="26 - contrato de prestacion de servicios de apoyo a la gestion"/>
    <n v="80111600"/>
    <n v="2"/>
    <n v="10"/>
    <n v="0"/>
    <n v="2211894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1"/>
    <x v="1"/>
    <x v="6"/>
    <s v="Jose Andres Ponce Caicedo"/>
    <s v="SGH - Prestar servicios profesionales para apoyar el programa de desórdenes musculoesqueléticos de la UAE Cuerpo Oficial de Bomberos de Bogotá&quot;."/>
    <s v="25 - contrato de prestacion de servicios profesionales"/>
    <n v="80111600"/>
    <n v="2"/>
    <n v="11"/>
    <n v="0"/>
    <n v="49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2"/>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3"/>
    <x v="1"/>
    <x v="6"/>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4"/>
    <x v="1"/>
    <x v="6"/>
    <s v="Jose Andres Ponce Caicedo"/>
    <s v="SGH - Prestar sus servicios profesionales en la Subdirección de Gestión Humana, en la administración de sistema de seguridad y salud en el trabajo"/>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5"/>
    <x v="1"/>
    <x v="6"/>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6"/>
    <x v="1"/>
    <x v="6"/>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11"/>
    <n v="0"/>
    <n v="33178419"/>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7"/>
    <x v="1"/>
    <x v="6"/>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1014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8"/>
    <x v="1"/>
    <x v="6"/>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9"/>
    <x v="1"/>
    <x v="6"/>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88065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580"/>
    <x v="1"/>
    <x v="6"/>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1"/>
    <x v="1"/>
    <x v="6"/>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2"/>
    <x v="1"/>
    <x v="6"/>
    <s v="Jose Andres Ponce Caicedo"/>
    <s v="_x000a_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11"/>
    <n v="0"/>
    <n v="59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3"/>
    <x v="1"/>
    <x v="6"/>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492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4"/>
    <x v="1"/>
    <x v="6"/>
    <s v="Jose Andres Ponce Caicedo"/>
    <s v="SGH - Apoyar a construir, diseñar, validar y socializar,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5"/>
    <x v="1"/>
    <x v="6"/>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6"/>
    <x v="0"/>
    <x v="1"/>
    <s v="Monica Perez Barragan"/>
    <s v="Prestar los servicios profesionales jurídicos para apoyar las actividades propias de la gestión contractual que adelanta la Oficina Jurídica"/>
    <s v="25 - contrato de prestacion de servicios profesionales"/>
    <n v="80111600"/>
    <n v="2"/>
    <n v="11"/>
    <n v="0"/>
    <n v="794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4"/>
    <n v="0"/>
    <n v="24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88"/>
    <x v="2"/>
    <x v="11"/>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10000000"/>
    <x v="1"/>
    <s v="02 - selec. abrev. menor cuantía"/>
    <x v="6"/>
    <x v="1"/>
    <x v="2"/>
    <x v="2"/>
    <x v="3"/>
    <s v="N/A"/>
    <s v="N/A-N/A"/>
    <x v="5"/>
    <s v="N/A"/>
    <s v="N/A_N/A"/>
    <s v="N/A-N/A N/A_N/A"/>
    <x v="5"/>
    <x v="5"/>
    <x v="2"/>
    <s v="Si Secop "/>
  </r>
  <r>
    <n v="20250589"/>
    <x v="0"/>
    <x v="11"/>
    <s v="Fatima Veronica Quintero Nuñez"/>
    <s v="Adición No. 2  Prórroga No.1 al contrato 301 de 2024 cuyto objeto es &quot;Suministro de materiales, equipos y herramientas para el mejoramiento integral de las instalaciones de la UAE Cuerpo Oficial de Bomberos -SGC"/>
    <s v="08 - contrato de suministro"/>
    <s v="23271800;26111700;26121500;26121600;27111800;27111900;27112000;27112100;27112800"/>
    <n v="0"/>
    <n v="1"/>
    <n v="0"/>
    <n v="35000000"/>
    <x v="0"/>
    <s v="17 - acuerdo marco de precios"/>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No Secop"/>
  </r>
  <r>
    <n v="2025059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9"/>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22"/>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0"/>
    <x v="0"/>
    <x v="11"/>
    <s v="Fatima Veronica Quintero Nuñez"/>
    <s v="Prestación de servicios de apoyo a la gestión del proceso de inventarios de la Subdirección de Gestión Corporativa.-SGC"/>
    <s v="26 - contrato de prestacion de servicios de apoyo a la gestion"/>
    <s v="80111600;"/>
    <n v="2"/>
    <n v="9"/>
    <n v="0"/>
    <n v="2533625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1"/>
    <x v="0"/>
    <x v="11"/>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61530876"/>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2"/>
    <x v="0"/>
    <x v="11"/>
    <s v="Fatima Veronica Quintero Nuñez"/>
    <s v="Prestación de servicios de apoyo a la gestión del proceso de inventarios de la Subdirección de Gestión Corporativa.-SGC"/>
    <s v="26 - contrato de prestacion de servicios de apoyo a la gestion"/>
    <s v="80111600;"/>
    <n v="2"/>
    <n v="9"/>
    <n v="0"/>
    <n v="2533625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3"/>
    <x v="2"/>
    <x v="11"/>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450000000"/>
    <x v="1"/>
    <s v="02 - selec. abrev. menor cuantía"/>
    <x v="6"/>
    <x v="1"/>
    <x v="2"/>
    <x v="2"/>
    <x v="3"/>
    <s v="N/A"/>
    <s v="N/A-N/A"/>
    <x v="5"/>
    <s v="N/A"/>
    <s v="N/A_N/A"/>
    <s v="N/A-N/A N/A_N/A"/>
    <x v="5"/>
    <x v="5"/>
    <x v="2"/>
    <s v="Si Secop "/>
  </r>
  <r>
    <n v="20250604"/>
    <x v="1"/>
    <x v="7"/>
    <s v="Omer Mauricio Rivera Ruiz"/>
    <s v="Adición al contrato No. 092 - 2024 cuyo objeto es: prestar el servicio de mantenimiento preventivo y correctivo de las motobombas forestales fox propiedad de la UAECOB, incluido el suministro de repuestos, insumos y mano de obra especializada.SBLG"/>
    <s v="03 - contrato de prestacion de servicios"/>
    <n v="46161600"/>
    <n v="2"/>
    <n v="3"/>
    <n v="0"/>
    <n v="253666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605"/>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6"/>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7"/>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8"/>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9"/>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0"/>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1"/>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2"/>
    <x v="0"/>
    <x v="10"/>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81112217"/>
    <n v="1"/>
    <n v="6"/>
    <n v="0"/>
    <n v="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613"/>
    <x v="0"/>
    <x v="10"/>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6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2"/>
    <s v="Si Secop "/>
  </r>
  <r>
    <n v="20250614"/>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615"/>
    <x v="2"/>
    <x v="10"/>
    <s v="Paula Ximena Henao Escobar"/>
    <s v="Contratar la prestación del servicio de Intenet satelital para la U.A.E. Cuerpo Oficial de Bomberos de Bogotá - TIC"/>
    <s v="03 - contrato de prestacion de servicios"/>
    <s v="83121700;83111600;43221700"/>
    <n v="8"/>
    <n v="7"/>
    <n v="0"/>
    <n v="20000000"/>
    <x v="1"/>
    <s v="17 - acuerdo marco de precios"/>
    <x v="6"/>
    <x v="1"/>
    <x v="2"/>
    <x v="2"/>
    <x v="3"/>
    <s v="N/A"/>
    <s v="N/A-N/A"/>
    <x v="5"/>
    <s v="N/A"/>
    <s v="N/A_N/A"/>
    <s v="N/A-N/A N/A_N/A"/>
    <x v="5"/>
    <x v="5"/>
    <x v="21"/>
    <s v="Si Secop "/>
  </r>
  <r>
    <n v="20250616"/>
    <x v="2"/>
    <x v="10"/>
    <s v="Paula Ximena Henao Escobar"/>
    <s v="Prestar los servicios de mantenimiento, soporte técnico, mejoras y actualizaciones de Aranda utilizado por la UEACOB"/>
    <s v="03 - contrato de prestacion de servicios"/>
    <s v="83121700;83111600;43221700"/>
    <n v="8"/>
    <n v="7"/>
    <n v="0"/>
    <n v="60000000"/>
    <x v="1"/>
    <s v="17 - acuerdo marco de precios"/>
    <x v="6"/>
    <x v="1"/>
    <x v="2"/>
    <x v="2"/>
    <x v="3"/>
    <s v="N/A"/>
    <s v="N/A-N/A"/>
    <x v="5"/>
    <s v="N/A"/>
    <s v="N/A_N/A"/>
    <s v="N/A-N/A N/A_N/A"/>
    <x v="5"/>
    <x v="5"/>
    <x v="21"/>
    <s v="Si Secop "/>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8">
  <r>
    <n v="20250001"/>
    <x v="0"/>
    <x v="0"/>
    <s v="Jaime Hernando Arias Patiño"/>
    <s v="Prestar los servicios profesionales  como abogado en la Oficina de Control Interno para el desarrollo del Plan Anual de Auditorías."/>
    <s v="25 - contrato de prestacion de servicios profesionales"/>
    <n v="80111600"/>
    <s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2"/>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3"/>
    <x v="0"/>
    <x v="0"/>
    <s v="Jaime Hernando Arias Patiño"/>
    <s v="Prestar los servicios profesionales  en la Oficina de Control Interno para el desarrollo del Plan Anual de Auditorías."/>
    <s v="25 - contrato de prestacion de servicios profesionales"/>
    <n v="80111600"/>
    <n v="1"/>
    <n v="9"/>
    <n v="12"/>
    <n v="5667409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4"/>
    <x v="0"/>
    <x v="0"/>
    <s v="Jaime Hernando Arias Patiño"/>
    <s v="Prestar los servicios profesionales  en la Oficina de Control Interno para el desarrollo del Plan Anual de Auditorías."/>
    <s v="25 - contrato de prestacion de servicios profesionales"/>
    <n v="80111600"/>
    <n v="1"/>
    <n v="10"/>
    <n v="0"/>
    <n v="46285827"/>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5"/>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6"/>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64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7"/>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7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08"/>
    <x v="0"/>
    <x v="1"/>
    <s v="Monica Perez Barragan"/>
    <s v="Prestar los servicios profesionales especializados de asesoría y control, en el desarrollo de las funciones de la Oficina  Jurídica para la elaboración y revisión de Estudios de Mercado, Análisis del sector y estructuración del presupuesto de los procesos de selección."/>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09"/>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99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0"/>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11"/>
    <x v="0"/>
    <x v="1"/>
    <s v="Monica Perez Barragan"/>
    <s v="Prestar los servicios profesionales jurídicos especializados para apoyar el desarrollo de las funciones de la Oficina Jurídica"/>
    <s v="25 - contrato de prestacion de servicios profesionales"/>
    <n v="80111600"/>
    <n v="2"/>
    <n v="11"/>
    <n v="0"/>
    <n v="65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5"/>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77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6"/>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7"/>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577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19"/>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0"/>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66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1"/>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2"/>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3"/>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918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4"/>
    <x v="0"/>
    <x v="1"/>
    <s v="Monica Perez Barragan"/>
    <s v="Prestar los servicios profesionales especializados para la representación judicial  de la Entidad y la prevención del daño antijurídico."/>
    <s v="25 - contrato de prestacion de servicios profesionales"/>
    <n v="80111600"/>
    <n v="2"/>
    <n v="11"/>
    <n v="0"/>
    <n v="346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25"/>
    <x v="0"/>
    <x v="1"/>
    <s v="Monica Perez Barragan"/>
    <s v="Prestar los servicios de apoyo para las gestiones administrativas requeridas en la Oficina Jurídica."/>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6"/>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7"/>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8"/>
    <x v="0"/>
    <x v="1"/>
    <s v="Monica Perez Barragan"/>
    <s v="Prestar los servicios de apoyo para las gestiones documentales y administrativas requerida por la Oficina  Jurídica."/>
    <s v="26 - contrato de prestacion de servicios de apoyo a la gestion"/>
    <n v="80111600"/>
    <n v="2"/>
    <n v="11"/>
    <n v="0"/>
    <n v="37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29"/>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0"/>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1"/>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2"/>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522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33"/>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71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4"/>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5"/>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10"/>
    <n v="0"/>
    <n v="7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6"/>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1"/>
    <n v="0"/>
    <n v="93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7"/>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8"/>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39"/>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0"/>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1"/>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10"/>
    <n v="0"/>
    <n v="52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2"/>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71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3"/>
    <x v="0"/>
    <x v="2"/>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2"/>
    <n v="7"/>
    <n v="0"/>
    <n v="3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4"/>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2"/>
    <n v="10"/>
    <n v="0"/>
    <n v="35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45"/>
    <x v="0"/>
    <x v="2"/>
    <s v="Yenire Yohansy Lozano Ascanio"/>
    <s v="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
    <s v="25 - contrato de prestacion de servicios profesionales"/>
    <n v="80111600"/>
    <n v="2"/>
    <n v="8"/>
    <n v="0"/>
    <n v="48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46"/>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11"/>
    <n v="0"/>
    <n v="3484096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7"/>
    <x v="0"/>
    <x v="3"/>
    <s v="Manuel Eduardo Castillo Guzman"/>
    <s v="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
    <s v="25 - contrato de prestacion de servicios profesionales"/>
    <n v="80111600"/>
    <n v="3"/>
    <n v="10"/>
    <n v="0"/>
    <n v="65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8"/>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11"/>
    <n v="0"/>
    <n v="43362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49"/>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0"/>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7"/>
    <n v="0"/>
    <n v="455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1"/>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8"/>
    <n v="0"/>
    <n v="576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2"/>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3"/>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8"/>
    <n v="0"/>
    <n v="56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4"/>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7"/>
    <n v="0"/>
    <n v="26523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5"/>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6"/>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1"/>
    <n v="0"/>
    <n v="77000000"/>
    <x v="0"/>
    <s v="09 - contratación directa"/>
    <x v="1"/>
    <x v="0"/>
    <x v="0"/>
    <x v="0"/>
    <x v="1"/>
    <s v="Servicios para la planeación y sistemas de gestión y comunicación estratégica"/>
    <s v="13-Servicios para la planeación y sistemas de gestión y comunicación estratégica"/>
    <x v="1"/>
    <s v="Servicio de asistencia técnica"/>
    <s v="031_Servicio de asistencia técnica"/>
    <s v="13-Servicios para la planeación y sistemas de gestión y comunicación estratégica 031_Servicio de asistencia técnica"/>
    <x v="1"/>
    <x v="1"/>
    <x v="0"/>
    <s v="Si Secop "/>
  </r>
  <r>
    <n v="20250057"/>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9"/>
    <n v="0"/>
    <n v="58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58"/>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3"/>
    <n v="7"/>
    <n v="0"/>
    <n v="45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1"/>
    <s v="Si Secop "/>
  </r>
  <r>
    <n v="20250059"/>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0"/>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8"/>
    <n v="0"/>
    <n v="536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1"/>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7"/>
    <n v="0"/>
    <n v="455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2"/>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3"/>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11"/>
    <n v="0"/>
    <n v="41679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4"/>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3"/>
    <n v="10"/>
    <n v="0"/>
    <n v="650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5"/>
    <x v="0"/>
    <x v="3"/>
    <s v="Manuel Eduardo Castillo Guzman"/>
    <s v="Prestación de servicios profesionales para el desarrollo de actividades designadas en el marco del Modelo Integrado de Planeación y Gestión (MIPG), orientadas a brindar soporte en el área que lo requiera."/>
    <s v="25 - contrato de prestacion de servicios profesionales"/>
    <n v="80111600"/>
    <n v="3"/>
    <n v="6"/>
    <n v="0"/>
    <n v="42000000"/>
    <x v="0"/>
    <s v="09 - contratación directa"/>
    <x v="1"/>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6"/>
    <x v="0"/>
    <x v="3"/>
    <s v="Manuel Eduardo Castillo Guzman"/>
    <s v="Contratar la prestación de servicios de auditoria bajo los requisitos de las normas internacionales del Sistema de Gestión de la Calidad e ISO 9001 y el Sistema de Seguridad de la Información ISO 27001"/>
    <s v="26 - contrato de prestacion de servicios de apoyo a la gestion"/>
    <n v="80111600"/>
    <n v="9"/>
    <n v="2"/>
    <n v="0"/>
    <n v="26895522"/>
    <x v="0"/>
    <s v="09 - contratación directa"/>
    <x v="3"/>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067"/>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68"/>
    <x v="0"/>
    <x v="4"/>
    <s v="Paula Ximena Henao Escobar"/>
    <s v="Prestación de servicios profesionales para acompañar a la Dirección en la estructuración de fichas técnicas y en la identificación de necesidades técnicas que requiere suplir la UAE Cuerpo Oficial de Bomberos de Bogotá"/>
    <s v="25 - contrato de prestacion de servicios profesionales"/>
    <n v="80111600"/>
    <n v="2"/>
    <n v="11"/>
    <n v="0"/>
    <n v="913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69"/>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0"/>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1"/>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072"/>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3"/>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4"/>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5"/>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76"/>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7"/>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8"/>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79"/>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0"/>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1"/>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2"/>
    <x v="0"/>
    <x v="4"/>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83"/>
    <x v="0"/>
    <x v="5"/>
    <s v="Paula Ximena Henao Escobar"/>
    <s v="Prestar servicios profesionales en la Dirección General para el manejo de redes sociales, divulgación, socialización de información y apoyo periodístico, requerido en el marco de la estrategia de comunicaciones y prensa de la UAECOB."/>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4"/>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5"/>
    <x v="0"/>
    <x v="5"/>
    <s v="Paula Ximena Henao Escobar"/>
    <s v="Prestar apoyo técnico en la Dirección, en asuntos de comunicaciones y prensa, para la producción, diseño y edición de material audiovisual de la UAECOB."/>
    <s v="26 - contrato de prestacion de servicios de apoyo a la gestion"/>
    <n v="80111600"/>
    <n v="2"/>
    <n v="11"/>
    <n v="0"/>
    <n v="48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6"/>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7"/>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8"/>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2"/>
    <n v="11"/>
    <n v="0"/>
    <n v="57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89"/>
    <x v="0"/>
    <x v="5"/>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2"/>
    <n v="6"/>
    <n v="0"/>
    <n v="4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0"/>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1"/>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2"/>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2"/>
    <n v="6"/>
    <n v="0"/>
    <n v="48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3"/>
    <x v="0"/>
    <x v="5"/>
    <s v="Paula Ximena Henao Escobar"/>
    <s v="Prestación de servicios profesionales en asuntos de comunicaciones y prensa para apoyar las labores de divulgación de la información en las redes sociales, pagina web e intranet, de acuerdo con la misionalidad de la UAECOB."/>
    <s v="25 - contrato de prestacion de servicios profesionales"/>
    <n v="80111600"/>
    <n v="2"/>
    <n v="6"/>
    <n v="0"/>
    <n v="31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4"/>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5"/>
    <x v="0"/>
    <x v="4"/>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096"/>
    <x v="0"/>
    <x v="5"/>
    <s v="Paula Ximena Henao Escobar"/>
    <s v="Prestar servicios profesionales especializados en la Dirección General de la UAECOB en la organización de los temas relacionados con las comunicaciones estratégicas."/>
    <s v="25 - contrato de prestacion de servicios profesionales"/>
    <n v="80111600"/>
    <n v="2"/>
    <n v="6"/>
    <n v="0"/>
    <n v="552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097"/>
    <x v="1"/>
    <x v="6"/>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098"/>
    <x v="1"/>
    <x v="6"/>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937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099"/>
    <x v="1"/>
    <x v="6"/>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0"/>
    <x v="1"/>
    <x v="6"/>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01"/>
    <x v="1"/>
    <x v="6"/>
    <s v="Jose Andres Ponce Caicedo"/>
    <s v="SGH - Prestar servicios profesionales en la Subdirección de Gestión Humana, para el fortalecimiento transversal del proceso de Academia."/>
    <s v="25 - contrato de prestacion de servicios profesionales"/>
    <n v="80111600"/>
    <n v="2"/>
    <n v="11"/>
    <n v="0"/>
    <n v="41019299"/>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2"/>
    <x v="1"/>
    <x v="6"/>
    <s v="Jose Andres Ponce Caicedo"/>
    <s v="SGH - Prestar sus servicios profesionales en los procesos de la Subdirección de Gestión Humana de la UAE Cuerpo Oficial de Bomberos."/>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3"/>
    <x v="1"/>
    <x v="6"/>
    <s v="Jose Andres Ponce Caicedo"/>
    <s v="SGH - Prestar servicios profesionales para apoyar el programa de desórdenes musculo esqueléticos de la UAE Cuerpo Oficial de Bomberos de Bogotá."/>
    <s v="25 - contrato de prestacion de servicios profesionales"/>
    <n v="80111600"/>
    <n v="2"/>
    <n v="8"/>
    <n v="0"/>
    <n v="31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4"/>
    <x v="1"/>
    <x v="6"/>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8"/>
    <n v="0"/>
    <n v="32481207"/>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5"/>
    <x v="1"/>
    <x v="6"/>
    <s v="Jose Andres Ponce Caicedo"/>
    <s v="SGH - Prestar sus servicios profesionales en la Subdirección de Gestión Humana en temas de desarrollo organizacional."/>
    <s v="25 - contrato de prestacion de servicios profesionales"/>
    <n v="80111600"/>
    <n v="2"/>
    <n v="11"/>
    <n v="0"/>
    <n v="567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6"/>
    <x v="1"/>
    <x v="6"/>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8683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7"/>
    <x v="1"/>
    <x v="6"/>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35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8"/>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711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09"/>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5956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0"/>
    <x v="1"/>
    <x v="6"/>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4016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1"/>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1014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2"/>
    <x v="1"/>
    <x v="6"/>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3"/>
    <x v="1"/>
    <x v="6"/>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544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5"/>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31723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6"/>
    <x v="1"/>
    <x v="6"/>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8012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7"/>
    <x v="1"/>
    <x v="6"/>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8"/>
    <x v="1"/>
    <x v="6"/>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711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19"/>
    <x v="1"/>
    <x v="6"/>
    <s v="Jose Andres Ponce Caicedo"/>
    <s v="SGH - Prestar servicios profesionales en la Subdirección de Gestión Humana de la UAE Cuerpo Oficial de Bomberos en temas de Administración de Personal."/>
    <s v="25 - contrato de prestacion de servicios profesionales"/>
    <n v="80111600"/>
    <n v="2"/>
    <n v="11"/>
    <n v="0"/>
    <n v="481005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1"/>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615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2"/>
    <x v="1"/>
    <x v="6"/>
    <s v="Jose Andres Ponce Caicedo"/>
    <s v="SGH - Prestar servicios profesionales en la Subdirección de Gestión Humana en los diferentes procesos y procedimientos propios del área de nómina de la Unidad Administrativa del Cuerpo oficial de Bomberos."/>
    <s v="25 - contrato de prestacion de servicios profesionales"/>
    <n v="80111600"/>
    <n v="2"/>
    <n v="8"/>
    <n v="0"/>
    <n v="63563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3"/>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4"/>
    <x v="1"/>
    <x v="6"/>
    <s v="Jose Andres Ponce Caicedo"/>
    <s v="SGH - Prestar servicios profesionales juridicos para desarrollar actividades en la Subdireccion de Gestion Humana y el area de academia. "/>
    <s v="25 - contrato de prestacion de servicios profesionales"/>
    <n v="80111600"/>
    <n v="3"/>
    <n v="10"/>
    <n v="0"/>
    <n v="273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25"/>
    <x v="1"/>
    <x v="6"/>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6"/>
    <x v="1"/>
    <x v="6"/>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7"/>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0086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8"/>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29"/>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63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130"/>
    <x v="1"/>
    <x v="6"/>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791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2"/>
    <x v="1"/>
    <x v="6"/>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976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3"/>
    <x v="1"/>
    <x v="6"/>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5"/>
    <x v="1"/>
    <x v="6"/>
    <s v="Jose Andres Ponce Caicedo"/>
    <s v="SGH- Prestación de servicios profesionales para apoyar a la Subdirección Gestión Humana, en el diligenciamiento, validación , consolidación y seguimiento a la información relacionada con la información laboral del personal de planta y de las herramientas de gestión de los procedimientos a cargo de esta subdirección, así como la gestión , control trámite y seguimiento de solicitudes de acuerdo con las competencias de la subdirección."/>
    <s v="25 - contrato de prestacion de servicios profesionales"/>
    <n v="80111600"/>
    <n v="3"/>
    <n v="10"/>
    <n v="0"/>
    <n v="11666667"/>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6"/>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8"/>
    <x v="1"/>
    <x v="6"/>
    <s v="Jose Andres Ponce Caicedo"/>
    <s v="SGH - Prestación de Servicios de apoyo a la gestión para acompañar a la Subdirección de Gestión Humana en la proyección y elaboración de actas técnicas de las sesiones de la comisión de personal y de los diferentes comités, en los que la dependencia ejerza la secretaria técnica"/>
    <s v="26 - contrato de prestacion de servicios de apoyo a la gestion"/>
    <n v="80111600"/>
    <n v="3"/>
    <n v="10"/>
    <n v="0"/>
    <n v="1320069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39"/>
    <x v="1"/>
    <x v="6"/>
    <s v="Jose Andres Ponce Caicedo"/>
    <s v="SGH - Prestar servicios profesionales para apoyar el programa de riesgo psicosocial y diferentes  actividades de seguridad y salud en el trabajo en la Subdirección de Gestión Humana"/>
    <s v="11 - orden de prestacion de servicios"/>
    <n v="80111600"/>
    <n v="3"/>
    <n v="10"/>
    <n v="0"/>
    <n v="5769716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2"/>
    <x v="1"/>
    <x v="6"/>
    <s v="Jose Andres Ponce Caicedo"/>
    <s v="SGH - Prestar los servicios de capacitación, formación y entrenamiento en cursos especializado para Bomberos necesarios para el desarrollo de estos procesos para el personal operativo y administrativo de la Academia UAECOB en el marco del PIC"/>
    <s v="11 - orden de prestacion de servicios"/>
    <s v="86101600, 86101700, 86101800, 86111600, 86141500,  86121800, 80111500,86131800"/>
    <n v="3"/>
    <n v="6"/>
    <n v="0"/>
    <n v="5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3"/>
    <x v="1"/>
    <x v="6"/>
    <s v="Jose Andres Ponce Caicedo"/>
    <s v="SGH - Prestar los servicios de capacitación, formación y entrenamiento en cursos especializado para Bomberos  en OPERADORES DE GRUAS, necesario para el desarrollo de estos procesos para el personal operativo y administrativo de la Academia UAECOB "/>
    <s v="11 - orden de prestacion de servicios"/>
    <s v="86101600, 86101700, 86101800, 86111600, 86141500,  86121800, 80111500"/>
    <n v="3"/>
    <n v="4"/>
    <n v="0"/>
    <n v="5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4"/>
    <x v="1"/>
    <x v="6"/>
    <s v="Jose Andres Ponce Caicedo"/>
    <s v="SGH - Prestar los servicios de capacitación, formación y entrenamiento en cursos especializado para Bomberos en BUZO DE SEGURIDAD PUBLICA, necesario para el desarrollo de estos procesos para el personal operativo y administrativo  de la Academia UAECOB "/>
    <s v="11 - orden de prestacion de servicios"/>
    <s v="86101600, 86101700, 86101800, 86111600, 86141500,  86121800, 80111500"/>
    <n v="3"/>
    <n v="4"/>
    <n v="0"/>
    <n v="20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5"/>
    <x v="1"/>
    <x v="6"/>
    <s v="Jose Andres Ponce Caicedo"/>
    <s v="SGH - Adquisición de elementos, herramientas y accesorios necesario para el desarrollo de entrenamiento rescate con cuerdas, rescate vehicular y rescate urban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6"/>
    <x v="1"/>
    <x v="6"/>
    <s v="Jose Andres Ponce Caicedo"/>
    <s v="SGH - Adquisición de elementos, herramientas y accesorios necesario para el desarrollo de entrenamiento APH - DORSOS Y MANIQUIES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7"/>
    <x v="1"/>
    <x v="6"/>
    <s v="Jose Andres Ponce Caicedo"/>
    <s v="SGH - Adquisición de elementos, herramientas y accesorios para  EQUIPAMIENTO DE MAQUINAS E INCENDIOS necesario para el desarrollo de entrenamiento de la Academia UAECOB"/>
    <s v="06 - contrato de compraventa"/>
    <s v="23101512, 23241629, 27111508_x000a_27111559, 46161707, 46191605,46191609, 27111604, 46191603, 30191501, 46191614, 27111702_x000a_46191620, 46201002, 41114408_x000a_46191510, 46191511, 42171610, 46161715, 42171612, 27112813, 27112120, 30102409, 26121634_x000a_41113630, 25173107, 25173108_x000a_52161518, 46181504, 46181537, 41114501, 46161714"/>
    <n v="3"/>
    <n v="4"/>
    <n v="0"/>
    <n v="30000000"/>
    <x v="0"/>
    <s v="04 - contratación mínima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8"/>
    <x v="1"/>
    <x v="6"/>
    <s v="Jose Andres Ponce Caicedo"/>
    <s v="SGH - Adquisicion y adecuacion de escenarios necesario para el desarrollo de entrenamiento USAR de la Academia UAECOB"/>
    <s v="08 - contrato de suministro"/>
    <s v="72121100, 24101600, 30131500, 31371300, 30101500, 30101700, 30103600, 95121633, 30103619, 73121600, 73121500, 30101704, 30101504"/>
    <n v="3"/>
    <n v="4"/>
    <n v="0"/>
    <n v="8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49"/>
    <x v="1"/>
    <x v="6"/>
    <s v="Jose Andres Ponce Caicedo"/>
    <s v="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
    <s v="11 - orden de prestacion de servicios"/>
    <s v="80101500;80111500;86132000;93151500"/>
    <n v="3"/>
    <n v="4"/>
    <n v="0"/>
    <n v="150000000"/>
    <x v="0"/>
    <s v="02 - selec. abrev. menor cuantí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0"/>
    <x v="1"/>
    <x v="6"/>
    <s v="Jose Andres Ponce Caicedo"/>
    <s v="SGH - Garantizar los Recursos para movilización del Personal para emergencias"/>
    <s v="03 - contrato de prestacion de servicios"/>
    <n v="90121800"/>
    <n v="2"/>
    <n v="11"/>
    <n v="0"/>
    <n v="5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1"/>
    <x v="1"/>
    <x v="6"/>
    <s v="Jose Andres Ponce Caicedo"/>
    <s v="SGH - Garantizar los recursos para viáticos y tiquetes del personal"/>
    <s v="03 - contrato de prestacion de servicios"/>
    <n v="90121800"/>
    <n v="2"/>
    <n v="11"/>
    <n v="0"/>
    <n v="150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152"/>
    <x v="2"/>
    <x v="6"/>
    <s v="Jose Andres Ponce Caicedo"/>
    <s v="Realizar los exámenes Médicos Ocupacionales para el personal de la UAECOB"/>
    <s v="03 - contrato de prestacion de servicios"/>
    <s v="85121503;85121603;85121604;85121608;85121610;85121611;85121612;85121702;85122201"/>
    <n v="3"/>
    <n v="9"/>
    <n v="0"/>
    <n v="302388000"/>
    <x v="1"/>
    <s v="02 - selec. abrev. menor cuantía"/>
    <x v="6"/>
    <x v="1"/>
    <x v="2"/>
    <x v="2"/>
    <x v="3"/>
    <s v="N/A"/>
    <s v="N/A-N/A"/>
    <x v="5"/>
    <s v="N/A"/>
    <s v="N/A_N/A"/>
    <s v="N/A-N/A N/A_N/A"/>
    <x v="5"/>
    <x v="5"/>
    <x v="2"/>
    <s v="Si Secop "/>
  </r>
  <r>
    <n v="20250153"/>
    <x v="2"/>
    <x v="6"/>
    <s v="Jose Andres Ponce Caicedo"/>
    <s v="INCENTIVOS"/>
    <s v="12 - resolucion"/>
    <s v="N/A"/>
    <n v="9"/>
    <n v="9"/>
    <n v="0"/>
    <n v="179741000"/>
    <x v="1"/>
    <s v="91 - n/a acto administrativo (resolución, decreto, acuerdo, etc.)"/>
    <x v="6"/>
    <x v="1"/>
    <x v="2"/>
    <x v="2"/>
    <x v="3"/>
    <s v="N/A"/>
    <s v="N/A-N/A"/>
    <x v="5"/>
    <s v="N/A"/>
    <s v="N/A_N/A"/>
    <s v="N/A-N/A N/A_N/A"/>
    <x v="5"/>
    <x v="5"/>
    <x v="2"/>
    <s v="Si Secop "/>
  </r>
  <r>
    <n v="20250154"/>
    <x v="2"/>
    <x v="6"/>
    <s v="Jose Andres Ponce Caicedo"/>
    <s v="Contratar la Prestación de Servicios para desarrollar el Plan de Bienestar de la UAE Cuerpo Oficial de Bomberos para la Vigencia 2024."/>
    <s v="03 - contrato de prestacion de servicios"/>
    <s v="90101600;90111600;90141700;90151700"/>
    <n v="3"/>
    <n v="8"/>
    <n v="0"/>
    <n v="1620259000"/>
    <x v="1"/>
    <s v="09 - contratación directa"/>
    <x v="6"/>
    <x v="1"/>
    <x v="2"/>
    <x v="2"/>
    <x v="3"/>
    <s v="N/A"/>
    <s v="N/A-N/A"/>
    <x v="5"/>
    <s v="N/A"/>
    <s v="N/A_N/A"/>
    <s v="N/A-N/A N/A_N/A"/>
    <x v="5"/>
    <x v="5"/>
    <x v="2"/>
    <s v="Si Secop "/>
  </r>
  <r>
    <n v="20250155"/>
    <x v="2"/>
    <x v="6"/>
    <s v="Jose Andres Ponce Caicedo"/>
    <s v="Contratar elementos de protección personal de acuerdo con las diferentes visitas de las estaciones según el sistema de gestión de salud ocupacional"/>
    <s v="03 - contrato de prestacion de servicios"/>
    <s v="46181900;46181901"/>
    <n v="3"/>
    <n v="4"/>
    <n v="0"/>
    <n v="61199000"/>
    <x v="1"/>
    <s v="02 - selec. abrev. menor cuantía"/>
    <x v="6"/>
    <x v="1"/>
    <x v="2"/>
    <x v="2"/>
    <x v="3"/>
    <s v="N/A"/>
    <s v="N/A-N/A"/>
    <x v="5"/>
    <s v="N/A"/>
    <s v="N/A_N/A"/>
    <s v="N/A-N/A N/A_N/A"/>
    <x v="5"/>
    <x v="5"/>
    <x v="2"/>
    <s v="Si Secop "/>
  </r>
  <r>
    <n v="20250156"/>
    <x v="1"/>
    <x v="7"/>
    <s v="Omer Mauricio Rivera Ruiz"/>
    <s v="Suministro de llantas y  prestación del servicio de instalación, alineación, balanceo y conexos a los vehículos del parque automotor de la U.A.E. Cuerpo Oficial de Bomberos de Bogotá - SBLG"/>
    <s v="03 - contrato de prestacion de servicios"/>
    <n v="25172500"/>
    <n v="2"/>
    <n v="12"/>
    <n v="0"/>
    <n v="15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7"/>
    <x v="1"/>
    <x v="7"/>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n v="46161600"/>
    <n v="4"/>
    <n v="12"/>
    <n v="0"/>
    <n v="746334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58"/>
    <x v="1"/>
    <x v="7"/>
    <s v="Omer Mauricio Rivera Ruiz"/>
    <s v="Prestar el servicio de mantenimiento preventivo y correctivo, de latonería y pintura, incluyendo el suministro de repuestos, insumos y mano de obra especializada para los vehículos pertenecientes al parque automotor de la UAE Cuerpo Oficial de Bomberos de Bogotá DC lote I y II - SBLG"/>
    <s v="17 - contrato de mantenimiento"/>
    <n v="78181500"/>
    <n v="4"/>
    <n v="12"/>
    <n v="0"/>
    <n v="4950000000"/>
    <x v="0"/>
    <s v="01 - licitación públic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4"/>
    <s v="Si Secop "/>
  </r>
  <r>
    <n v="20250159"/>
    <x v="1"/>
    <x v="7"/>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2"/>
    <n v="12"/>
    <n v="0"/>
    <n v="65000000"/>
    <x v="0"/>
    <s v="02 - selec. abrev. menor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5"/>
    <s v="Si Secop "/>
  </r>
  <r>
    <n v="20250160"/>
    <x v="1"/>
    <x v="7"/>
    <s v="Omer Mauricio Rivera Ruiz"/>
    <s v="Suministro de alimentación,  hidratación  y raciones para el cuerpo operativo en la atención de emergencias, entrenamientos, capacitaciones y actividades de prevención- - SBLG"/>
    <s v="08 - contrato de suministro"/>
    <s v="90101800;90101600;50192700;50112000;50202311;50201709;50161509;50192110;93131602"/>
    <n v="5"/>
    <n v="7"/>
    <n v="0"/>
    <n v="26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6"/>
    <s v="Si Secop "/>
  </r>
  <r>
    <n v="20250161"/>
    <x v="1"/>
    <x v="7"/>
    <s v="Omer Mauricio Rivera Ruiz"/>
    <s v="Suministrar combustible para los vehículos, y equipos especializados de la U.A.E. Cuerpo Oficial de Bomberos Bogotá dentro y fuera del perímetro del distrito capital de la  - SBLG"/>
    <s v="08 - contrato de suministro"/>
    <n v="15101500"/>
    <n v="2"/>
    <n v="12"/>
    <n v="0"/>
    <n v="1080000000"/>
    <x v="0"/>
    <s v="17 - acuerdo marco de precios"/>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7"/>
    <s v="Si Secop "/>
  </r>
  <r>
    <n v="20250162"/>
    <x v="1"/>
    <x v="7"/>
    <s v="Omer Mauricio Rivera Ruiz"/>
    <s v="Contratar el suministro de alimentación para los caninos del cuerpo oficial y animales rescatados por la U.A.E. del Cuerpo Oficial de Bomberos de Bogotá – . - SBLG"/>
    <s v="08 - contrato de suministro"/>
    <s v="10121801;10121802;10121602 "/>
    <n v="2"/>
    <n v="12"/>
    <n v="0"/>
    <n v="10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3"/>
    <x v="1"/>
    <x v="7"/>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12"/>
    <n v="0"/>
    <n v="12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4"/>
    <x v="1"/>
    <x v="7"/>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72101500;72154200"/>
    <n v="2"/>
    <n v="12"/>
    <n v="0"/>
    <n v="12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5"/>
    <x v="1"/>
    <x v="7"/>
    <s v="Omer Mauricio Rivera Ruiz"/>
    <s v="Suministrar repuestos, accesorios e insumos para los equipos menores  y transversales de propiedad de la UAECOB. - SBLG"/>
    <s v="08 - contrato de suministro"/>
    <s v="31261500; 31161500; 31161600; 31162300; 31162800; 31171500; 31171700; 39121600; 27121600 "/>
    <n v="3"/>
    <n v="10"/>
    <n v="0"/>
    <n v="15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6"/>
    <x v="1"/>
    <x v="7"/>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n v="3"/>
    <n v="12"/>
    <n v="0"/>
    <n v="40000000"/>
    <x v="0"/>
    <s v="04 - contratación mínima cuantí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8"/>
    <s v="Si Secop "/>
  </r>
  <r>
    <n v="20250167"/>
    <x v="1"/>
    <x v="7"/>
    <s v="Omer Mauricio Rivera Ruiz"/>
    <s v="Adquisición de concentrado de espuma, mantenimiento y recarga de extintores, cilindros y tanques de las maquinas extintoras de la UAECOB.   LOTE I Y LOTE II - SBLG"/>
    <s v="08 - contrato de suministro"/>
    <n v="72101509"/>
    <n v="2"/>
    <n v="12"/>
    <n v="0"/>
    <n v="250000000"/>
    <x v="0"/>
    <s v="03 - selec. abrev. subasta invers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3"/>
    <s v="Si Secop "/>
  </r>
  <r>
    <n v="20250168"/>
    <x v="1"/>
    <x v="7"/>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69"/>
    <x v="1"/>
    <x v="7"/>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5086432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0"/>
    <x v="1"/>
    <x v="7"/>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1"/>
    <x v="1"/>
    <x v="7"/>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40151601;40151802"/>
    <n v="3"/>
    <n v="12"/>
    <n v="0"/>
    <n v="95347742"/>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9"/>
    <s v="Si Secop "/>
  </r>
  <r>
    <n v="20250172"/>
    <x v="1"/>
    <x v="7"/>
    <s v="Omer Mauricio Rivera Ruiz"/>
    <s v="Prestar el servicio de mantenimiento preventivo y correctivo de los Equipos acuaticos propiedad de la U.A.E. Cuerpo Oficial de Bomberos de Bogotá, incluido el suministro de repuestos, insumos y mano de obra especializada.  - SBLG"/>
    <s v="03 - contrato de prestacion de servicios"/>
    <s v="40151601;40151802"/>
    <n v="2"/>
    <n v="12"/>
    <n v="0"/>
    <n v="100000000"/>
    <x v="0"/>
    <s v="03 - selec. abrev. subasta invers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Si Secop "/>
  </r>
  <r>
    <n v="20250173"/>
    <x v="1"/>
    <x v="7"/>
    <s v="Omer Mauricio Rivera Ruiz"/>
    <s v="Mantenimiento y actulizacion de elementos para la atencion de emergencias, rescate y salvamento  acuatico  (Trajes de buceo) - SBLG"/>
    <s v="03 - contrato de prestacion de servicios"/>
    <s v="40151601;40151802"/>
    <n v="2"/>
    <n v="12"/>
    <n v="0"/>
    <n v="50000000"/>
    <x v="0"/>
    <s v="04 - contratación mínima cuantí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5"/>
    <s v="Si Secop "/>
  </r>
  <r>
    <n v="20250174"/>
    <x v="1"/>
    <x v="7"/>
    <s v="Omer Mauricio Rivera Ruiz"/>
    <s v="Prestación de servicios de apoyo a la gestión en el proceso de mantenimiento del equipo menor a cargo de la Subdirección Logística -SBLG."/>
    <s v="26 - contrato de prestacion de servicios de apoyo a la gestion"/>
    <n v="80111600"/>
    <n v="2"/>
    <n v="9"/>
    <n v="0"/>
    <n v="297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75"/>
    <x v="1"/>
    <x v="7"/>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5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6"/>
    <x v="1"/>
    <x v="7"/>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10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77"/>
    <x v="1"/>
    <x v="7"/>
    <s v="Omer Mauricio Rivera Ruiz"/>
    <s v="Prestar servicios de apoyo a la gestión en actividades administrativas y documentales que se desarrollen en la Subdirección Logística – SBLG."/>
    <s v="26 - contrato de prestacion de servicios de apoyo a la gestion"/>
    <n v="80111600"/>
    <n v="2"/>
    <n v="10"/>
    <n v="0"/>
    <n v="3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8"/>
    <x v="1"/>
    <x v="7"/>
    <s v="Omer Mauricio Rivera Ruiz"/>
    <s v="Prestación de servicios profesionales para apoyar la gestión financiera y presupuestal de los proyectos y planes a cargo de la Subdirección Logística - SBLG. "/>
    <s v="25 - contrato de prestacion de servicios profesionales"/>
    <n v="80111600"/>
    <n v="2"/>
    <n v="9"/>
    <n v="0"/>
    <n v="55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79"/>
    <x v="1"/>
    <x v="7"/>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0"/>
    <x v="1"/>
    <x v="7"/>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6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1"/>
    <x v="1"/>
    <x v="7"/>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2"/>
    <x v="1"/>
    <x v="7"/>
    <s v="Omer Mauricio Rivera Ruiz"/>
    <s v="Prestación de servicios de apoyo a la gestión en el proceso de mantenimiento del equipo menor a cargo de la Subdirección Logística -SBLG."/>
    <s v="26 - contrato de prestacion de servicios de apoyo a la gestion"/>
    <n v="80111600"/>
    <n v="2"/>
    <n v="10"/>
    <n v="0"/>
    <n v="3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3"/>
    <x v="1"/>
    <x v="7"/>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4"/>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5"/>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6"/>
    <x v="1"/>
    <x v="7"/>
    <s v="Omer Mauricio Rivera Ruiz"/>
    <s v="Prestar servicios profesionales para apoyar en los diferentes procesos de planeación,  administrativos e inventario de la Subdirección Logística – SBLG. "/>
    <s v="25 - contrato de prestacion de servicios profesionales"/>
    <n v="80111600"/>
    <n v="2"/>
    <n v="10"/>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7"/>
    <x v="1"/>
    <x v="7"/>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9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88"/>
    <x v="1"/>
    <x v="7"/>
    <s v="Omer Mauricio Rivera Ruiz"/>
    <s v="Prestar  servicios de apoyo a la gestión en_x000a_actividades Técnicas, administrativas y documentales de la_x000a_Subdirección Logística - SBLG"/>
    <s v="26 - contrato de prestacion de servicios de apoyo a la gestion"/>
    <n v="80111600"/>
    <n v="2"/>
    <n v="9"/>
    <n v="0"/>
    <n v="288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89"/>
    <x v="1"/>
    <x v="7"/>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374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0"/>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1"/>
    <x v="1"/>
    <x v="7"/>
    <s v="Omer Mauricio Rivera Ruiz"/>
    <s v="Prestación de servicio como conductor para apoyar en la gestión administrativa y logística de la Subdirección Logistica- SBLG."/>
    <s v="26 - contrato de prestacion de servicios de apoyo a la gestion"/>
    <n v="80111600"/>
    <n v="2"/>
    <n v="10"/>
    <n v="0"/>
    <n v="3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2"/>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1023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3"/>
    <x v="1"/>
    <x v="7"/>
    <s v="Omer Mauricio Rivera Ruiz"/>
    <s v="Prestación de servicios de apoyo a la gestión en la recepción, trámite, gestión y resolución de todas las incidencias o solicitudes reportadas a través de la herramienta de la mesa logística de la Subdirección Logística de la UAECOB. –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4"/>
    <x v="1"/>
    <x v="7"/>
    <s v="Omer Mauricio Rivera Ruiz"/>
    <s v="Prestar servicios profesionales en la seguimiento,verificación y control administrativo financiero de los procesos contractuales en la etapa de ejecución a cargo de la Subdirección Logistica – . - SBLG"/>
    <s v="25 - contrato de prestacion de servicios profesionales"/>
    <n v="80111600"/>
    <n v="2"/>
    <n v="11"/>
    <n v="0"/>
    <n v="618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5"/>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9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1"/>
    <s v="Si Secop "/>
  </r>
  <r>
    <n v="20250196"/>
    <x v="1"/>
    <x v="7"/>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198"/>
    <x v="1"/>
    <x v="7"/>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935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199"/>
    <x v="1"/>
    <x v="7"/>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6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0"/>
    <x v="1"/>
    <x v="7"/>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1"/>
    <x v="1"/>
    <x v="7"/>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5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2"/>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9"/>
    <n v="0"/>
    <n v="31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3"/>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8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04"/>
    <x v="1"/>
    <x v="7"/>
    <s v="Omer Mauricio Rivera Ruiz"/>
    <s v="Prestar servicios de apoyo a la gestión para realizar seguimiento y control en el analisis de datos de los diferentes aplicativos tecnologicos de la Subdirección Logistica. SBLG "/>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5"/>
    <x v="1"/>
    <x v="7"/>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2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6"/>
    <x v="1"/>
    <x v="7"/>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88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8"/>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6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09"/>
    <x v="1"/>
    <x v="7"/>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33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0"/>
    <x v="1"/>
    <x v="7"/>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1"/>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7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2"/>
    <x v="1"/>
    <x v="7"/>
    <s v="Omer Mauricio Rivera Ruiz"/>
    <s v="Prestación de servicios profesionales, para apoyar la estructuración y seguimiento de los asuntos contractuales y jurídicos que requiera la Subdirección Logística en el ámbito de su competencia.- SBLG"/>
    <s v="25 - contrato de prestacion de servicios profesionales"/>
    <n v="80111600"/>
    <n v="2"/>
    <n v="7"/>
    <n v="0"/>
    <n v="56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3"/>
    <x v="1"/>
    <x v="7"/>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550000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r>
  <r>
    <n v="20250214"/>
    <x v="1"/>
    <x v="7"/>
    <s v="Omer Mauricio Rivera Ruiz"/>
    <s v="Prestar servicios profesionales en las actividades administrativas y financieras que requieran los procesos de la Subdirección Logística- SBLG"/>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5"/>
    <x v="1"/>
    <x v="7"/>
    <s v="Omer Mauricio Rivera Ruiz"/>
    <s v="Prestar los servicios profesionales para la gestión, financiera de los proyectos y procesos de la Subdirección - SBLG."/>
    <s v="25 - contrato de prestacion de servicios profesionales"/>
    <n v="80111600"/>
    <n v="2"/>
    <n v="10"/>
    <n v="0"/>
    <n v="6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6"/>
    <x v="1"/>
    <x v="7"/>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75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7"/>
    <x v="1"/>
    <x v="7"/>
    <s v="Omer Mauricio Rivera Ruiz"/>
    <s v="Prestación de servicios profesionales técnicos y administrativos en el seguimiento y control en los diferentes procesos y procedimiemtos incluyendo el sistema de Gestión ambiental de la Subdirección Logística . -SBGL"/>
    <s v="25 - contrato de prestacion de servicios profesionales"/>
    <n v="80111600"/>
    <n v="2"/>
    <n v="9"/>
    <n v="0"/>
    <n v="40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18"/>
    <x v="1"/>
    <x v="7"/>
    <s v="Omer Mauricio Rivera Ruiz"/>
    <s v="Prest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97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0"/>
    <x v="1"/>
    <x v="7"/>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1"/>
    <x v="1"/>
    <x v="7"/>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95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2"/>
    <x v="1"/>
    <x v="7"/>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683568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223"/>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8795000"/>
    <x v="1"/>
    <s v="04 - contratación mínima cuantía"/>
    <x v="6"/>
    <x v="1"/>
    <x v="2"/>
    <x v="2"/>
    <x v="3"/>
    <s v="N/A"/>
    <s v="N/A-N/A"/>
    <x v="5"/>
    <s v="N/A"/>
    <s v="N/A_N/A"/>
    <s v="N/A-N/A N/A_N/A"/>
    <x v="5"/>
    <x v="5"/>
    <x v="10"/>
    <s v="Si Secop "/>
  </r>
  <r>
    <n v="20250224"/>
    <x v="1"/>
    <x v="8"/>
    <s v="William Tovar Segura"/>
    <s v="“Adquisición de elementos de apoyo didáctico y pedagógico para actividades, programas y campañas requeridas en la Subdirección de Gestión del Riesgo_SGR”"/>
    <s v="06 - contrato de compraventa"/>
    <s v="60141000_x000a_60141100_x000a_60141200_x000a_60141400_x000a_73101500_x000a_73151500"/>
    <n v="1"/>
    <n v="3"/>
    <n v="0"/>
    <n v="30000000"/>
    <x v="0"/>
    <s v="5 - contratación mínima cuantí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25"/>
    <x v="1"/>
    <x v="8"/>
    <s v="William Tovar Segura"/>
    <s v="Adquisición de insumos para la administración de emergencia_SGR"/>
    <s v="06 - contrato de compraventa"/>
    <s v="60121104_x000a_60121708_x000a_44111515_x000a_24121503_x000a_24112404"/>
    <n v="1"/>
    <n v="3"/>
    <n v="0"/>
    <n v="50000000"/>
    <x v="0"/>
    <s v="6 - contratación mínima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26"/>
    <x v="1"/>
    <x v="8"/>
    <s v="William Tovar Segura"/>
    <s v="Prestar servicios profesionales a la Subdirección de Gestión del Riesgo liderando las actividades del proceso de inspecciones técnicas del Riesgo._SGR"/>
    <s v="25 - contrato de prestacion de servicios profesionales"/>
    <n v="80111600"/>
    <n v="1"/>
    <n v="10"/>
    <n v="0"/>
    <n v="100000000"/>
    <x v="0"/>
    <s v="0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29"/>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10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0"/>
    <x v="1"/>
    <x v="8"/>
    <s v="William Tovar Segura"/>
    <s v="Prestar servicios profesionales en las actividades de planeación y gestió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1"/>
    <x v="1"/>
    <x v="8"/>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32"/>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3"/>
    <x v="1"/>
    <x v="8"/>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4"/>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1"/>
    <s v="Si Secop "/>
  </r>
  <r>
    <n v="20250235"/>
    <x v="1"/>
    <x v="8"/>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6"/>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7"/>
    <x v="1"/>
    <x v="8"/>
    <s v="William Tovar Segura"/>
    <s v="Prestar servicios profesionales para el desarrollo de actividades de planeación y gestión para la Subdirección de Gestión del Riesgo._SGR"/>
    <s v="25 - contrato de prestacion de servicios profesionales"/>
    <n v="80111600"/>
    <n v="1"/>
    <n v="10"/>
    <n v="0"/>
    <n v="4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38"/>
    <x v="1"/>
    <x v="8"/>
    <s v="William Tovar Segura"/>
    <s v="Prestar servicios de apoyo a la gestión como conductor en la Subdirección de Gestión del Riesgo._SGR"/>
    <s v="26 - contrato de prestacion de servicios de apoyo a la gestion"/>
    <n v="80111600"/>
    <n v="1"/>
    <n v="10"/>
    <n v="0"/>
    <n v="35000000"/>
    <x v="0"/>
    <s v="9 - contratación direct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39"/>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40"/>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1"/>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2"/>
    <x v="1"/>
    <x v="8"/>
    <s v="William Tovar Segura"/>
    <s v="Prestar  servicios profesionales en las actividades de proyeccion e innovacion para la Subdirección de Gestión del Riesgo._SGR"/>
    <s v="25 - contrato de prestacion de servicios profesionales"/>
    <n v="80111600"/>
    <n v="1"/>
    <n v="10"/>
    <n v="0"/>
    <n v="8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3"/>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4"/>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45"/>
    <x v="1"/>
    <x v="8"/>
    <s v="William Tovar Segura"/>
    <s v="Prestar  servicios profesionales en las actividades de proyeccion e innovacion para la Subdirección de Gestión del Riesgo._SGR"/>
    <s v="25 - contrato de prestacion de servicios profesionales"/>
    <n v="80111600"/>
    <n v="1"/>
    <n v="10"/>
    <n v="0"/>
    <n v="50000000"/>
    <x v="0"/>
    <s v="9 - contratación directa"/>
    <x v="9"/>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6"/>
    <x v="1"/>
    <x v="8"/>
    <s v="William Tovar Segura"/>
    <s v="Prestar servicios profesionales en las actividades de identificacion de escenarios a cargo de la Subdirección de Gestión del Riesgo._SGR"/>
    <s v="25 - contrato de prestacion de servicios profesionales"/>
    <n v="80111600"/>
    <n v="1"/>
    <n v="10"/>
    <n v="0"/>
    <n v="6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7"/>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8"/>
    <x v="1"/>
    <x v="8"/>
    <s v="William Tovar Segura"/>
    <s v="Prestar servicio de apoyo en las actividades de identificación de escenarios a cargo de la Subdirección de Gestión del Riesgo._SGR"/>
    <s v="26 - contrato de prestacion de servicios de apoyo a la gestion"/>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49"/>
    <x v="1"/>
    <x v="8"/>
    <s v="William Tovar Segura"/>
    <s v="Prestar servicios profesionales en las actividades de identificacion de escenarios a cargo de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4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51"/>
    <x v="1"/>
    <x v="8"/>
    <s v="William Tovar Segura"/>
    <s v="prestar servicios profesionales liderando las actividades de caracterización de escenarios y monitoreo de gestión del riesgo.SGR"/>
    <s v="25 - contrato de prestacion de servicios profesionales"/>
    <n v="80111600"/>
    <n v="1"/>
    <n v="10"/>
    <n v="0"/>
    <n v="9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2"/>
    <x v="1"/>
    <x v="8"/>
    <s v="William Tovar Segura"/>
    <s v="Prestar servicios profesionales en las actividades de monitoreo del riesgo para la Subdirección de Gestión del Riesgo._SGR"/>
    <s v="25 - contrato de prestacion de servicios profesionales"/>
    <n v="80111600"/>
    <n v="1"/>
    <n v="10"/>
    <n v="0"/>
    <n v="6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3"/>
    <x v="1"/>
    <x v="8"/>
    <s v="William Tovar Segura"/>
    <s v="Prestar servicios profesionales en las actividades de monitoreo del riesgo para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4"/>
    <x v="1"/>
    <x v="8"/>
    <s v="William Tovar Segura"/>
    <s v="Prestar servicios profesionales en las actividades de monitoreo del riesgo para la Subdirección de Gestión del Riesgo._SGR"/>
    <s v="25 - contrato de prestacion de servicios profesionales"/>
    <n v="80111600"/>
    <n v="1"/>
    <n v="10"/>
    <n v="0"/>
    <n v="50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59"/>
    <x v="1"/>
    <x v="8"/>
    <s v="William Tovar Segura"/>
    <s v="Prestar servicios de apoyo a la gestion en las actividades de monitoreo del riesgo para la Subdirección de Gestión del Riesgo._SGR"/>
    <s v="26 - contrato de prestacion de servicios de apoyo a la gestion"/>
    <n v="80111600"/>
    <n v="1"/>
    <n v="10"/>
    <n v="0"/>
    <n v="35000000"/>
    <x v="0"/>
    <s v="9 - contratación direct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0"/>
    <x v="1"/>
    <x v="8"/>
    <s v="William Tovar Segura"/>
    <s v="Prestar servicios profesionales liderando las actividades de Programas y Campañas de Prevención para la Subdirección de Gestión del Riesgo._SGR"/>
    <s v="25 - contrato de prestacion de servicios profesionales"/>
    <n v="80111600"/>
    <n v="1"/>
    <n v="11"/>
    <n v="0"/>
    <n v="88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1"/>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2"/>
    <x v="1"/>
    <x v="8"/>
    <s v="William Tovar Segura"/>
    <s v="Prestar servicios profesionales en las actividades de Programas y Campañas de Prevención para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3"/>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4"/>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5"/>
    <x v="1"/>
    <x v="8"/>
    <s v="William Tovar Segura"/>
    <s v="Prestar servicios de apoyo en las actividades de Programas y Campañas de Prevención para la Subdirección de Gestión del Riesgo._SGR"/>
    <s v="26 - contrato de prestacion de servicios de apoyo a la gestion"/>
    <n v="80111600"/>
    <n v="1"/>
    <n v="10"/>
    <n v="0"/>
    <n v="35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66"/>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6000000"/>
    <x v="0"/>
    <s v="01 - licitación públic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67"/>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1"/>
    <n v="12"/>
    <n v="0"/>
    <n v="217000000"/>
    <x v="0"/>
    <s v="02 - selec. abrev. menor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8"/>
    <x v="1"/>
    <x v="8"/>
    <s v="William Tovar Segura"/>
    <s v="Adquisición de elementos de identificación institucional para el programa de Bomberitos_SGR."/>
    <s v="08 - contrato de suministro"/>
    <s v="60141000_x000a_60141100_x000a_60141200_x000a_60141400_x000a_73101500_x000a_73151500"/>
    <n v="1"/>
    <n v="3"/>
    <n v="0"/>
    <n v="50000000"/>
    <x v="0"/>
    <s v="04 - contratación mínima cuantía"/>
    <x v="10"/>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Si Secop "/>
  </r>
  <r>
    <n v="20250269"/>
    <x v="1"/>
    <x v="8"/>
    <s v="William Tovar Segura"/>
    <s v="Prestar servicios profesionales para la gestión de la SGR, en su compomente técnico, administrativo y análisis financier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Si Secop "/>
  </r>
  <r>
    <n v="20250270"/>
    <x v="1"/>
    <x v="8"/>
    <s v="William Tovar Segura"/>
    <s v="Prestar sus servicios profesionales en las actividad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1"/>
    <x v="1"/>
    <x v="8"/>
    <s v="William Tovar Segura"/>
    <s v="Prestar servicios profesionales para realizar las actividdaes relacionadas con la emision de conceptos a cargo de la Subdirección de Gestión del Riesgo._SGR"/>
    <s v="25 - contrato de prestacion de servicios profesionales"/>
    <n v="80111600"/>
    <n v="1"/>
    <n v="10"/>
    <n v="0"/>
    <n v="5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2"/>
    <x v="1"/>
    <x v="8"/>
    <s v="William Tovar Segura"/>
    <s v="Prestar sus servicios profesionales en las actividades relacionadas con la emision de conceptos a cargo de la Subdirección de Gestión del Riesgo._SGR"/>
    <s v="25 - contrato de prestacion de servicios profesionales"/>
    <n v="80111600"/>
    <n v="1"/>
    <n v="10"/>
    <n v="0"/>
    <n v="7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3"/>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4"/>
    <x v="1"/>
    <x v="8"/>
    <s v="William Tovar Segura"/>
    <s v="Prestar sus servicios profesionales en las actividades relacionadas con la emision de conceptos a cargo de la Subdirección de Gestión del Riesgo._SGR"/>
    <s v="25 - contrato de prestacion de servicios profesionales"/>
    <n v="80111600"/>
    <n v="1"/>
    <n v="10"/>
    <n v="0"/>
    <n v="6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8"/>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79"/>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3"/>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4"/>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x v="0"/>
    <s v="9 - contratación directa"/>
    <x v="8"/>
    <x v="0"/>
    <x v="1"/>
    <x v="1"/>
    <x v="8"/>
    <s v="Servicio de inspecciones técnicas realizadas"/>
    <s v="06-Servicio de inspecciones técnicas realizadas"/>
    <x v="7"/>
    <s v="Servicio prevención y control de incendios"/>
    <s v="035_Servicio prevención y control de incendios"/>
    <s v="06-Servicio de inspecciones técnicas realizadas 035_Servicio prevención y control de incendios"/>
    <x v="10"/>
    <x v="10"/>
    <x v="0"/>
    <s v="Si Secop "/>
  </r>
  <r>
    <n v="20250288"/>
    <x v="1"/>
    <x v="8"/>
    <s v="William Tovar Segura"/>
    <s v="Prestar servicios profesionales en los procesos de formacion y capacitacion de la subdirección de gestión del riesgo._SGR"/>
    <s v="25 - contrato de prestacion de servicios profesionales"/>
    <n v="80111600"/>
    <n v="1"/>
    <n v="10"/>
    <n v="0"/>
    <n v="9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89"/>
    <x v="1"/>
    <x v="8"/>
    <s v="William Tovar Segura"/>
    <s v="Prestar servicios profesionales en los procesos de formacion y capacitacion de la subdirección de gestión del riesgo._SGR"/>
    <s v="25 - contrato de prestacion de servicios profesionales"/>
    <n v="80111600"/>
    <n v="1"/>
    <n v="10"/>
    <n v="0"/>
    <n v="5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0"/>
    <x v="1"/>
    <x v="8"/>
    <s v="William Tovar Segura"/>
    <s v="Prestar servicios profesionales en los procesos de formacion y capacitacion de la subdirección de gestión del riesgo._SGR"/>
    <s v="25 - contrato de prestacion de servicios profesionales"/>
    <n v="80111600"/>
    <n v="1"/>
    <n v="10"/>
    <n v="0"/>
    <n v="70000000"/>
    <x v="0"/>
    <s v="9 - contratación directa"/>
    <x v="8"/>
    <x v="0"/>
    <x v="1"/>
    <x v="1"/>
    <x v="6"/>
    <s v="Servicio de capacitaciones en gestión del riesgo de incendios  a la ciudadania."/>
    <s v="05-Servicio de capacitaciones en gestión del riesgo de incendios  a la ciudadania."/>
    <x v="7"/>
    <s v="Servicio prevención y control de incendios"/>
    <s v="035_Servicio prevención y control de incendios"/>
    <s v="05-Servicio de capacitaciones en gestión del riesgo de incendios  a la ciudadania. 035_Servicio prevención y control de incendios"/>
    <x v="8"/>
    <x v="8"/>
    <x v="0"/>
    <s v="Si Secop "/>
  </r>
  <r>
    <n v="20250293"/>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4"/>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5"/>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6"/>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7"/>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8"/>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299"/>
    <x v="1"/>
    <x v="9"/>
    <s v="Mauricio Ayála Vásquez"/>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0"/>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8"/>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7"/>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8"/>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2"/>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09"/>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0"/>
    <x v="1"/>
    <x v="9"/>
    <s v="Mauricio Ayála Vásquez"/>
    <s v="Prestación de servicios para apoyar  la gestión administrativa y documental requerida a cargo de la Subdirección Operativa  S.O."/>
    <s v="26 - contrato de prestacion de servicios de apoyo a la gestion"/>
    <n v="80111600"/>
    <n v="2"/>
    <n v="7"/>
    <n v="0"/>
    <n v="22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1"/>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2"/>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3"/>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4"/>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5"/>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6"/>
    <x v="1"/>
    <x v="9"/>
    <s v="Mauricio Ayála Vásquez"/>
    <s v="prestación de servicios para dar el apoyo y realizar  la gestión administrativa requerida  en la estación de bomberos asignada y a cargo de la subdirección operativa  s.o."/>
    <s v="26 - contrato de prestacion de servicios de apoyo a la gestion"/>
    <n v="80111600"/>
    <n v="3"/>
    <n v="6"/>
    <n v="0"/>
    <n v="17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7"/>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8"/>
    <x v="1"/>
    <x v="9"/>
    <s v="Mauricio Ayála Vásquez"/>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19"/>
    <x v="1"/>
    <x v="9"/>
    <s v="Mauricio Ayála Vásquez"/>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0"/>
    <x v="1"/>
    <x v="9"/>
    <s v="Mauricio Ayála Vásquez"/>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9"/>
    <n v="15"/>
    <n v="304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1"/>
    <x v="1"/>
    <x v="9"/>
    <s v="Mauricio Ayála Vásquez"/>
    <s v="prestación de servicios de apoyo para transportar los recursos para el cumplimiento de las funciones y  brindar la atención en los diferentes requerimientos y gestiones a cargo de la dependencia."/>
    <s v="26 - contrato de prestacion de servicios de apoyo a la gestion"/>
    <n v="80111600"/>
    <n v="2"/>
    <n v="11"/>
    <n v="0"/>
    <n v="365904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2"/>
    <x v="1"/>
    <x v="9"/>
    <s v="Mauricio Ayála Vásquez"/>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3"/>
    <x v="1"/>
    <x v="9"/>
    <s v="Mauricio Ayála Vásquez"/>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88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4"/>
    <x v="1"/>
    <x v="9"/>
    <s v="Mauricio Ayála Vásquez"/>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5"/>
    <x v="1"/>
    <x v="9"/>
    <s v="Mauricio Ayála Vásquez"/>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0"/>
    <n v="0"/>
    <n v="71355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6"/>
    <x v="1"/>
    <x v="9"/>
    <s v="Mauricio Ayála Vásquez"/>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7"/>
    <x v="1"/>
    <x v="9"/>
    <s v="Mauricio Ayála Vásquez"/>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8"/>
    <x v="1"/>
    <x v="9"/>
    <s v="Mauricio Ayála Vásquez"/>
    <s v="prestación de servicios profesionales para realizar la planeación, trámite y seguimiento de los aspectos presupuestales, financieros y contractuales a cargo de la dependencia - s.o."/>
    <s v="25 - contrato de prestacion de servicios profesionales"/>
    <n v="80111600"/>
    <n v="2"/>
    <n v="10"/>
    <n v="0"/>
    <n v="7455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29"/>
    <x v="1"/>
    <x v="9"/>
    <s v="Mauricio Ayála Vásquez"/>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0"/>
    <x v="1"/>
    <x v="9"/>
    <s v="Mauricio Ayála Vásquez"/>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1"/>
    <x v="1"/>
    <x v="9"/>
    <s v="Mauricio Ayála Vásquez"/>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2"/>
    <x v="1"/>
    <x v="9"/>
    <s v="Mauricio Ayála Vásquez"/>
    <s v="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
    <s v="25 - contrato de prestacion de servicios profesionales"/>
    <n v="80111600"/>
    <n v="3"/>
    <n v="10"/>
    <n v="0"/>
    <n v="94683333"/>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3"/>
    <x v="1"/>
    <x v="9"/>
    <s v="Mauricio Ayála Vásquez"/>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4"/>
    <x v="1"/>
    <x v="9"/>
    <s v="Mauricio Ayála Vásquez"/>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3"/>
    <n v="9"/>
    <n v="15"/>
    <n v="66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5"/>
    <x v="1"/>
    <x v="9"/>
    <s v="Mauricio Ayála Vásquez"/>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25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6"/>
    <x v="1"/>
    <x v="9"/>
    <s v="Mauricio Ayála Vásquez"/>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9"/>
    <n v="0"/>
    <n v="63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7"/>
    <x v="1"/>
    <x v="9"/>
    <s v="Mauricio Ayála Vásquez"/>
    <s v="prestación de servicios profesionales para ejecutar las actividades relacionadas con el sistema de gestión de calidad, el sistema ambiental y el sistema de control interno-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8"/>
    <x v="1"/>
    <x v="9"/>
    <s v="Mauricio Ayála Vásquez"/>
    <s v="prestación de servicios profesionales para ejecutar las actividades de carácter administrativo y de apoyo de los procesos y procedimientos a cargo de la subdirección operativa-s.o."/>
    <s v="25 - contrato de prestacion de servicios profesionales"/>
    <n v="80111600"/>
    <n v="3"/>
    <n v="4"/>
    <n v="0"/>
    <n v="192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39"/>
    <x v="1"/>
    <x v="9"/>
    <s v="Mauricio Ayála Vásquez"/>
    <s v="prestación de servicios profesionales con plena autonomía técnica y administrativa en el seguimiento, verificación y alimentación de los sistemas de información y demás requerimientos de acuerdo con las funciones de la dependencia-s.o."/>
    <s v="25 - contrato de prestacion de servicios profesionales"/>
    <n v="80111600"/>
    <n v="3"/>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0"/>
    <x v="1"/>
    <x v="9"/>
    <s v="Mauricio Ayála Vásquez"/>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1"/>
    <x v="1"/>
    <x v="9"/>
    <s v="Mauricio Ayála Vásquez"/>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5"/>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2"/>
    <x v="1"/>
    <x v="9"/>
    <s v="Mauricio Ayála Vásquez"/>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9"/>
    <n v="0"/>
    <n v="72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3"/>
    <x v="1"/>
    <x v="9"/>
    <s v="Mauricio Ayála Vásquez"/>
    <s v="prestación de servicios profesionales para gestionar y ejecutar la  estrategia de preparativos de la uae cuerpo oficial de bomberos de bogotá s.o."/>
    <s v="25 - contrato de prestacion de servicios profesionales"/>
    <n v="80111600"/>
    <n v="2"/>
    <n v="6"/>
    <n v="0"/>
    <n v="51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4"/>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6"/>
    <n v="0"/>
    <n v="36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5"/>
    <x v="1"/>
    <x v="9"/>
    <s v="Mauricio Ayála Vásquez"/>
    <s v="prestación de servicios profesionales en consolidación y reporte de la información técnica de la estrategia de preparativos de la uae cuerpo oficial de bomberos de bogotá s.o."/>
    <s v="25 - contrato de prestacion de servicios profesionales"/>
    <n v="80111600"/>
    <n v="2"/>
    <n v="10"/>
    <n v="15"/>
    <n v="65653875"/>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6"/>
    <x v="1"/>
    <x v="9"/>
    <s v="Mauricio Ayála Vásquez"/>
    <s v="Adquisición de elementos de protección personal (E.P.P.) para la atención de emergencias de la UAE Cuerpo Oficial de Bomberos de Bogotá"/>
    <s v="08 - contrato de suministro"/>
    <n v="80111600"/>
    <n v="2"/>
    <n v="6"/>
    <n v="0"/>
    <n v="3000000000"/>
    <x v="0"/>
    <s v="03 - selec. abrev. subasta invers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n v="20250347"/>
    <x v="1"/>
    <x v="9"/>
    <s v="Mauricio Ayála Vásquez"/>
    <s v="Adquisición de equipos, herramientas y accesorios (E.H.A.) para la atención de emergencias de la UAE Cuerpo Oficial de Bomberos de Bogotá"/>
    <s v="08 - contrato de suministro"/>
    <n v="80111600"/>
    <n v="2"/>
    <n v="3"/>
    <n v="0"/>
    <n v="1436467353"/>
    <x v="0"/>
    <s v="03 - selec. abrev. subasta invers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0"/>
    <s v="Si Secop "/>
  </r>
  <r>
    <n v="20250348"/>
    <x v="1"/>
    <x v="9"/>
    <s v="Mauricio Ayála Vásquez"/>
    <s v="Adquisición de vehículos operativos o especilizados para la atención de emergencias de la UAE  Cuerpo Oficial de Bomberos de Bogotá"/>
    <s v="06 - contrato de compraventa"/>
    <n v="80111600"/>
    <n v="2"/>
    <n v="12"/>
    <n v="0"/>
    <n v="7642435039"/>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349"/>
    <x v="1"/>
    <x v="9"/>
    <s v="Mauricio Ayála Vásquez"/>
    <s v="Adquisición de tecnologia  especilizada para la atención de emergencias de la UAE  Cuerpo Oficial de Bomberos de Bogotá"/>
    <s v="06 - contrato de compraventa"/>
    <n v="80111600"/>
    <n v="2"/>
    <n v="12"/>
    <n v="0"/>
    <n v="994376000"/>
    <x v="0"/>
    <s v="01 - licitación pública"/>
    <x v="12"/>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11"/>
    <s v="Si Secop "/>
  </r>
  <r>
    <n v="20250350"/>
    <x v="2"/>
    <x v="9"/>
    <s v="Mauricio Ayala Vasquez"/>
    <s v="Adquisición de uniformes para el personal operativo de la UAECOB"/>
    <s v="06 - contrato de compraventa"/>
    <n v="53102710"/>
    <n v="2"/>
    <n v="6"/>
    <n v="0"/>
    <n v="300050000"/>
    <x v="1"/>
    <s v="03 - selec. abrev. subasta inversa"/>
    <x v="6"/>
    <x v="1"/>
    <x v="2"/>
    <x v="2"/>
    <x v="3"/>
    <s v="N/A"/>
    <s v="N/A-N/A"/>
    <x v="5"/>
    <s v="N/A"/>
    <s v="N/A_N/A"/>
    <s v="N/A-N/A N/A_N/A"/>
    <x v="5"/>
    <x v="5"/>
    <x v="12"/>
    <s v="Si Secop "/>
  </r>
  <r>
    <n v="20250351"/>
    <x v="0"/>
    <x v="10"/>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2"/>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85387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3"/>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54"/>
    <x v="0"/>
    <x v="10"/>
    <s v="Paula Ximena Henao Escobar"/>
    <s v="Prestar servicios profesionales para administrar, gestionar y mantener las bases de datos de la UAE Cuerpo Oficial de Bomberos Bogotá. -TIC"/>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5"/>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9108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6"/>
    <x v="0"/>
    <x v="10"/>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89555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7"/>
    <x v="0"/>
    <x v="10"/>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8"/>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81972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59"/>
    <x v="0"/>
    <x v="10"/>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81972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0"/>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61"/>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8197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2"/>
    <x v="0"/>
    <x v="10"/>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99415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3"/>
    <x v="0"/>
    <x v="10"/>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4"/>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831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5"/>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6"/>
    <x v="0"/>
    <x v="10"/>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421245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7"/>
    <x v="0"/>
    <x v="10"/>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6432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8"/>
    <x v="0"/>
    <x v="10"/>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69"/>
    <x v="0"/>
    <x v="10"/>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98475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0"/>
    <x v="0"/>
    <x v="10"/>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473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1"/>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2"/>
    <n v="11"/>
    <n v="0"/>
    <n v="938124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2"/>
    <x v="0"/>
    <x v="10"/>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7817000"/>
    <x v="0"/>
    <s v="09 - contratación directa"/>
    <x v="14"/>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3"/>
    <x v="0"/>
    <x v="10"/>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9695000"/>
    <x v="0"/>
    <s v="09 - contratación direct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4"/>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5"/>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6"/>
    <x v="0"/>
    <x v="10"/>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986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7"/>
    <x v="0"/>
    <x v="10"/>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986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8"/>
    <x v="0"/>
    <x v="10"/>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33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79"/>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6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38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104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81"/>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79695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383"/>
    <x v="0"/>
    <x v="10"/>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1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84"/>
    <x v="0"/>
    <x v="10"/>
    <s v="Paula Ximena Henao Escobar"/>
    <s v="Contratar el servicio de soporte del software Veeam Backup para la U.A.E. Cuerpo oficial de Bomberos de Bogotá - TIC"/>
    <s v="24 - contrato de servicio"/>
    <n v="81112200"/>
    <n v="3"/>
    <n v="9"/>
    <n v="0"/>
    <n v="75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85"/>
    <x v="0"/>
    <x v="10"/>
    <s v="Paula Ximena Henao Escobar"/>
    <s v="Contratar el servicio de soporte del sistema misional FUOCO para la U.A.E. Cuerpo Oficial de Bomberos de Bogotá de acuerdo a lo contemplado en el anexo técnico.-TIC-"/>
    <s v="24 - contrato de servicio"/>
    <s v="81112200;81112201"/>
    <n v="3"/>
    <n v="9"/>
    <n v="0"/>
    <n v="17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86"/>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30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88"/>
    <x v="0"/>
    <x v="10"/>
    <s v="Paula Ximena Henao Escobar"/>
    <s v="Contratar la adquisición, renovación y  suscripciones de licencia Microsoft para la U.A.E. Cuerpo Oficial de Bomberos de Bogotá - TIC"/>
    <s v="03 - contrato de prestacion de servicios"/>
    <s v="43231512;81112501"/>
    <n v="3"/>
    <n v="9"/>
    <n v="0"/>
    <n v="700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389"/>
    <x v="0"/>
    <x v="10"/>
    <s v="Paula Ximena Henao Escobar"/>
    <s v="Contratar el alquiler de equipos tecnológicos, periféricos y servicios complementarios para la U.A.E. Cuerpo Oficial de Bomberos de Bogotá. - TIC"/>
    <s v="23 - contrato de alquiler"/>
    <n v="81112401"/>
    <n v="3"/>
    <n v="9"/>
    <n v="0"/>
    <n v="50000000"/>
    <x v="0"/>
    <s v="04 - contratación mínima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390"/>
    <x v="0"/>
    <x v="10"/>
    <s v="Paula Ximena Henao Escobar"/>
    <s v="Contratar el servicio de soporte y mantenimiento del sistema de gestión documental  para la U.A.E. Cuerpo Oficial de Bomberos de Bogotá- TIC"/>
    <s v="13 - orden de servicio"/>
    <s v="43233000;81112200"/>
    <n v="3"/>
    <n v="9"/>
    <n v="0"/>
    <n v="21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1"/>
    <x v="0"/>
    <x v="10"/>
    <s v="Paula Ximena Henao Escobar"/>
    <s v="Contratar el servicio de nube publica para la U.A.E Cuerpo Oficial de Bomberos de Bogotá - TIC"/>
    <s v="24 - contrato de servicio"/>
    <n v="81112006"/>
    <n v="3"/>
    <n v="9"/>
    <n v="0"/>
    <n v="38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4"/>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5"/>
    <x v="0"/>
    <x v="10"/>
    <s v="Paula Ximena Henao Escobar"/>
    <s v="Contratar la adquision, actualizacion tecnológica, soporte y mantenimiento preventivo y correctivo con repuestos, para los sistemas de video vigilancia de la U.A.E. Cuerpo Oficial de Bomberos de Bogotá - TIC."/>
    <s v="24 - contrato de servicio"/>
    <n v="43233200"/>
    <n v="3"/>
    <n v="9"/>
    <n v="0"/>
    <n v="150000000"/>
    <x v="0"/>
    <s v="03 - selec. abrev. subasta inversa"/>
    <x v="16"/>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6"/>
    <x v="0"/>
    <x v="10"/>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7"/>
    <x v="0"/>
    <x v="10"/>
    <s v="Paula Ximena Henao Escobar"/>
    <s v="Adicionar el contrato cuyo objeto es &quot;Contratar el servicio de actualización y soporte de licenciamiento ArcGIS para la U.A.E. Cuerpo Oficial de Bomberos de Bogotá.- TIC&quot;"/>
    <s v="19 - contrato de renovacion de licencias"/>
    <n v="81112217"/>
    <n v="3"/>
    <n v="9"/>
    <n v="0"/>
    <n v="3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No Secop"/>
  </r>
  <r>
    <n v="20250398"/>
    <x v="0"/>
    <x v="10"/>
    <s v="Paula Ximena Henao Escobar"/>
    <s v="Contratar la adquisición de usuarios de ArcGis para la U.A.E. Cuerpo Oficial de Bomberos de Bogotá. - TIC"/>
    <s v="19 - contrato de renovacion de licencias"/>
    <n v="81112217"/>
    <n v="1"/>
    <n v="12"/>
    <n v="0"/>
    <n v="20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399"/>
    <x v="0"/>
    <x v="10"/>
    <s v="Paula Ximena Henao Escobar"/>
    <s v="Contratar la adquisición de tarjetas de comunicación satelital de voz, para la U.A.E. Cuerpo Oficial de Bomberos de Bogotá. "/>
    <s v="03 - contrato de prestacion de servicios"/>
    <s v="83121700;83111600;43221700"/>
    <n v="3"/>
    <n v="9"/>
    <n v="0"/>
    <n v="3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401"/>
    <x v="0"/>
    <x v="10"/>
    <s v="Paula Ximena Henao Escobar"/>
    <s v="Contratar la adquisición de equipo, software e insumos para la generación de carnets, para la U.A.E. Cuerpo Oficial de Bomberos de Bogotá."/>
    <s v="06 - contrato de compraventa"/>
    <s v="43212105, 43212110,43212115"/>
    <n v="3"/>
    <n v="9"/>
    <n v="0"/>
    <n v="28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402"/>
    <x v="0"/>
    <x v="10"/>
    <s v="Paula Ximena Henao Escobar"/>
    <s v="Contratar la adquisición de antenas y servicio de internet satelital, para la U.A.E. Cuerpo Oficial de Bomberos de Bogotá."/>
    <s v="03 - contrato de prestacion de servicios"/>
    <s v="83121700;83111600;43221700"/>
    <n v="3"/>
    <n v="9"/>
    <n v="0"/>
    <n v="5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403"/>
    <x v="0"/>
    <x v="10"/>
    <s v="Paula Ximena Henao Escobar"/>
    <s v="Contratar la adquisición de los equipos activos de red como parte de la renovación, de la infraestructura tecnológica de la U.A.E. Cuerpo Oficial de Bomberos de Bogotá."/>
    <s v="06 - contrato de compraventa"/>
    <s v="43201800; 43222600"/>
    <n v="3"/>
    <n v="9"/>
    <n v="0"/>
    <n v="14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404"/>
    <x v="0"/>
    <x v="10"/>
    <s v="Paula Ximena Henao Escobar"/>
    <s v="Contratar la renovación de garantía y soporte de fabrica de los equipos activos que hacen parte de la infraestructura tecnológica de la U.A.E. Cuerpo Oficial de Bomberos de Bogotá."/>
    <s v="19 - contrato de renovacion de licencias"/>
    <n v="43222635"/>
    <n v="3"/>
    <n v="9"/>
    <n v="0"/>
    <n v="150000000"/>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405"/>
    <x v="0"/>
    <x v="10"/>
    <s v="Paula Ximena Henao Escobar"/>
    <s v=" Contratar un sistema de control de ingreso perimetral, exterior e interior que hacen parte de la infraestructura de la U.A.E. Cuerpo Oficial de Bomberos de Bogotá."/>
    <s v="03 - contrato de prestacion de servicios"/>
    <s v="81111508;81111809;81161501;43231500;43231513"/>
    <n v="3"/>
    <n v="9"/>
    <n v="0"/>
    <n v="22649043"/>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406"/>
    <x v="0"/>
    <x v="10"/>
    <s v="Paula Ximena Henao Escobar"/>
    <s v="Realizar la adquisición de un software para la capacitación a la comunidad sobre la prevención de emergencias"/>
    <s v="06 - contrato de compraventa"/>
    <n v="43232505"/>
    <n v="3"/>
    <n v="9"/>
    <n v="0"/>
    <n v="200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407"/>
    <x v="0"/>
    <x v="10"/>
    <s v="Paula Ximena Henao Escobar"/>
    <s v="Adquisición de Radios, para las comunicaciones de la U.A.E. Cuerpo Oficial de Bomberos de Bogotá."/>
    <s v="06 - contrato de compraventa"/>
    <n v="43232505"/>
    <n v="3"/>
    <n v="9"/>
    <n v="0"/>
    <n v="36670568"/>
    <x v="0"/>
    <s v="03 - selec. abrev. subasta invers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408"/>
    <x v="0"/>
    <x v="10"/>
    <s v="Paula Ximena Henao Escobar"/>
    <s v="Contratar el servicio de actualización de la página web de la U.A.E. Cuerpo Oficial de Bomberos de Bogotá."/>
    <s v="06 - contrato de compraventa"/>
    <n v="81112100"/>
    <n v="3"/>
    <n v="9"/>
    <n v="0"/>
    <n v="80000000"/>
    <x v="0"/>
    <s v="03 - selec. abrev. subasta invers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1"/>
    <s v="Si Secop "/>
  </r>
  <r>
    <n v="20250409"/>
    <x v="0"/>
    <x v="10"/>
    <s v="Paula Ximena Henao Escobar"/>
    <s v="Adquisición de sistema de monitoreo para la prevención y alertas tempranas en lo que corresponde a los incidentes forestales en los cerros"/>
    <s v="06 - contrato de compraventa"/>
    <n v="43233700"/>
    <n v="3"/>
    <n v="9"/>
    <n v="0"/>
    <n v="400000000"/>
    <x v="0"/>
    <s v="02 - selec. abrev. menor cuantí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410"/>
    <x v="1"/>
    <x v="11"/>
    <s v="Fatima Veronica Quintero Nuñez"/>
    <s v="Pago de pasivos exigibles"/>
    <s v="12 - resolucion"/>
    <s v="N/A"/>
    <s v="N/A"/>
    <s v="N/A"/>
    <s v="N/A"/>
    <n v="600049334"/>
    <x v="2"/>
    <s v=" 91 - n/a acto administrativo (resolución, decreto, acuerdo, etc.)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411"/>
    <x v="0"/>
    <x v="11"/>
    <s v="Fatima Veronica Quintero Nuñez"/>
    <s v="Contratar la prestación del servicio de aseo y cafetería incluido insumos para la UAE Cuerpo Oficial de Bomberos -SGC"/>
    <s v="01 - orden de compra"/>
    <s v="44121700;44121800;44121900;44122000"/>
    <n v="2"/>
    <n v="11"/>
    <n v="0"/>
    <n v="400000000"/>
    <x v="0"/>
    <s v=" 17 - acuerdo marco de precios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5"/>
    <s v="Si Secop "/>
  </r>
  <r>
    <n v="2025041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3"/>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380980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5"/>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6"/>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7"/>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8"/>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19"/>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0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4"/>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4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5"/>
    <x v="0"/>
    <x v="11"/>
    <s v="Fatima Veronica Quintero Nuñez"/>
    <s v="Prestación de servicios de apoyo en la gestión de seguros de la Subdirección de Gestión Corporativa. –SGC"/>
    <s v="26 - contrato de prestacion de servicios de apoyo a la gestion"/>
    <s v="80111600;"/>
    <n v="2"/>
    <n v="11"/>
    <n v="0"/>
    <n v="30028145"/>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6"/>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7"/>
    <x v="0"/>
    <x v="11"/>
    <s v="Fatima Veronica Quintero Nuñez"/>
    <s v="Prestación de servicios de apoyo a la gestión de seguros de la Subdirección de Gestión Corporativa. –SGC"/>
    <s v="26 - contrato de prestacion de servicios de apoyo a la gestion"/>
    <s v="80111600;"/>
    <n v="2"/>
    <n v="11"/>
    <n v="0"/>
    <n v="29558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8"/>
    <x v="0"/>
    <x v="11"/>
    <s v="Fatima Veronica Quintero Nuñez"/>
    <s v="Prestación de servicios profesionales en la Subdirección de Gestión Corporativa en las actividades relacionadas con MIPG-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29"/>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30"/>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1"/>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2"/>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3"/>
    <x v="0"/>
    <x v="11"/>
    <s v="Fatima Veronica Quintero Nuñez"/>
    <s v="Prestación de servicios de apoyo a la gestión del proceso de inventarios de la Subdirección de Gestión Corporativa.-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4"/>
    <x v="0"/>
    <x v="11"/>
    <s v="Fatima Veronica Quintero Nuñez"/>
    <s v="Prestar servicios profesionales en la Subdirección de Gestión Corporativa en lo relacionado con los procesos de inventarios, almacén y bajas-SGC"/>
    <s v="25 - contrato de prestacion de servicios profesionales"/>
    <s v="80111600;"/>
    <n v="2"/>
    <n v="11"/>
    <n v="0"/>
    <n v="720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5"/>
    <x v="0"/>
    <x v="11"/>
    <s v="Fatima Veronica Quintero Nuñez"/>
    <s v="Prestar servicios profesionales en la Subdirección de Gestión Corporativa para aplicar los procesos y procedimientos a los inventarios a cargo de la UAECOB-SGC "/>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6"/>
    <x v="0"/>
    <x v="11"/>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5992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7"/>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8"/>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39"/>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675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0"/>
    <x v="0"/>
    <x v="11"/>
    <s v="Fatima Veronica Quintero Nuñez"/>
    <s v="Prestación de servicios de apoyo a la gestión documental de la Subdirección de Gestión Corporativa de la Unidad.-SGC"/>
    <s v="26 - contrato de prestacion de servicios de apoyo a la gestion"/>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1"/>
    <x v="0"/>
    <x v="11"/>
    <s v="Fatima Veronica Quintero Nuñez"/>
    <s v="Prestación de servicios de apoyo a la gestión documental de la Subdirección de Gestión Corporativa de la Unidad-SGC"/>
    <s v="26 - contrato de prestacion de servicios de apoyo a la gestion"/>
    <s v="80111600;"/>
    <n v="2"/>
    <n v="11"/>
    <n v="0"/>
    <n v="253362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2"/>
    <x v="0"/>
    <x v="11"/>
    <s v="Fatima Veronica Quintero Nuñez"/>
    <s v="Prestación de servicios de apoyo a la gestión documental de la Subdirección de Gestión Corporativa de la Unidad.-SGC"/>
    <s v="26 - contrato de prestacion de servicios de apoyo a la gestion"/>
    <s v="80111600;"/>
    <n v="2"/>
    <n v="11"/>
    <n v="0"/>
    <n v="1970597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3"/>
    <x v="0"/>
    <x v="11"/>
    <s v="Fatima Veronica Quintero Nuñez"/>
    <s v="Prestación de servicios de apoyo a la gestión documental de la Subdirección de Gestión Corporativa de la Unidad.-SGC"/>
    <s v="26 - contrato de prestacion de servicios de apoyo a la gestion"/>
    <s v="80111600;"/>
    <n v="2"/>
    <n v="11"/>
    <n v="0"/>
    <n v="248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4"/>
    <x v="0"/>
    <x v="11"/>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5"/>
    <x v="0"/>
    <x v="11"/>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6"/>
    <x v="0"/>
    <x v="11"/>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7"/>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8"/>
    <x v="0"/>
    <x v="11"/>
    <s v="Fatima Veronica Quintero Nuñez"/>
    <s v="Prestar los servicios como conductor de la Subdirección de Gestión Corporativa -SGC"/>
    <s v="26 - contrato de prestacion de servicios de apoyo a la gestion"/>
    <s v="80111600;"/>
    <n v="2"/>
    <n v="11"/>
    <n v="0"/>
    <n v="34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49"/>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3178419"/>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0"/>
    <x v="0"/>
    <x v="11"/>
    <s v="Fatima Veronica Quintero Nuñez"/>
    <s v="Prestar servicios profesionales en la Subdirección de Gestión Corporativa en el marco de las actividades administrativas de la Dependencia.-SGC"/>
    <s v="25 - contrato de prestacion de servicios profesionales"/>
    <s v="80111600;"/>
    <n v="2"/>
    <n v="11"/>
    <n v="0"/>
    <n v="6153087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1"/>
    <x v="0"/>
    <x v="11"/>
    <s v="Fatima Veronica Quintero Nuñez"/>
    <s v="Prestación de servicios profesionales, en temas jurídicos de la gestión administrativa a cargo de la Subdirección de Gestión Corporativa.- SGC"/>
    <s v="25 - contrato de prestacion de servicios profesionales"/>
    <s v="80111600;"/>
    <n v="2"/>
    <n v="11"/>
    <n v="0"/>
    <n v="46449783"/>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52"/>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x v="0"/>
    <s v=" 04 - contratación mínima cuantí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453"/>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4"/>
    <n v="8"/>
    <n v="0"/>
    <n v="46000000"/>
    <x v="0"/>
    <s v=" 04 - contratación mínima cuantí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454"/>
    <x v="0"/>
    <x v="11"/>
    <s v="Fatima Veronica Quintero Nuñez"/>
    <s v="Adición No. 1 al contrato 478 de 2024 que tiene como objeto &quot;Mantenimiento preventivo y correctivo, que incluye el suministro de insumos y repuestos de las lavadoras y secadoras industriales ubicadas en las estaciones de bomberos de la UAE Cuerpo Oficial de Bomberos de Bogotá-SGC"/>
    <s v="17 - contrato de mantenimiento"/>
    <s v="47111500;_x000a_47111502;_x000a_47111503;_x000a_73151802;_x000a_73152100;"/>
    <n v="3"/>
    <n v="0"/>
    <n v="0"/>
    <n v="26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No Secop"/>
  </r>
  <r>
    <n v="20250455"/>
    <x v="0"/>
    <x v="11"/>
    <s v="Fatima Veronica Quintero Nuñez"/>
    <s v="Mantenimiento preventivo y correctivo de los equipos gasodomésticos y solares, adecuación de las redes de gas natural y repuestos para las Estaciones de Bomberos de UAE Cuerpo Oficial de Bomberos SGC"/>
    <s v="17 - contrato de mantenimiento"/>
    <s v="40102000;_x000a_72121400;_x000a_72101500;_x000a_72151700;_x000a_73152100;_x000a_95121700;"/>
    <n v="8"/>
    <n v="8"/>
    <n v="0"/>
    <n v="8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456"/>
    <x v="0"/>
    <x v="11"/>
    <s v="Fatima Veronica Quintero Nuñez"/>
    <s v="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
    <s v="17 - contrato de mantenimiento"/>
    <s v="72154100; 73152100"/>
    <n v="4"/>
    <n v="10"/>
    <n v="0"/>
    <n v="7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457"/>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458"/>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3798996"/>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59"/>
    <x v="1"/>
    <x v="11"/>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93075136"/>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460"/>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9918896"/>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461"/>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93075136"/>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462"/>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66356829"/>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3"/>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8100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4"/>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8348256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5"/>
    <x v="1"/>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7260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
    <s v="Si Secop "/>
  </r>
  <r>
    <n v="20250466"/>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61530876"/>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7"/>
    <x v="0"/>
    <x v="11"/>
    <s v="Fatima Veronica Quintero Nuñez"/>
    <s v="Prestación de servicios profesionales especializados para atender las necesidades de mantenimiento de las instalaciones y las actividades técnicas de competencia del Área de Infraestructura de la Subdirección de Gestión Corporativa-SGC"/>
    <s v="25 - contrato de prestacion de servicios profesionales"/>
    <s v="80111600;"/>
    <n v="2"/>
    <n v="11"/>
    <n v="0"/>
    <n v="8228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8"/>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7528136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69"/>
    <x v="0"/>
    <x v="11"/>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11223766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470"/>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8470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1"/>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582615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2"/>
    <x v="0"/>
    <x v="11"/>
    <s v="Fatima Veronica Quintero Nuñez"/>
    <s v="Prestar los servicios como conductor de la Subdirección de Gestión Corporativa -SGC"/>
    <s v="26 - contrato de prestacion de servicios de apoyo a la gestion"/>
    <s v="80111600;"/>
    <n v="2"/>
    <n v="11"/>
    <n v="0"/>
    <n v="38325056"/>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3"/>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6"/>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60500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8"/>
    <x v="0"/>
    <x v="11"/>
    <s v="Fatima Veronica Quintero Nuñez"/>
    <s v="Prestación de servicios profesionales al área Financiera de la Subdirección de Gestión Corporativa--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79"/>
    <x v="0"/>
    <x v="11"/>
    <s v="Fatima Veronica Quintero Nuñez"/>
    <s v="Prestación de servicios profesionales al área Financiera de la Subdirección de Gestión Corporativa--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0"/>
    <x v="0"/>
    <x v="11"/>
    <s v="Fatima Veronica Quintero Nuñez"/>
    <s v="Prestación de servicios de apoyo a la gestión del área Financiera de la Subdirección de Gestión Corporativa.-SGC"/>
    <s v="26 - contrato de prestacion de servicios de apoyo a la gestion"/>
    <s v="80111600;"/>
    <n v="2"/>
    <n v="11"/>
    <n v="0"/>
    <n v="4041734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1"/>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54291951"/>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482"/>
    <x v="2"/>
    <x v="11"/>
    <s v="Fatima Veronica Quintero Nuñez"/>
    <s v="Prestar los servicios de Custodia, Consulta y Traslado Documental de Acuerdo a las especificaciones Técnicas  y requisitos contemplados en la normatividad Archivística Vigente-SGC"/>
    <s v="11 - orden de prestacion de servicios"/>
    <s v="78131800;80101500;80101600;80161500;81111900;81112000"/>
    <n v="5"/>
    <n v="10"/>
    <n v="0"/>
    <n v="64654620"/>
    <x v="1"/>
    <s v=" 04 - contratación mínima cuantía "/>
    <x v="6"/>
    <x v="1"/>
    <x v="2"/>
    <x v="2"/>
    <x v="3"/>
    <s v="N/A"/>
    <s v="N/A-N/A"/>
    <x v="5"/>
    <s v="N/A"/>
    <s v="N/A_N/A"/>
    <s v="N/A-N/A N/A_N/A"/>
    <x v="5"/>
    <x v="5"/>
    <x v="18"/>
    <s v="Si Secop "/>
  </r>
  <r>
    <n v="20250483"/>
    <x v="2"/>
    <x v="11"/>
    <s v="Fatima Veronica Quintero Nuñez"/>
    <s v="Contratar el servicio de saneamiento ambiental, corte de césped, jardinería, poda y tala de árboles para las sedes (predios y/o estaciones) de la UAECOB-SGC"/>
    <s v="03 - contrato de prestacion de servicios"/>
    <s v="72102104; 76101503; 70111503; 72154055; 70111703; 70111706;"/>
    <n v="1"/>
    <n v="10"/>
    <n v="0"/>
    <n v="240000000"/>
    <x v="1"/>
    <s v=" 02 - selec. abrev. menor cuantía "/>
    <x v="6"/>
    <x v="1"/>
    <x v="2"/>
    <x v="2"/>
    <x v="3"/>
    <s v="N/A"/>
    <s v="N/A-N/A"/>
    <x v="5"/>
    <s v="N/A"/>
    <s v="N/A_N/A"/>
    <s v="N/A-N/A N/A_N/A"/>
    <x v="5"/>
    <x v="5"/>
    <x v="18"/>
    <s v="Si Secop "/>
  </r>
  <r>
    <n v="20250484"/>
    <x v="2"/>
    <x v="11"/>
    <s v="Fatima Veronica Quintero Nuñez"/>
    <s v="Contratar la prestación del servicio de aseo y cafetería incluido insumos para la UAE Cuerpo Oficial de Bomberos -SGC"/>
    <s v="03 - contrato de prestacion de servicios"/>
    <s v="44121700;44121800;44121900;44122000"/>
    <n v="2"/>
    <n v="11"/>
    <n v="0"/>
    <n v="272011000"/>
    <x v="1"/>
    <s v=" 17 - acuerdo marco de precios "/>
    <x v="6"/>
    <x v="1"/>
    <x v="2"/>
    <x v="2"/>
    <x v="3"/>
    <s v="N/A"/>
    <s v="N/A-N/A"/>
    <x v="5"/>
    <s v="N/A"/>
    <s v="N/A_N/A"/>
    <s v="N/A-N/A N/A_N/A"/>
    <x v="5"/>
    <x v="5"/>
    <x v="18"/>
    <s v="Si Secop "/>
  </r>
  <r>
    <n v="20250485"/>
    <x v="2"/>
    <x v="11"/>
    <s v="Fatima Veronica Quintero Nuñez"/>
    <s v="Contratar la prestación del servicio de aseo y cafetería incluido insumos para la UAE Cuerpo Oficial de Bomberos -SGC"/>
    <s v="03 - contrato de prestacion de servicios"/>
    <s v="44121700;44121800;44121900;44122000"/>
    <n v="2"/>
    <n v="11"/>
    <n v="0"/>
    <n v="500000000"/>
    <x v="1"/>
    <s v=" 17 - acuerdo marco de precios "/>
    <x v="6"/>
    <x v="1"/>
    <x v="2"/>
    <x v="2"/>
    <x v="3"/>
    <s v="N/A"/>
    <s v="N/A-N/A"/>
    <x v="5"/>
    <s v="N/A"/>
    <s v="N/A_N/A"/>
    <s v="N/A-N/A N/A_N/A"/>
    <x v="5"/>
    <x v="5"/>
    <x v="18"/>
    <s v="Si Secop "/>
  </r>
  <r>
    <n v="20250486"/>
    <x v="2"/>
    <x v="11"/>
    <s v="Fatima Veronica Quintero Nuñez"/>
    <s v="Arrendamiento de instalaciones estación Ferias-SGC"/>
    <s v="07 - contrato de arrendamiento"/>
    <s v="80131502;"/>
    <n v="1"/>
    <n v="12"/>
    <n v="0"/>
    <n v="160000000"/>
    <x v="1"/>
    <s v=" 09 - contratación directa "/>
    <x v="6"/>
    <x v="1"/>
    <x v="2"/>
    <x v="2"/>
    <x v="3"/>
    <s v="N/A"/>
    <s v="N/A-N/A"/>
    <x v="5"/>
    <s v="N/A"/>
    <s v="N/A_N/A"/>
    <s v="N/A-N/A N/A_N/A"/>
    <x v="5"/>
    <x v="5"/>
    <x v="18"/>
    <s v="Si Secop "/>
  </r>
  <r>
    <n v="20250487"/>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64000000"/>
    <x v="1"/>
    <s v=" 09 - contratación directa "/>
    <x v="6"/>
    <x v="1"/>
    <x v="2"/>
    <x v="2"/>
    <x v="3"/>
    <s v="N/A"/>
    <s v="N/A-N/A"/>
    <x v="5"/>
    <s v="N/A"/>
    <s v="N/A_N/A"/>
    <s v="N/A-N/A N/A_N/A"/>
    <x v="5"/>
    <x v="5"/>
    <x v="18"/>
    <s v="Si Secop "/>
  </r>
  <r>
    <n v="20250488"/>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8"/>
    <n v="0"/>
    <n v="72917000"/>
    <x v="1"/>
    <s v="03 - selec. abrev. subasta inversa"/>
    <x v="6"/>
    <x v="1"/>
    <x v="2"/>
    <x v="2"/>
    <x v="3"/>
    <s v="N/A"/>
    <s v="N/A-N/A"/>
    <x v="5"/>
    <s v="N/A"/>
    <s v="N/A_N/A"/>
    <s v="N/A-N/A N/A_N/A"/>
    <x v="5"/>
    <x v="5"/>
    <x v="18"/>
    <s v="Si Secop "/>
  </r>
  <r>
    <n v="20250489"/>
    <x v="2"/>
    <x v="11"/>
    <s v="Fatima Veronica Quintero Nuñez"/>
    <s v="Suministro de insumos para las impresoras de las dependencias de la UAE Cuerpo Oficial de Bomberos.-SGC."/>
    <s v="08 - contrato de suministro"/>
    <s v="44103100;44103101;44103103;44103105;44103106;44103108;44103110;44103111;55101500;"/>
    <n v="3"/>
    <n v="9"/>
    <n v="0"/>
    <n v="80000000"/>
    <x v="1"/>
    <s v="03 - selec. abrev. subasta inversa"/>
    <x v="6"/>
    <x v="1"/>
    <x v="2"/>
    <x v="2"/>
    <x v="3"/>
    <s v="N/A"/>
    <s v="N/A-N/A"/>
    <x v="5"/>
    <s v="N/A"/>
    <s v="N/A_N/A"/>
    <s v="N/A-N/A N/A_N/A"/>
    <x v="5"/>
    <x v="5"/>
    <x v="18"/>
    <s v="Si Secop "/>
  </r>
  <r>
    <n v="20250490"/>
    <x v="2"/>
    <x v="11"/>
    <s v="Fatima Veronica Quintero Nuñez"/>
    <s v="Arrendamiento de instalaciones estación Caobos Salazar-SGC"/>
    <s v="07 - contrato de arrendamiento"/>
    <s v="80131502;"/>
    <n v="4"/>
    <n v="10"/>
    <n v="0"/>
    <n v="160000000"/>
    <x v="1"/>
    <s v=" 09 - contratación directa "/>
    <x v="6"/>
    <x v="1"/>
    <x v="2"/>
    <x v="2"/>
    <x v="3"/>
    <s v="N/A"/>
    <s v="N/A-N/A"/>
    <x v="5"/>
    <s v="N/A"/>
    <s v="N/A_N/A"/>
    <s v="N/A-N/A N/A_N/A"/>
    <x v="5"/>
    <x v="5"/>
    <x v="18"/>
    <s v="Si Secop "/>
  </r>
  <r>
    <n v="20250491"/>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8"/>
    <n v="0"/>
    <n v="360000000"/>
    <x v="1"/>
    <s v="01 - licitación pública"/>
    <x v="6"/>
    <x v="1"/>
    <x v="2"/>
    <x v="2"/>
    <x v="3"/>
    <s v="N/A"/>
    <s v="N/A-N/A"/>
    <x v="5"/>
    <s v="N/A"/>
    <s v="N/A_N/A"/>
    <s v="N/A-N/A N/A_N/A"/>
    <x v="5"/>
    <x v="5"/>
    <x v="18"/>
    <s v="Si Secop "/>
  </r>
  <r>
    <n v="20250492"/>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2000000000"/>
    <x v="1"/>
    <s v="01 - licitación pública"/>
    <x v="6"/>
    <x v="1"/>
    <x v="2"/>
    <x v="2"/>
    <x v="3"/>
    <s v="N/A"/>
    <s v="N/A-N/A"/>
    <x v="5"/>
    <s v="N/A"/>
    <s v="N/A_N/A"/>
    <s v="N/A-N/A N/A_N/A"/>
    <x v="5"/>
    <x v="5"/>
    <x v="18"/>
    <s v="No Secop"/>
  </r>
  <r>
    <n v="20250493"/>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14000000"/>
    <x v="1"/>
    <s v="01 - licitación pública"/>
    <x v="6"/>
    <x v="1"/>
    <x v="2"/>
    <x v="2"/>
    <x v="3"/>
    <s v="N/A"/>
    <s v="N/A-N/A"/>
    <x v="5"/>
    <s v="N/A"/>
    <s v="N/A_N/A"/>
    <s v="N/A-N/A N/A_N/A"/>
    <x v="5"/>
    <x v="5"/>
    <x v="18"/>
    <s v="No Secop"/>
  </r>
  <r>
    <n v="20250494"/>
    <x v="2"/>
    <x v="11"/>
    <s v="Fatima Veronica Quintero Nuñez"/>
    <s v="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5850939000"/>
    <x v="1"/>
    <s v="01 - licitación pública"/>
    <x v="6"/>
    <x v="1"/>
    <x v="2"/>
    <x v="2"/>
    <x v="3"/>
    <s v="N/A"/>
    <s v="N/A-N/A"/>
    <x v="5"/>
    <s v="N/A"/>
    <s v="N/A_N/A"/>
    <s v="N/A-N/A N/A_N/A"/>
    <x v="5"/>
    <x v="5"/>
    <x v="18"/>
    <s v="Si Secop "/>
  </r>
  <r>
    <n v="20250495"/>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2"/>
    <n v="3"/>
    <n v="0"/>
    <n v="85345380"/>
    <x v="1"/>
    <s v="01 - licitación pública"/>
    <x v="6"/>
    <x v="1"/>
    <x v="2"/>
    <x v="2"/>
    <x v="3"/>
    <s v="N/A"/>
    <s v="N/A-N/A"/>
    <x v="5"/>
    <s v="N/A"/>
    <s v="N/A_N/A"/>
    <s v="N/A-N/A N/A_N/A"/>
    <x v="5"/>
    <x v="5"/>
    <x v="18"/>
    <s v="No Secop"/>
  </r>
  <r>
    <n v="20250496"/>
    <x v="2"/>
    <x v="11"/>
    <s v="Fatima Veronica Quintero Nuñez"/>
    <s v="Mantenimiento ascensor nueva Estación de Bomberos de Fontibón-SGC"/>
    <s v="27 - contrato de prestacion de servicios de mantenimiento"/>
    <s v="72101506;_x000a_72154010;"/>
    <n v="3"/>
    <n v="9"/>
    <n v="0"/>
    <n v="10000000"/>
    <x v="1"/>
    <s v=" 09 - contratación directa "/>
    <x v="6"/>
    <x v="1"/>
    <x v="2"/>
    <x v="2"/>
    <x v="3"/>
    <s v="N/A"/>
    <s v="N/A-N/A"/>
    <x v="5"/>
    <s v="N/A"/>
    <s v="N/A_N/A"/>
    <s v="N/A-N/A N/A_N/A"/>
    <x v="5"/>
    <x v="5"/>
    <x v="18"/>
    <s v="Si Secop "/>
  </r>
  <r>
    <n v="20250497"/>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2000000"/>
    <x v="1"/>
    <s v=" 09 - contratación directa "/>
    <x v="6"/>
    <x v="1"/>
    <x v="2"/>
    <x v="2"/>
    <x v="3"/>
    <s v="N/A"/>
    <s v="N/A-N/A"/>
    <x v="5"/>
    <s v="N/A"/>
    <s v="N/A_N/A"/>
    <s v="N/A-N/A N/A_N/A"/>
    <x v="5"/>
    <x v="5"/>
    <x v="18"/>
    <s v="Si Secop "/>
  </r>
  <r>
    <n v="20250498"/>
    <x v="2"/>
    <x v="11"/>
    <s v="Fatima Veronica Quintero Nuñez"/>
    <s v="Mantenimiento correctivo y preventivo con suministro de repuestos para los Ascensores Edificio Comando-SGC"/>
    <s v="27 - contrato de prestacion de servicios de mantenimiento"/>
    <s v="72101506;_x000a_72154010;"/>
    <n v="3"/>
    <n v="9"/>
    <n v="0"/>
    <n v="38000000"/>
    <x v="1"/>
    <s v=" 09 - contratación directa "/>
    <x v="6"/>
    <x v="1"/>
    <x v="2"/>
    <x v="2"/>
    <x v="3"/>
    <s v="N/A"/>
    <s v="N/A-N/A"/>
    <x v="5"/>
    <s v="N/A"/>
    <s v="N/A_N/A"/>
    <s v="N/A-N/A N/A_N/A"/>
    <x v="5"/>
    <x v="5"/>
    <x v="18"/>
    <s v="Si Secop "/>
  </r>
  <r>
    <n v="20250499"/>
    <x v="2"/>
    <x v="11"/>
    <s v="Fatima Veronica Quintero Nuñez"/>
    <s v="Mantenimiento correctivo y preventivo con suministro de repuestos ascensor nueva Estación de Bomberos BELLAVISTA- SGC"/>
    <s v="27 - contrato de prestacion de servicios de mantenimiento"/>
    <s v="72101506;_x000a_72154010;"/>
    <n v="3"/>
    <n v="9"/>
    <n v="0"/>
    <n v="10000000"/>
    <x v="1"/>
    <s v=" 09 - contratación directa "/>
    <x v="6"/>
    <x v="1"/>
    <x v="2"/>
    <x v="2"/>
    <x v="3"/>
    <s v="N/A"/>
    <s v="N/A-N/A"/>
    <x v="5"/>
    <s v="N/A"/>
    <s v="N/A_N/A"/>
    <s v="N/A-N/A N/A_N/A"/>
    <x v="5"/>
    <x v="5"/>
    <x v="18"/>
    <s v="Si Secop "/>
  </r>
  <r>
    <n v="20250500"/>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40000000"/>
    <x v="1"/>
    <s v="04 - contratación mínima cuantía"/>
    <x v="6"/>
    <x v="1"/>
    <x v="2"/>
    <x v="2"/>
    <x v="3"/>
    <s v="N/A"/>
    <s v="N/A-N/A"/>
    <x v="5"/>
    <s v="N/A"/>
    <s v="N/A_N/A"/>
    <s v="N/A-N/A N/A_N/A"/>
    <x v="5"/>
    <x v="5"/>
    <x v="18"/>
    <s v="Si Secop "/>
  </r>
  <r>
    <n v="20250501"/>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x v="1"/>
    <s v="04 - contratación mínima cuantía"/>
    <x v="6"/>
    <x v="1"/>
    <x v="2"/>
    <x v="2"/>
    <x v="3"/>
    <s v="N/A"/>
    <s v="N/A-N/A"/>
    <x v="5"/>
    <s v="N/A"/>
    <s v="N/A_N/A"/>
    <s v="N/A-N/A N/A_N/A"/>
    <x v="5"/>
    <x v="5"/>
    <x v="18"/>
    <s v="Si Secop "/>
  </r>
  <r>
    <n v="20250502"/>
    <x v="2"/>
    <x v="11"/>
    <s v="Fatima Veronica Quintero Nuñez"/>
    <s v="Suministro de insumos para lavadoras-SGC"/>
    <s v="08 - contrato de suministro"/>
    <s v="44103100;"/>
    <n v="3"/>
    <n v="8"/>
    <n v="0"/>
    <n v="10000000"/>
    <x v="1"/>
    <s v="04 - contratación mínima cuantía"/>
    <x v="6"/>
    <x v="1"/>
    <x v="2"/>
    <x v="2"/>
    <x v="3"/>
    <s v="N/A"/>
    <s v="N/A-N/A"/>
    <x v="5"/>
    <s v="N/A"/>
    <s v="N/A_N/A"/>
    <s v="N/A-N/A N/A_N/A"/>
    <x v="5"/>
    <x v="5"/>
    <x v="18"/>
    <s v="Si Secop "/>
  </r>
  <r>
    <n v="20250503"/>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x v="1"/>
    <s v="04 - contratación mínima cuantía"/>
    <x v="6"/>
    <x v="1"/>
    <x v="2"/>
    <x v="2"/>
    <x v="3"/>
    <s v="N/A"/>
    <s v="N/A-N/A"/>
    <x v="5"/>
    <s v="N/A"/>
    <s v="N/A_N/A"/>
    <s v="N/A-N/A N/A_N/A"/>
    <x v="5"/>
    <x v="5"/>
    <x v="18"/>
    <s v="No Secop"/>
  </r>
  <r>
    <n v="20250504"/>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8"/>
    <n v="0"/>
    <n v="544821584"/>
    <x v="0"/>
    <s v="01 - licitación públic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Si Secop "/>
  </r>
  <r>
    <n v="20250505"/>
    <x v="0"/>
    <x v="11"/>
    <s v="Fatima Veronica Quintero Nuñez"/>
    <s v="Realizar el mantenimiento preventivo, correctivo y suministro de repuestos para los equipos de gimnasio instalados en las diferentes instalaciones a cargo de la UAE Cuerpo Oficial de Bomberos. -SGC"/>
    <s v="27 - contrato de prestacion de servicios de mantenimiento"/>
    <s v="49201501;49201503;_x000a_49201516; 49201603;_x000a_ 49201605; 49201611; _x000a_ 72151800;"/>
    <n v="2"/>
    <n v="9"/>
    <n v="0"/>
    <n v="6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506"/>
    <x v="0"/>
    <x v="11"/>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6"/>
    <n v="0"/>
    <n v="15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507"/>
    <x v="0"/>
    <x v="11"/>
    <s v="Fatima Veronica Quintero Nuñez"/>
    <s v="Mantenimiento preventivo y correctivo, que incluye el suministro de insumos y repuestos de los electrodomésticos de las instalaciones a cargo de la UAE Cuerpo Oficial de Bomberos Bogotá-SGC"/>
    <s v="27 - contrato de prestacion de servicios de mantenimiento"/>
    <s v="73152108;"/>
    <n v="3"/>
    <n v="8"/>
    <n v="0"/>
    <n v="3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508"/>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x v="0"/>
    <s v="17 - acuerdo marco de precios"/>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6"/>
    <s v="Si Secop "/>
  </r>
  <r>
    <n v="20250510"/>
    <x v="0"/>
    <x v="11"/>
    <s v="Fatima Veronica Quintero Nuñez"/>
    <s v="Realizar el mantenimiento predictivo, preventivo, correctivo, mejoras y dotación a las instalaciones de las dependencias de la Unidad Administrativa Especial Cuerpo Oficial de Bomberos de Bogotá D.C. - SGC_x000d__x000a_"/>
    <s v="17 - contrato de mantenimiento"/>
    <s v="72102900; 72121400; 72151700;72154000;72101500"/>
    <n v="2"/>
    <n v="8"/>
    <n v="0"/>
    <n v="233732948"/>
    <x v="0"/>
    <s v="01 - licitación públic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20"/>
    <s v="Si Secop "/>
  </r>
  <r>
    <n v="20250511"/>
    <x v="0"/>
    <x v="11"/>
    <s v="Fatima Veronica Quintero Nuñez"/>
    <s v="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181681869"/>
    <x v="0"/>
    <s v="06 - concurso de méritos abierto"/>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20"/>
    <s v="Si Secop "/>
  </r>
  <r>
    <n v="20250512"/>
    <x v="0"/>
    <x v="11"/>
    <s v="Fatima Veronica Quintero Nuñez"/>
    <s v="Suministro e instalación de las lavadoras y secadoras industriales  para las instalaciones de la UAE Cuerpo Oficial de Bomberos de Bogotá-SGC"/>
    <s v="08 - contrato de suministro"/>
    <s v="47111500; 47111700"/>
    <n v="4"/>
    <n v="3"/>
    <n v="0"/>
    <n v="200000000"/>
    <x v="0"/>
    <s v="03 - selec. abrev. subasta invers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3"/>
    <x v="0"/>
    <x v="11"/>
    <s v="Fatima Veronica Quintero Nuñez"/>
    <s v="Suministro e instalación de equipos gasodomésticos y solares para las instalaciones de la UAE Cuerpo Oficial de Bomberos SGC"/>
    <s v="08 - contrato de suministro"/>
    <s v="40101809; 40101826; 48101521"/>
    <n v="4"/>
    <n v="3"/>
    <n v="0"/>
    <n v="5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4"/>
    <x v="0"/>
    <x v="11"/>
    <s v="Fatima Veronica Quintero Nuñez"/>
    <s v="Suministro e instalación de equipos de gimnasio para las diferentes instalaciones a cargo de la UAE Cuerpo Oficial de Bomberos. -SGC"/>
    <s v="08 - contrato de suministro"/>
    <s v="49201500; 49201600"/>
    <n v="4"/>
    <n v="3"/>
    <n v="0"/>
    <n v="50000000"/>
    <x v="0"/>
    <s v="03 - selec. abrev. subasta invers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5"/>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155178416"/>
    <x v="0"/>
    <s v="01 - licitación públic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9"/>
    <s v="No Secop"/>
  </r>
  <r>
    <n v="20250516"/>
    <x v="0"/>
    <x v="11"/>
    <s v="Fatima Veronica Quintero Nuñez"/>
    <s v="Adquisicion de Andamios certificados, escalera multifuncional y elemento de seguridad y salud en el trabajo (gafas,tapa oidos, lineas de vida)"/>
    <s v="08 - contrato de suministro"/>
    <s v="30191502;"/>
    <n v="1"/>
    <n v="2"/>
    <n v="0"/>
    <n v="5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3"/>
    <s v="Si Secop "/>
  </r>
  <r>
    <n v="20250517"/>
    <x v="1"/>
    <x v="11"/>
    <s v="Fatima Veronica Quintero Nuñez"/>
    <s v="Elaboración de estudios y diseños técnicos para la construcción de la estación de bomberos  B-18 de la UAE Cuerpo Oficial de Bomberos de Bogotá – SGC"/>
    <s v="04 - contrato de consultoria"/>
    <s v="81101500;80101600"/>
    <n v="4"/>
    <n v="10"/>
    <n v="0"/>
    <n v="33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18"/>
    <x v="1"/>
    <x v="11"/>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10"/>
    <n v="0"/>
    <n v="15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19"/>
    <x v="1"/>
    <x v="11"/>
    <s v="Fatima Veronica Quintero Nuñez"/>
    <s v="Consultoria modalidad de licencias de la infraestructura existente de las estaciones de bomberos (reconocimiento, ampliacion etc)"/>
    <s v="04 - contrato de consultoria"/>
    <s v="81101500;80101600"/>
    <n v="4"/>
    <n v="10"/>
    <n v="0"/>
    <n v="20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0"/>
    <x v="1"/>
    <x v="11"/>
    <s v="Fatima Veronica Quintero Nuñez"/>
    <s v="Interventoria de la consultoria modalidad de licencias de la infraestructura existente de las estaciones de bomberos (reconocimiento, ampliacion etc)."/>
    <s v="14 - contrato de interventoria"/>
    <s v="80101600;81101500;72101500;72121400"/>
    <n v="4"/>
    <n v="10"/>
    <n v="0"/>
    <n v="15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1"/>
    <x v="1"/>
    <x v="11"/>
    <s v="Fatima Veronica Quintero Nuñez"/>
    <s v="Elaboración de estudios y diseños técnicos para la construcción de la estación de bomberos de Puente Aranda B-4 de la UAE Cuerpo Oficial de Bomberos de Bogotá – SGC"/>
    <s v="04 - contrato de consultoria"/>
    <s v="81101500;80101600"/>
    <n v="4"/>
    <n v="10"/>
    <n v="0"/>
    <n v="50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2"/>
    <x v="1"/>
    <x v="11"/>
    <s v="Fatima Veronica Quintero Nuñez"/>
    <s v="Interventoría técnica, administrativa, financiera, contable, jurídica y ambiental para la elaboración de estudios y diseños técnicos para la construcción de la estación de Bomberos de Punete Aranda B-4 de la UAE Cuerpo Oficial de Bomberos de Bogotá – SGC"/>
    <s v="14 - contrato de interventoria"/>
    <s v="80101600;81101500;72101500;72121400"/>
    <n v="4"/>
    <n v="10"/>
    <n v="0"/>
    <n v="15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3"/>
    <x v="1"/>
    <x v="11"/>
    <s v="Fatima Veronica Quintero Nuñez"/>
    <s v="Construcción de la estación de bomberos de Caobos Salazar B-13 de la UAE Cuerpo Oficial de Bomberos de Bogotá – SGC"/>
    <s v="05 - contrato de obra"/>
    <s v="72121400; 72151700; 72151700; 81101500"/>
    <n v="6"/>
    <n v="13"/>
    <n v="0"/>
    <n v="6000000000"/>
    <x v="0"/>
    <s v="01 - licitación pública"/>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4"/>
    <x v="1"/>
    <x v="11"/>
    <s v="Fatima Veronica Quintero Nuñez"/>
    <s v="Interventoría técnica, administrativa, financiera, contable, jurídica y ambiental para la construcción de la estación de Bomberos de Caobos Salazar B-13 de la UAE Cuerpo Oficial de Bomberos de Bogotá – SGC"/>
    <s v="14 - contrato de interventoria"/>
    <s v="81101500; 80101600; 72121400; 95121700"/>
    <n v="6"/>
    <n v="13"/>
    <n v="0"/>
    <n v="1380000000"/>
    <x v="0"/>
    <s v="06 - concurso de méritos abierto"/>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4"/>
    <s v="Si Secop "/>
  </r>
  <r>
    <n v="20250525"/>
    <x v="0"/>
    <x v="11"/>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11223766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29"/>
    <x v="1"/>
    <x v="11"/>
    <s v="Fatima Veronica Quintero Nuñez"/>
    <s v="Prestación de servicios profesionales para apoyar las actividades jurídicas de la Subdirección de Gestión Corporativa-SGC"/>
    <s v="25 - contrato de prestacion de servicios profesionales"/>
    <s v="80111600;"/>
    <n v="2"/>
    <n v="11"/>
    <n v="0"/>
    <n v="78650000"/>
    <x v="0"/>
    <s v=" 09 - contratación directa "/>
    <x v="19"/>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1"/>
    <s v="Si Secop "/>
  </r>
  <r>
    <n v="20250530"/>
    <x v="1"/>
    <x v="11"/>
    <s v="Fatima Veronica Quintero Nuñez"/>
    <s v="Prestación de servicios profesionales en la proyección y el seguimiento financiero a los proyectos de la Subdirección de Gestión Corporativa-SGC"/>
    <s v="25 - contrato de prestacion de servicios profesionales"/>
    <s v="80111600;"/>
    <n v="2"/>
    <n v="11"/>
    <n v="0"/>
    <n v="6292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31"/>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6655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32"/>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4423788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33"/>
    <x v="1"/>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7940625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3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33534424"/>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6"/>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8348256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7"/>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7623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38"/>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99918896"/>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39"/>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38607615"/>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0"/>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99918896"/>
    <x v="0"/>
    <s v=" 09 - contratación directa "/>
    <x v="20"/>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0"/>
    <s v="Si Secop "/>
  </r>
  <r>
    <n v="20250541"/>
    <x v="0"/>
    <x v="11"/>
    <s v="Fatima Veronica Quintero Nuñez"/>
    <s v="Prestación de servicios de apoyo en las actividades asociadas a los procesos de almacén de la Subdirección de Gestión Corporativa 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2"/>
    <x v="0"/>
    <x v="11"/>
    <s v="Fatima Veronica Quintero Nuñez"/>
    <s v="Prestación de servicios profesionales para atender las actividades financieras, a cargo de la Subdirección de Gestión Corporativa-SGC"/>
    <s v="25 - contrato de prestacion de servicios profesionales"/>
    <s v="80111600;"/>
    <n v="2"/>
    <n v="11"/>
    <n v="0"/>
    <n v="726000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3"/>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7243800"/>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4"/>
    <x v="0"/>
    <x v="11"/>
    <s v="Fatima Veronica Quintero Nuñez"/>
    <s v="Prestación de servicios profesionales en el marco de las actividades administrativas de la Subdirección de Gestión Corporativa--SGC"/>
    <s v="25 - contrato de prestacion de servicios profesionales"/>
    <s v="80111600;"/>
    <n v="2"/>
    <n v="11"/>
    <n v="0"/>
    <n v="673863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5"/>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906695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46"/>
    <x v="1"/>
    <x v="11"/>
    <s v="Fatima Veronica Quintero Nuñez"/>
    <s v="Prestar servicios profesionales para realizar acompañamiento en los procesos contractuales adelantados por la Subdirección Gestión Corporativa -SGC"/>
    <s v="25 - contrato de prestacion de servicios profesionales"/>
    <s v="80111600;"/>
    <n v="2"/>
    <n v="11"/>
    <n v="0"/>
    <n v="6050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47"/>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72600000"/>
    <x v="0"/>
    <s v=" 09 - contratación directa "/>
    <x v="20"/>
    <x v="0"/>
    <x v="1"/>
    <x v="1"/>
    <x v="0"/>
    <s v="Infraestructura física, mantenimiento y dotación (Sedes construidas, mantenidas reforzadas)"/>
    <s v="08-Infraestructura física, mantenimiento y dotación (Sedes construidas, mantenidas reforzadas)"/>
    <x v="12"/>
    <s v="Estaciones de bomberos construidas"/>
    <s v="015_Estaciones de bomberos construidas"/>
    <s v="08-Infraestructura física, mantenimiento y dotación (Sedes construidas, mantenidas reforzadas) 015_Estaciones de bomberos construidas"/>
    <x v="17"/>
    <x v="17"/>
    <x v="1"/>
    <s v="Si Secop "/>
  </r>
  <r>
    <n v="20250548"/>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72600000"/>
    <x v="0"/>
    <s v=" 09 - contratación directa "/>
    <x v="19"/>
    <x v="0"/>
    <x v="1"/>
    <x v="1"/>
    <x v="0"/>
    <s v="Infraestructura física, mantenimiento y dotación (Sedes construidas, mantenidas reforzadas)"/>
    <s v="08-Infraestructura física, mantenimiento y dotación (Sedes construidas, mantenidas reforzadas)"/>
    <x v="11"/>
    <s v="Documentos de lineamientos técnicos"/>
    <s v="031__Documentos de lineamientos técnicos"/>
    <s v="08-Infraestructura física, mantenimiento y dotación (Sedes construidas, mantenidas reforzadas) 031__Documentos de lineamientos técnicos"/>
    <x v="16"/>
    <x v="16"/>
    <x v="17"/>
    <s v="Si Secop "/>
  </r>
  <r>
    <n v="20250549"/>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67386352"/>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50"/>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90750000"/>
    <x v="0"/>
    <s v=" 09 - contratación directa "/>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551"/>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2"/>
    <x v="0"/>
    <x v="11"/>
    <s v="Fatima Veronica Quintero Nuñez"/>
    <s v="Prestación de servicios de apoyo a la gestión del proceso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3"/>
    <x v="0"/>
    <x v="11"/>
    <s v="Fatima Veronica Quintero Nuñez"/>
    <s v="Prestar los servicios profesionales en las actividades asociadas a la política del Sistema de Gestión de la Seguridad y Salud en el Trabajo (SG-SST) que contribuyan para la adecuada prestación del servicio-SGC"/>
    <s v="25 - contrato de prestacion de servicios profesionales"/>
    <s v="80111600;"/>
    <n v="2"/>
    <n v="11"/>
    <n v="0"/>
    <n v="46585000"/>
    <x v="0"/>
    <s v=" 09 - contratación directa "/>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4"/>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5"/>
    <x v="0"/>
    <x v="11"/>
    <s v="Fatima Veronica Quintero Nuñez"/>
    <s v="Prestación de servicios de apoyo a la gestión documental de la Subdirección de Gestión Corporativa de la Unidad.-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6"/>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33534424"/>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7"/>
    <x v="0"/>
    <x v="11"/>
    <s v="Fatima Veronica Quintero Nuñez"/>
    <s v="Prestación de servicios de apoyo técnico en la gestión documental de la Subdirección de Gestión Corporativa de la Unidad-SGC"/>
    <s v="26 - contrato de prestacion de servicios de apoyo a la gestion"/>
    <s v="80111600;"/>
    <n v="2"/>
    <n v="11"/>
    <n v="0"/>
    <n v="45853192"/>
    <x v="0"/>
    <s v=" 09 - contratación directa "/>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58"/>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440000000"/>
    <x v="1"/>
    <s v="01 - licitación pública"/>
    <x v="6"/>
    <x v="1"/>
    <x v="2"/>
    <x v="2"/>
    <x v="3"/>
    <s v="N/A"/>
    <s v="N/A-N/A"/>
    <x v="5"/>
    <s v="N/A"/>
    <s v="N/A_N/A"/>
    <s v="N/A-N/A N/A_N/A"/>
    <x v="5"/>
    <x v="5"/>
    <x v="18"/>
    <s v="No Secop"/>
  </r>
  <r>
    <n v="20250559"/>
    <x v="2"/>
    <x v="10"/>
    <s v="Paula Ximena Henao Escobar"/>
    <s v="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
    <s v="27 - contrato de prestacion de servicios de mantenimiento"/>
    <s v="81111811;72151600; 43223300;_x000a_39131700"/>
    <n v="5"/>
    <n v="8"/>
    <n v="0"/>
    <n v="212870000"/>
    <x v="1"/>
    <s v="03 - selec. abrev. subasta inversa"/>
    <x v="6"/>
    <x v="1"/>
    <x v="2"/>
    <x v="2"/>
    <x v="3"/>
    <s v="N/A"/>
    <s v="N/A-N/A"/>
    <x v="5"/>
    <s v="N/A"/>
    <s v="N/A_N/A"/>
    <s v="N/A-N/A N/A_N/A"/>
    <x v="5"/>
    <x v="5"/>
    <x v="21"/>
    <s v="Si Secop "/>
  </r>
  <r>
    <n v="20250560"/>
    <x v="2"/>
    <x v="10"/>
    <s v="Paula Ximena Henao Escobar"/>
    <s v="Contratar los servicios de canales de datos dedicados para la UAE Cuerpo Oficial de Bomberos de Bogotá-TIC"/>
    <s v="24 - contrato de servicio"/>
    <n v="81112100"/>
    <n v="3"/>
    <n v="11"/>
    <n v="0"/>
    <n v="350000000"/>
    <x v="1"/>
    <s v="09 - contratación directa"/>
    <x v="6"/>
    <x v="1"/>
    <x v="2"/>
    <x v="2"/>
    <x v="3"/>
    <s v="N/A"/>
    <s v="N/A-N/A"/>
    <x v="5"/>
    <s v="N/A"/>
    <s v="N/A_N/A"/>
    <s v="N/A-N/A N/A_N/A"/>
    <x v="5"/>
    <x v="5"/>
    <x v="22"/>
    <s v="Si Secop "/>
  </r>
  <r>
    <n v="20250561"/>
    <x v="2"/>
    <x v="10"/>
    <s v="Paula Ximena Henao Escobar"/>
    <s v="Contratar  la suscripción de licencias Suite Adobe para la UAE Cuerpo Oficial de Bomberos de Bogotá-TIC"/>
    <s v="19 - contrato de renovacion de licencias"/>
    <s v="81112501;43232102;43232103;43231512"/>
    <n v="11"/>
    <n v="12"/>
    <n v="0"/>
    <n v="53000000"/>
    <x v="1"/>
    <s v="04 - contratación mínima cuantía"/>
    <x v="6"/>
    <x v="1"/>
    <x v="2"/>
    <x v="2"/>
    <x v="3"/>
    <s v="N/A"/>
    <s v="N/A-N/A"/>
    <x v="5"/>
    <s v="N/A"/>
    <s v="N/A_N/A"/>
    <s v="N/A-N/A N/A_N/A"/>
    <x v="5"/>
    <x v="5"/>
    <x v="23"/>
    <s v="Si Secop "/>
  </r>
  <r>
    <n v="20250562"/>
    <x v="2"/>
    <x v="10"/>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x v="1"/>
    <s v="04 - contratación mínima cuantía"/>
    <x v="6"/>
    <x v="1"/>
    <x v="2"/>
    <x v="2"/>
    <x v="3"/>
    <s v="N/A"/>
    <s v="N/A-N/A"/>
    <x v="5"/>
    <s v="N/A"/>
    <s v="N/A_N/A"/>
    <s v="N/A-N/A N/A_N/A"/>
    <x v="5"/>
    <x v="5"/>
    <x v="22"/>
    <s v="Si Secop "/>
  </r>
  <r>
    <n v="20250563"/>
    <x v="0"/>
    <x v="4"/>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4"/>
    <x v="0"/>
    <x v="4"/>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5"/>
    <x v="0"/>
    <x v="5"/>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6"/>
    <x v="0"/>
    <x v="5"/>
    <s v="Paula Ximena Henao Escobar"/>
    <s v="Prestación de servicios profesionales en asuntos de comunicaciones y prensa para la traducción de textos editoriales que contribuyan al fortalecimiento y gestión de la imagen corporativa de la entidad."/>
    <s v="25 - contrato de prestacion de servicios profesionales"/>
    <n v="80111600"/>
    <n v="2"/>
    <n v="3"/>
    <n v="0"/>
    <n v="270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7"/>
    <x v="0"/>
    <x v="4"/>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640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68"/>
    <x v="0"/>
    <x v="5"/>
    <s v="Paula Ximena Henao Escobar"/>
    <s v="Prestar servicios profesionales en asuntos de comunicaciones y prensa para apoyar materia de seguimiento para el cumplimiento de la misionalidad"/>
    <s v="25 - contrato de prestacion de servicios profesionales"/>
    <n v="80111600"/>
    <n v="2"/>
    <n v="11"/>
    <n v="0"/>
    <n v="91800000"/>
    <x v="0"/>
    <s v="09 - contratación directa"/>
    <x v="4"/>
    <x v="0"/>
    <x v="0"/>
    <x v="0"/>
    <x v="1"/>
    <s v="Servicios para la planeación y sistemas de gestión y comunicación estratégica"/>
    <s v="13-Servicios para la planeación y sistemas de gestión y comunicación estratégica"/>
    <x v="3"/>
    <s v="Documentos de planeación"/>
    <s v="019_Documentos de planeación"/>
    <s v="13-Servicios para la planeación y sistemas de gestión y comunicación estratégica 019_Documentos de planeación"/>
    <x v="3"/>
    <x v="3"/>
    <x v="0"/>
    <s v="Si Secop "/>
  </r>
  <r>
    <n v="20250569"/>
    <x v="1"/>
    <x v="6"/>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51272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0"/>
    <x v="1"/>
    <x v="6"/>
    <s v="Jose Andres Ponce Caicedo"/>
    <s v="SGH - Prestar servicios de apoyo a la gestion en la Subdireccion de Gestion Humana de la UAE Cuerpo oficial de Bomberos en el proceso de asusentismos, recobro de incapacidades y los subprocesos directamente relacionados. "/>
    <s v="26 - contrato de prestacion de servicios de apoyo a la gestion"/>
    <n v="80111600"/>
    <n v="2"/>
    <n v="10"/>
    <n v="0"/>
    <n v="22118946"/>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1"/>
    <x v="1"/>
    <x v="6"/>
    <s v="Jose Andres Ponce Caicedo"/>
    <s v="SGH - Prestar servicios profesionales para apoyar el programa de desórdenes musculoesqueléticos de la UAE Cuerpo Oficial de Bomberos de Bogotá&quot;."/>
    <s v="25 - contrato de prestacion de servicios profesionales"/>
    <n v="80111600"/>
    <n v="2"/>
    <n v="11"/>
    <n v="0"/>
    <n v="49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2"/>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828675"/>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3"/>
    <x v="1"/>
    <x v="6"/>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4"/>
    <x v="1"/>
    <x v="6"/>
    <s v="Jose Andres Ponce Caicedo"/>
    <s v="SGH - Prestar sus servicios profesionales en la Subdirección de Gestión Humana, en la administración de sistema de seguridad y salud en el trabajo"/>
    <s v="25 - contrato de prestacion de servicios profesionales"/>
    <n v="80111600"/>
    <n v="2"/>
    <n v="11"/>
    <n v="0"/>
    <n v="562309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5"/>
    <x v="1"/>
    <x v="6"/>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6"/>
    <x v="1"/>
    <x v="6"/>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8"/>
    <n v="0"/>
    <n v="29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7"/>
    <x v="1"/>
    <x v="6"/>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8"/>
    <n v="0"/>
    <n v="27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8"/>
    <x v="1"/>
    <x v="6"/>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79"/>
    <x v="1"/>
    <x v="6"/>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88065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1"/>
    <s v="Si Secop "/>
  </r>
  <r>
    <n v="20250580"/>
    <x v="1"/>
    <x v="6"/>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1"/>
    <x v="1"/>
    <x v="6"/>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2"/>
    <x v="1"/>
    <x v="6"/>
    <s v="Jose Andres Ponce Caicedo"/>
    <s v="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8"/>
    <n v="0"/>
    <n v="560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3"/>
    <x v="1"/>
    <x v="6"/>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492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4"/>
    <x v="1"/>
    <x v="6"/>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5"/>
    <x v="1"/>
    <x v="6"/>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344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586"/>
    <x v="0"/>
    <x v="1"/>
    <s v="Monica Perez Barragan"/>
    <s v="Prestar los servicios profesionales jurídicos para apoyar las actividades propias de la gestión contractual que adelanta la Oficina Jurídica"/>
    <s v="25 - contrato de prestacion de servicios profesionales"/>
    <n v="80111600"/>
    <n v="2"/>
    <n v="11"/>
    <n v="0"/>
    <n v="7945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1"/>
    <s v="Si Secop "/>
  </r>
  <r>
    <n v="202505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4"/>
    <n v="0"/>
    <n v="248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88"/>
    <x v="2"/>
    <x v="11"/>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10000000"/>
    <x v="1"/>
    <s v="02 - selec. abrev. menor cuantía"/>
    <x v="6"/>
    <x v="1"/>
    <x v="2"/>
    <x v="2"/>
    <x v="3"/>
    <s v="N/A"/>
    <s v="N/A-N/A"/>
    <x v="5"/>
    <s v="N/A"/>
    <s v="N/A_N/A"/>
    <s v="N/A-N/A N/A_N/A"/>
    <x v="5"/>
    <x v="5"/>
    <x v="2"/>
    <s v="No Secop"/>
  </r>
  <r>
    <n v="2025059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599"/>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0"/>
    <x v="0"/>
    <x v="11"/>
    <s v="Fatima Veronica Quintero Nuñez"/>
    <s v="Prestación de servicios de apoyo a la gestión del proceso de inventarios de la Subdirección de Gestión Corporativa.-SGC"/>
    <s v="26 - contrato de prestacion de servicios de apoyo a la gestion"/>
    <s v="80111600;"/>
    <n v="2"/>
    <n v="9"/>
    <n v="0"/>
    <n v="25336251"/>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1"/>
    <x v="0"/>
    <x v="11"/>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9115686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2"/>
    <x v="0"/>
    <x v="11"/>
    <s v="Fatima Veronica Quintero Nuñez"/>
    <s v="Prestar los servicios profesionales en el area de inventarios de la Subdireccion de Gestión Corporativa-SGC"/>
    <s v="25 - contrato de prestacion de servicios profesionales"/>
    <s v="80111600;"/>
    <n v="2"/>
    <n v="9"/>
    <n v="0"/>
    <n v="41288696"/>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03"/>
    <x v="2"/>
    <x v="11"/>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500000000"/>
    <x v="1"/>
    <s v="02 - selec. abrev. menor cuantía"/>
    <x v="6"/>
    <x v="1"/>
    <x v="2"/>
    <x v="2"/>
    <x v="3"/>
    <s v="N/A"/>
    <s v="N/A-N/A"/>
    <x v="5"/>
    <s v="N/A"/>
    <s v="N/A_N/A"/>
    <s v="N/A-N/A N/A_N/A"/>
    <x v="5"/>
    <x v="5"/>
    <x v="2"/>
    <s v="Si Secop "/>
  </r>
  <r>
    <n v="20250604"/>
    <x v="1"/>
    <x v="7"/>
    <s v="Omer Mauricio Rivera Ruiz"/>
    <s v="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2"/>
    <n v="3"/>
    <n v="0"/>
    <n v="25366600"/>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3"/>
    <s v="No Secop"/>
  </r>
  <r>
    <n v="20250605"/>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6"/>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7"/>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8"/>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09"/>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0"/>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1"/>
    <x v="1"/>
    <x v="7"/>
    <s v="Omer Mauricio Rivera Ruiz"/>
    <s v="Prestarr servicios de apoyo a la gestión en las actividades de soporte operacional de la UAECOB Subdirección Logística. SBLG"/>
    <s v="26 - contrato de prestacion de servicios de apoyo a la gestion"/>
    <n v="80111600"/>
    <n v="2"/>
    <n v="10"/>
    <n v="0"/>
    <n v="30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12"/>
    <x v="0"/>
    <x v="10"/>
    <s v="Paula Ximena Henao Escobar"/>
    <s v="Contratar servicio de integración, compatibilidad y puesta en funcionamiento de los dispositivos pistolas de toma físico de inventarios al sistema de control y registros inventarios de la U.A.E. Cuerpo Oficial de Bomberos de Bogotá - TIC&quot;"/>
    <s v="24 - contrato de servicio"/>
    <n v="81112217"/>
    <n v="1"/>
    <n v="6"/>
    <n v="0"/>
    <n v="6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613"/>
    <x v="0"/>
    <x v="10"/>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60000000"/>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614"/>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615"/>
    <x v="2"/>
    <x v="10"/>
    <s v="Paula Ximena Henao Escobar"/>
    <s v="Contratar la prestación del servicio de Intenet satelital para la U.A.E. Cuerpo Oficial de Bomberos de Bogotá - TIC"/>
    <s v="03 - contrato de prestacion de servicios"/>
    <s v="83121700;83111600;43221700"/>
    <n v="8"/>
    <n v="7"/>
    <n v="0"/>
    <n v="20000000"/>
    <x v="1"/>
    <s v="17 - acuerdo marco de precios"/>
    <x v="6"/>
    <x v="1"/>
    <x v="2"/>
    <x v="2"/>
    <x v="3"/>
    <s v="N/A"/>
    <s v="N/A-N/A"/>
    <x v="5"/>
    <s v="N/A"/>
    <s v="N/A_N/A"/>
    <s v="N/A-N/A N/A_N/A"/>
    <x v="5"/>
    <x v="5"/>
    <x v="22"/>
    <s v="Si Secop "/>
  </r>
  <r>
    <n v="20250616"/>
    <x v="2"/>
    <x v="10"/>
    <s v="Paula Ximena Henao Escobar"/>
    <s v="Prestar los servicios de mantenimiento, soporte técnico, mejoras y actualizaciones de Aranda utilizado por la UEACOB"/>
    <s v="03 - contrato de prestacion de servicios"/>
    <s v="83121700;83111600;43221700"/>
    <n v="8"/>
    <n v="7"/>
    <n v="0"/>
    <n v="60000000"/>
    <x v="1"/>
    <s v="17 - acuerdo marco de precios"/>
    <x v="6"/>
    <x v="1"/>
    <x v="2"/>
    <x v="2"/>
    <x v="3"/>
    <s v="N/A"/>
    <s v="N/A-N/A"/>
    <x v="5"/>
    <s v="N/A"/>
    <s v="N/A_N/A"/>
    <s v="N/A-N/A N/A_N/A"/>
    <x v="5"/>
    <x v="5"/>
    <x v="22"/>
    <s v="Si Secop "/>
  </r>
  <r>
    <n v="20250617"/>
    <x v="0"/>
    <x v="10"/>
    <s v="Paula Ximena Henao Escobar"/>
    <s v="Prestar los servicios profesionales en la estructuración, sustanciación, revisión y trámite de los procesos de contratación y gestión jurídica en el marco de los procesos y procedimientos a cargo de la dirección de la U.A.E. Cuerpo Oficial de Bomberos_x000a_Bogotá D.C"/>
    <s v="25 - contrato de prestacion de servicios profesionales"/>
    <n v="80111600"/>
    <n v="2"/>
    <n v="7"/>
    <n v="0"/>
    <n v="49000000"/>
    <x v="0"/>
    <s v="09 - contratación directa"/>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
    <s v="Si Secop "/>
  </r>
  <r>
    <n v="20250618"/>
    <x v="0"/>
    <x v="10"/>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35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0"/>
    <s v="Si Secop "/>
  </r>
  <r>
    <n v="20250619"/>
    <x v="0"/>
    <x v="10"/>
    <s v="Paula Ximena Henao Escobar"/>
    <s v="Adicion y prorroga a la orden de compra 121621, identificada con el numero de contrato 618-2023, cuyo objeto es  “Contratar el servicio de nube publica para la U.A.E Cuerpo Oficial de Bomberos de Bogotá - TIC”"/>
    <s v="03 - contrato de prestacion de servicios"/>
    <n v="81112006"/>
    <n v="2"/>
    <n v="4"/>
    <n v="0"/>
    <n v="7000000"/>
    <x v="0"/>
    <s v="17 - acuerdo marco de precios"/>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No Secop"/>
  </r>
  <r>
    <n v="20250620"/>
    <x v="0"/>
    <x v="10"/>
    <s v="Paula Ximena Henao Escobar"/>
    <s v="Actualización y renovación para ASMS( Aranda service manangment suite), soporte y mantenimiento del licenciamiento Software Aranda para la U.A.E. Cuerpo Oficial de Bomberos Bogota - TIC"/>
    <s v="19 - contrato de renovacion de licencias"/>
    <s v="81112222_x000a_81111811_x000a_43231501_x000a_43231513 "/>
    <n v="4"/>
    <n v="12"/>
    <n v="0"/>
    <n v="55000000"/>
    <x v="0"/>
    <s v="09 - contratación directa"/>
    <x v="15"/>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621"/>
    <x v="0"/>
    <x v="11"/>
    <s v="Fatima Veronica Quintero Nuñez"/>
    <s v="Austeridad 5% en los proyectos que tengan_x000a_definidos productos de fortalecimiento institucional "/>
    <s v="25 - contrato de prestacion de servicios profesionales"/>
    <n v="80111600"/>
    <n v="0"/>
    <n v="0"/>
    <n v="0"/>
    <n v="109465255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No Secop"/>
  </r>
  <r>
    <n v="20250622"/>
    <x v="0"/>
    <x v="10"/>
    <s v="Paula Ximena Henao Escobar"/>
    <s v="Contratar el servicio de atención para gestionar de manera integral las solicitudes, trámites y servicios de los usuarios externos relacionadas con la misionalidad de la UAE Cuerpo Oficial de Bomberos de Bogotá, en el marco de la eficiencia del servicio al ciudadano."/>
    <s v="03 - contrato de prestacion de servicios"/>
    <s v="83111600_x000a_83111507 _x000a_83111505"/>
    <n v="4"/>
    <n v="5"/>
    <n v="0"/>
    <n v="354000957"/>
    <x v="0"/>
    <s v="17 - acuerdo marco de precios"/>
    <x v="13"/>
    <x v="0"/>
    <x v="0"/>
    <x v="0"/>
    <x v="7"/>
    <s v="Infraestructura Tecnológica   (Sistemas de Información y Tecnologia)"/>
    <s v="11-Infraestructura Tecnológica   (Sistemas de Información y Tecnologia)"/>
    <x v="9"/>
    <s v="Servicios tecnológicos"/>
    <s v="007_Servicios tecnológicos"/>
    <s v="11-Infraestructura Tecnológica   (Sistemas de Información y Tecnologia) 007_Servicios tecnológicos"/>
    <x v="14"/>
    <x v="14"/>
    <x v="13"/>
    <s v="Si Secop "/>
  </r>
  <r>
    <n v="20250623"/>
    <x v="0"/>
    <x v="3"/>
    <s v="Manuel Eduardo Castillo Guzman"/>
    <s v="Prestar servicios profesionales para orientar las actividades relacionadas con la implementación del Sistema de Administración del Riesgo de Lavado de Activos y Financiación del Terrorismo (SARLAFT) en la Unidad Administrativa Especial Cuerpo Oficial de Bomberos de Bogotá."/>
    <s v="26 - contrato de prestacion de servicios de apoyo a la gestion"/>
    <n v="80111600"/>
    <n v="3"/>
    <n v="10"/>
    <n v="0"/>
    <n v="100000000"/>
    <x v="0"/>
    <s v="09 - contratación directa"/>
    <x v="2"/>
    <x v="0"/>
    <x v="0"/>
    <x v="0"/>
    <x v="1"/>
    <s v="Servicios para la planeación y sistemas de gestión y comunicación estratégica"/>
    <s v="13-Servicios para la planeación y sistemas de gestión y comunicación estratégica"/>
    <x v="2"/>
    <s v="Servicio de Implementación Sistemas de Gestión"/>
    <s v="023_Servicio de Implementación Sistemas de Gestión"/>
    <s v="13-Servicios para la planeación y sistemas de gestión y comunicación estratégica 023_Servicio de Implementación Sistemas de Gestión"/>
    <x v="2"/>
    <x v="2"/>
    <x v="0"/>
    <s v="Si Secop "/>
  </r>
  <r>
    <n v="20250624"/>
    <x v="1"/>
    <x v="6"/>
    <s v="Jose Andres Ponce Caicedo"/>
    <s v="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
    <s v="26 - contrato de prestacion de servicios de apoyo a la gestion"/>
    <n v="80111600"/>
    <n v="2"/>
    <n v="8"/>
    <n v="0"/>
    <n v="29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25"/>
    <x v="1"/>
    <x v="6"/>
    <s v="Jose Andres Ponce Caicedo"/>
    <s v="SGH - Prestar servicios de apoyo a la gestión para acompañar a la Subdirección de Gestión Humana para en la realización de las actividades referentes al Plan de Bienestar e Incentivos."/>
    <s v="26 - contrato de prestacion de servicios de apoyo a la gestion"/>
    <n v="80111600"/>
    <n v="2"/>
    <n v="8"/>
    <n v="0"/>
    <n v="29600000"/>
    <x v="0"/>
    <s v="09 - contratación directa"/>
    <x v="5"/>
    <x v="0"/>
    <x v="1"/>
    <x v="1"/>
    <x v="2"/>
    <s v="Servicio de formación en gestión del riesgo de incendios para el personal UAECOB"/>
    <s v="07-Servicio de formación en gestión del riesgo de incendios para el personal UAECOB"/>
    <x v="4"/>
    <s v="Servicio de educación informal"/>
    <s v="002_Servicio de educación informal"/>
    <s v="07-Servicio de formación en gestión del riesgo de incendios para el personal UAECOB 002_Servicio de educación informal"/>
    <x v="4"/>
    <x v="4"/>
    <x v="0"/>
    <s v="Si Secop "/>
  </r>
  <r>
    <n v="20250626"/>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6"/>
    <n v="0"/>
    <n v="21000000"/>
    <x v="0"/>
    <s v="09 - contratación directa"/>
    <x v="7"/>
    <x v="0"/>
    <x v="1"/>
    <x v="1"/>
    <x v="5"/>
    <s v="Servicio de apoyo   logístico  en eventos operativos y/o emergencias."/>
    <s v="12-Servicio de apoyo   logístico  en eventos operativos y/o emergencias."/>
    <x v="6"/>
    <s v="Servicio de atención a emergencias y desastres"/>
    <s v="004_Servicio de atención a emergencias y desastres"/>
    <s v="12-Servicio de apoyo   logístico  en eventos operativos y/o emergencias. 004_Servicio de atención a emergencias y desastres"/>
    <x v="7"/>
    <x v="7"/>
    <x v="0"/>
    <s v="Si Secop "/>
  </r>
  <r>
    <n v="20250627"/>
    <x v="1"/>
    <x v="7"/>
    <s v="Omer Mauricio Rivera Ruiz"/>
    <s v="Adición al contrato No. 352 - 2024 cuyo objeto es: “Prestar el servicio de mantenimiento preventivo y correctivo de los compresores BAUER propiedad de la U.A.E. cuerpo oficial de Bomberos de Bogotá, incluido el suministro de repuestos insumos y mano de obra especializada”."/>
    <s v="03 - contrato de prestacion de servicios"/>
    <s v="40151601;40151802"/>
    <n v="3"/>
    <n v="12"/>
    <n v="0"/>
    <n v="4652258"/>
    <x v="0"/>
    <s v="09 - contratación directa"/>
    <x v="7"/>
    <x v="0"/>
    <x v="1"/>
    <x v="1"/>
    <x v="4"/>
    <s v="Servicio de mantenimiento, dotación (HEA´s y equipo menor) y adquisición de vehiculos   especializados para la atención de emergencias."/>
    <s v="09-Servicio de mantenimiento, dotación (HEA´s y equipo menor) y adquisición de vehiculos   especializados para la atención de emergencias."/>
    <x v="6"/>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9"/>
    <s v="No Secop"/>
  </r>
  <r>
    <n v="20250628"/>
    <x v="1"/>
    <x v="8"/>
    <s v="William Tovar Segura"/>
    <s v="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03 - contrato de prestacion de servicios"/>
    <s v="80141900_x000a_90111500_x000a_90111600_x000a_80141600_x000a_80161502"/>
    <n v="2"/>
    <n v="12"/>
    <n v="0"/>
    <n v="190000000"/>
    <x v="0"/>
    <s v="02 - selec. abrev. menor cuantía"/>
    <x v="8"/>
    <x v="0"/>
    <x v="1"/>
    <x v="1"/>
    <x v="7"/>
    <s v="Infraestructura Tecnológica   (Sistemas de Información y Tecnologia)"/>
    <s v="11-Infraestructura Tecnológica   (Sistemas de Información y Tecnologia)"/>
    <x v="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x v="9"/>
    <x v="9"/>
    <x v="0"/>
    <s v="No Secop"/>
  </r>
  <r>
    <n v="20250629"/>
    <x v="1"/>
    <x v="8"/>
    <s v="William Tovar Segura"/>
    <s v="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2"/>
    <n v="3"/>
    <n v="0"/>
    <n v="215000000"/>
    <x v="0"/>
    <s v="01 - licitación pública"/>
    <x v="8"/>
    <x v="0"/>
    <x v="1"/>
    <x v="1"/>
    <x v="6"/>
    <s v="Servicio de capacitaciones en gestión del riesgo de incendios  a la ciudadania."/>
    <s v="05-Servicio de capacitaciones en gestión del riesgo de incendios  a la ciudadania."/>
    <x v="4"/>
    <s v="Servicio de educación informal"/>
    <s v="002_Servicio de educación informal"/>
    <s v="05-Servicio de capacitaciones en gestión del riesgo de incendios  a la ciudadania. 002_Servicio de educación informal"/>
    <x v="11"/>
    <x v="11"/>
    <x v="0"/>
    <s v="No Secop"/>
  </r>
  <r>
    <n v="20250630"/>
    <x v="1"/>
    <x v="9"/>
    <s v="Mauricio Ayála Vásquez"/>
    <s v="Prestación de servicios profesionales para  apoyar los procesos contractuales de la Subdirección Operativa en todas sus etapas, seguimiento financiero y apoyo técnico con base en las necesidades propias de la dependencia S.O."/>
    <s v="25 - contrato de prestacion de servicios profesionales"/>
    <n v="80111600"/>
    <n v="2"/>
    <n v="10"/>
    <n v="0"/>
    <n v="8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1"/>
    <x v="1"/>
    <x v="9"/>
    <s v="Mauricio Ayála Vásquez"/>
    <s v="Prestación de servicios profesionales para  apoyar los procesos contractuales de la Subdirección Operativa en todas sus etapas y apoyo técnico en los proyectos y procesos de la dependencia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2"/>
    <x v="1"/>
    <x v="9"/>
    <s v="Mauricio Ayála Vásquez"/>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3"/>
    <x v="1"/>
    <x v="9"/>
    <s v="Mauricio Ayála Vásquez"/>
    <s v="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25 - contrato de prestacion de servicios profesionales"/>
    <n v="80111600"/>
    <n v="2"/>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4"/>
    <x v="1"/>
    <x v="9"/>
    <s v="Mauricio Ayála Vásquez"/>
    <s v="Prestación de servicios profesionales, con autonomía técnica y administrativa para brindar  soporte jurídico a la Subdirección Operativa, en la proyección de solicitudes dirigidas a autoridades administrativas, en la sustanciación de respuestas a PQR´s   y a requerimientos que efectúen los entes de control y autoridades, en el marco de los procesos y procedimientos a cargo de la dependencia. S.O."/>
    <s v="25 - contrato de prestacion de servicios profesionales"/>
    <n v="80111600"/>
    <n v="2"/>
    <n v="10"/>
    <n v="0"/>
    <n v="5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5"/>
    <x v="1"/>
    <x v="9"/>
    <s v="Mauricio Ayála Vásquez"/>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2"/>
    <n v="9"/>
    <n v="15"/>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6"/>
    <x v="1"/>
    <x v="9"/>
    <s v="Mauricio Ayála Vásquez"/>
    <s v="Prestar los servicios profesionales para apoyar a la Subdirección Operativa en el fortalecimiento de los procesos de formación y capacitación al personal operativo y administrativo, en articulación con la academia y demás áreas de la entidad S.O."/>
    <s v="25 - contrato de prestacion de servicios profesionales"/>
    <n v="80111600"/>
    <n v="2"/>
    <n v="10"/>
    <n v="0"/>
    <n v="7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7"/>
    <x v="1"/>
    <x v="9"/>
    <s v="Mauricio Ayála Vásquez"/>
    <s v="Prestación de servicios de apoyo a la gestión en las actividades documentales, administrativas y manejo de las herramientas de gestión que demanda la Subdirección Operativa S.O."/>
    <s v="26 - contrato de prestacion de servicios de apoyo a la gestion"/>
    <n v="80111600"/>
    <n v="2"/>
    <n v="10"/>
    <n v="0"/>
    <n v="30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38"/>
    <x v="1"/>
    <x v="9"/>
    <s v="Mauricio Ayála Vásquez"/>
    <s v="Adquisición de elementos y accesorios para el grupo especializado UARBO de la UAECOB."/>
    <s v="06 - contrato de compraventa"/>
    <s v="49141503;49141504;_x000a_49141505;49141506;_x000a_49141507"/>
    <n v="5"/>
    <n v="3"/>
    <n v="0"/>
    <n v="64057500"/>
    <x v="0"/>
    <s v="04 - contratación mínima cuantí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3"/>
    <s v="Si Secop "/>
  </r>
  <r>
    <n v="20250639"/>
    <x v="1"/>
    <x v="9"/>
    <s v="Mauricio Ayála Vásquez"/>
    <s v="Adquisición de elementos y accesorios para el grupo especializado BRAE de la UAECOB."/>
    <s v="06 - contrato de compraventa"/>
    <s v="41102600;_x000a_11162108;_x000a_45121522"/>
    <n v="5"/>
    <n v="3"/>
    <n v="0"/>
    <n v="64057500"/>
    <x v="0"/>
    <s v="04 - contratación mínima cuantía"/>
    <x v="11"/>
    <x v="0"/>
    <x v="1"/>
    <x v="1"/>
    <x v="10"/>
    <s v="Servicio de dotación y equipamento para el personal operativo"/>
    <s v="10-Servicio de dotación y equipamento para el personal operativo"/>
    <x v="6"/>
    <s v="Servicio de atención a emergencias y desastres"/>
    <s v="004_Servicio de atención a emergencias y desastres"/>
    <s v="10-Servicio de dotación y equipamento para el personal operativo 004_Servicio de atención a emergencias y desastres"/>
    <x v="13"/>
    <x v="13"/>
    <x v="3"/>
    <s v="Si Secop "/>
  </r>
  <r>
    <n v="20250640"/>
    <x v="1"/>
    <x v="9"/>
    <s v="Mauricio Ayála Vásquez"/>
    <s v="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25 - contrato de prestacion de servicios profesionales"/>
    <n v="80111600"/>
    <n v="3"/>
    <n v="10"/>
    <n v="0"/>
    <n v="6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41"/>
    <x v="1"/>
    <x v="11"/>
    <s v="Fatima Veronica Quintero Nuñez"/>
    <s v="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
    <s v="25 - contrato de prestacion de servicios profesionales"/>
    <s v="80111600;"/>
    <n v="2"/>
    <n v="10"/>
    <n v="0"/>
    <n v="50000000"/>
    <x v="0"/>
    <s v="09 - contratación directa"/>
    <x v="17"/>
    <x v="0"/>
    <x v="1"/>
    <x v="1"/>
    <x v="0"/>
    <s v="Infraestructura física, mantenimiento y dotación (Sedes construidas, mantenidas reforzadas)"/>
    <s v="08-Infraestructura física, mantenimiento y dotación (Sedes construidas, mantenidas reforzadas)"/>
    <x v="10"/>
    <s v="Estaciones de bomberos adecuadas"/>
    <s v="014_Estaciones de bomberos adecuadas"/>
    <s v="08-Infraestructura física, mantenimiento y dotación (Sedes construidas, mantenidas reforzadas) 014_Estaciones de bomberos adecuadas"/>
    <x v="15"/>
    <x v="15"/>
    <x v="17"/>
    <s v="Si Secop "/>
  </r>
  <r>
    <n v="20250642"/>
    <x v="0"/>
    <x v="11"/>
    <s v="Fatima Veronica Quintero Nuñez"/>
    <s v="Prestación de servicios de apoyo en las actividades asociadas a los procesos administrativo de la Subdirección de Gestión Corporativa- SGC"/>
    <s v="26 - contrato de prestacion de servicios de apoyo a la gestion"/>
    <s v="80111600;"/>
    <n v="2"/>
    <n v="9"/>
    <n v="0"/>
    <n v="34384905"/>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3"/>
    <x v="0"/>
    <x v="11"/>
    <s v="Fatima Veronica Quintero Nuñez"/>
    <s v="Prestar los servicios profesionales para el acompañamiento y seguimiento de los planes y proyectos del grupo del almacén de la Subdireccion de Gestión Corporativa-SGC"/>
    <s v="25 - contrato de prestacion de servicios profesionales"/>
    <s v="80111600;"/>
    <n v="2"/>
    <n v="9"/>
    <n v="0"/>
    <n v="58500000"/>
    <x v="0"/>
    <s v="09 - contratación directa"/>
    <x v="0"/>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4"/>
    <x v="0"/>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9"/>
    <n v="0"/>
    <n v="54291951"/>
    <x v="0"/>
    <s v="09 - contratación direct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5"/>
    <x v="0"/>
    <x v="11"/>
    <s v="Fatima Veronica Quintero Nuñez"/>
    <s v="Adquisición de elementos de menaje para la sede comando de la UAECOB-SGC"/>
    <s v="06 - contrato de compraventa"/>
    <s v="48101800;_x000a_48101915;_x000a_24112601;_x000a_49121509;"/>
    <n v="4"/>
    <n v="3"/>
    <n v="0"/>
    <n v="15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6"/>
    <x v="0"/>
    <x v="11"/>
    <s v="Fatima Veronica Quintero Nuñez"/>
    <s v="Suministro y mantenimiento de equipos de higienización, desodorización y aromatización para la sede admistratica de comando de la UAECOB "/>
    <s v="08 - contrato de suministro"/>
    <s v="76101501;_x000a_47131829;"/>
    <n v="4"/>
    <n v="3"/>
    <n v="0"/>
    <n v="2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7"/>
    <x v="0"/>
    <x v="11"/>
    <s v="Fatima Veronica Quintero Nuñez"/>
    <s v="Adquisición de banderas con astas para las 19 sedes UAECOB-SGC"/>
    <s v="06 - contrato de compraventa"/>
    <s v="55121715;"/>
    <n v="4"/>
    <n v="3"/>
    <n v="0"/>
    <n v="25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8"/>
    <x v="0"/>
    <x v="11"/>
    <s v="Fatima Veronica Quintero Nuñez"/>
    <s v="Suministros de parasoles, mesas y sillas para exteriores de las sedes UAECOB-SGC"/>
    <s v="08 - contrato de suministro"/>
    <s v="_x0009_53131600;"/>
    <n v="4"/>
    <n v="3"/>
    <n v="0"/>
    <n v="3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49"/>
    <x v="0"/>
    <x v="11"/>
    <s v="Fatima Veronica Quintero Nuñez"/>
    <s v="Adquisición de aviso de alto impacto visual para la recordación permanente del  edificio comando de la UAECOB-SGC"/>
    <s v="06 - contrato de compraventa"/>
    <s v="82121700;_x000a_82101500,;_x000a_82101600;_x000a_81161500;_x000a_13111203;_x000a_81112200;_x000a_55121700;"/>
    <n v="4"/>
    <n v="3"/>
    <n v="0"/>
    <n v="10000000"/>
    <x v="0"/>
    <s v="04 - contratación mínima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50"/>
    <x v="0"/>
    <x v="11"/>
    <s v="Fatima Veronica Quintero Nuñez"/>
    <s v="Suministro e instalación de electrodomésticos para las instalaciones de la UAE Cuerpo Oficial de Bomberos SGC"/>
    <s v="08 - contrato de suministro"/>
    <s v="48101516;_x000a_52141502;_x000a_52141501;_x000a_41103011;_x000a_40101604;"/>
    <n v="4"/>
    <n v="2"/>
    <n v="0"/>
    <n v="70000000"/>
    <x v="0"/>
    <s v="02 - selec. abrev. menor cuantía"/>
    <x v="18"/>
    <x v="0"/>
    <x v="0"/>
    <x v="0"/>
    <x v="0"/>
    <s v="Infraestructura física, mantenimiento y dotación (Sedes construidas, mantenidas reforzadas)"/>
    <s v="08-Infraestructura física, mantenimiento y dotación (Sedes construidas, mantenidas reforzadas)"/>
    <x v="0"/>
    <s v="Sedes mantenidas"/>
    <s v="016_Sedes mantenidas"/>
    <s v="08-Infraestructura física, mantenimiento y dotación (Sedes construidas, mantenidas reforzadas) 016_Sedes mantenidas"/>
    <x v="0"/>
    <x v="0"/>
    <x v="0"/>
    <s v="Si Secop "/>
  </r>
  <r>
    <n v="20250651"/>
    <x v="1"/>
    <x v="9"/>
    <s v="Mauricio Ayala Vasquez"/>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r>
    <n v="20250652"/>
    <x v="1"/>
    <x v="9"/>
    <s v="Mauricio Ayala Vasquez"/>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5000000"/>
    <x v="0"/>
    <s v="09 - contratación directa"/>
    <x v="11"/>
    <x v="0"/>
    <x v="1"/>
    <x v="1"/>
    <x v="9"/>
    <s v="Servicio de atención a incidentes y emergencias."/>
    <s v="04-Servicio de atención a incidentes y emergencias."/>
    <x v="6"/>
    <s v="Servicio de atención a emergencias y desastres"/>
    <s v="004_Servicio de atención a emergencias y desastres"/>
    <s v="04-Servicio de atención a incidentes y emergencias. 004_Servicio de atención a emergencias y desastres"/>
    <x v="12"/>
    <x v="12"/>
    <x v="0"/>
    <s v="Si Secop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963AAA1-FC90-4008-8240-0F5221E4B1DB}" name="TablaDinámica6" cacheId="5" applyNumberFormats="0" applyBorderFormats="0" applyFontFormats="0" applyPatternFormats="0" applyAlignmentFormats="0" applyWidthHeightFormats="1" dataCaption="Valores" updatedVersion="8" minRefreshableVersion="3" itemPrintTitles="1" createdVersion="8" indent="0" outline="1" outlineData="1" multipleFieldFilters="0" fieldListSortAscending="1">
  <location ref="A22:F45" firstHeaderRow="1" firstDataRow="1" firstDataCol="5" rowPageCount="1" colPageCount="1"/>
  <pivotFields count="28">
    <pivotField showAll="0"/>
    <pivotField axis="axisPage" multipleItemSelectionAllowed="1" showAll="0">
      <items count="4">
        <item h="1" x="2"/>
        <item x="0"/>
        <item h="1" x="1"/>
        <item t="default"/>
      </items>
    </pivotField>
    <pivotField axis="axisRow" outline="0" multipleItemSelectionAllowed="1" showAll="0" sortType="descending" defaultSubtotal="0">
      <items count="12">
        <item x="9"/>
        <item x="7"/>
        <item x="8"/>
        <item x="6"/>
        <item x="11"/>
        <item x="1"/>
        <item x="0"/>
        <item x="2"/>
        <item x="3"/>
        <item x="10"/>
        <item x="5"/>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axis="axisRow" outline="0" showAll="0" defaultSubtotal="0">
      <items count="3">
        <item x="1"/>
        <item x="2"/>
        <item x="0"/>
      </items>
      <extLst>
        <ext xmlns:x14="http://schemas.microsoft.com/office/spreadsheetml/2009/9/main" uri="{2946ED86-A175-432a-8AC1-64E0C546D7DE}">
          <x14:pivotField fillDownLabels="1"/>
        </ext>
      </extLst>
    </pivotField>
    <pivotField showAll="0"/>
    <pivotField outline="0" showAll="0" sortType="ascending" defaultSubtotal="0">
      <items count="21">
        <item x="4"/>
        <item x="1"/>
        <item x="2"/>
        <item x="3"/>
        <item x="15"/>
        <item x="13"/>
        <item x="14"/>
        <item x="16"/>
        <item x="18"/>
        <item x="0"/>
        <item x="19"/>
        <item x="8"/>
        <item x="11"/>
        <item x="12"/>
        <item x="7"/>
        <item x="9"/>
        <item x="10"/>
        <item x="17"/>
        <item x="20"/>
        <item x="5"/>
        <item x="6"/>
      </items>
      <extLst>
        <ext xmlns:x14="http://schemas.microsoft.com/office/spreadsheetml/2009/9/main" uri="{2946ED86-A175-432a-8AC1-64E0C546D7DE}">
          <x14:pivotField fillDownLabels="1"/>
        </ext>
      </extLst>
    </pivotField>
    <pivotField outline="0" showAll="0" defaultSubtotal="0">
      <items count="2">
        <item x="1"/>
        <item x="0"/>
      </items>
      <extLst>
        <ext xmlns:x14="http://schemas.microsoft.com/office/spreadsheetml/2009/9/main" uri="{2946ED86-A175-432a-8AC1-64E0C546D7DE}">
          <x14:pivotField fillDownLabels="1"/>
        </ext>
      </extLst>
    </pivotField>
    <pivotField outline="0" showAll="0" sortType="descending" defaultSubtotal="0">
      <items count="3">
        <item x="2"/>
        <item x="0"/>
        <item x="1"/>
      </items>
      <extLst>
        <ext xmlns:x14="http://schemas.microsoft.com/office/spreadsheetml/2009/9/main" uri="{2946ED86-A175-432a-8AC1-64E0C546D7DE}">
          <x14:pivotField fillDownLabels="1"/>
        </ext>
      </extLst>
    </pivotField>
    <pivotField outline="0" showAll="0" sortType="descending" defaultSubtotal="0">
      <items count="3">
        <item x="2"/>
        <item x="1"/>
        <item x="0"/>
      </items>
      <extLst>
        <ext xmlns:x14="http://schemas.microsoft.com/office/spreadsheetml/2009/9/main" uri="{2946ED86-A175-432a-8AC1-64E0C546D7DE}">
          <x14:pivotField fillDownLabels="1"/>
        </ext>
      </extLst>
    </pivotField>
    <pivotField outline="0" showAll="0" sortType="ascending" defaultSubtotal="0">
      <items count="11">
        <item x="9"/>
        <item x="6"/>
        <item x="8"/>
        <item x="2"/>
        <item x="0"/>
        <item x="4"/>
        <item x="10"/>
        <item x="7"/>
        <item x="5"/>
        <item x="1"/>
        <item x="3"/>
      </items>
      <extLst>
        <ext xmlns:x14="http://schemas.microsoft.com/office/spreadsheetml/2009/9/main" uri="{2946ED86-A175-432a-8AC1-64E0C546D7DE}">
          <x14:pivotField fillDownLabels="1"/>
        </ext>
      </extLst>
    </pivotField>
    <pivotField showAll="0"/>
    <pivotField showAll="0"/>
    <pivotField outline="0" showAll="0" defaultSubtotal="0">
      <items count="13">
        <item x="4"/>
        <item x="6"/>
        <item x="9"/>
        <item x="10"/>
        <item x="12"/>
        <item x="0"/>
        <item x="8"/>
        <item x="3"/>
        <item x="2"/>
        <item x="1"/>
        <item x="11"/>
        <item x="7"/>
        <item x="5"/>
      </items>
      <extLst>
        <ext xmlns:x14="http://schemas.microsoft.com/office/spreadsheetml/2009/9/main" uri="{2946ED86-A175-432a-8AC1-64E0C546D7DE}">
          <x14:pivotField fillDownLabels="1"/>
        </ext>
      </extLst>
    </pivotField>
    <pivotField showAll="0"/>
    <pivotField showAll="0"/>
    <pivotField showAll="0"/>
    <pivotField axis="axisRow" outline="0" showAll="0" defaultSubtotal="0">
      <items count="18">
        <item x="5"/>
        <item x="12"/>
        <item x="11"/>
        <item x="8"/>
        <item x="10"/>
        <item x="4"/>
        <item x="15"/>
        <item x="16"/>
        <item x="6"/>
        <item x="13"/>
        <item x="9"/>
        <item x="7"/>
        <item x="0"/>
        <item x="14"/>
        <item x="3"/>
        <item x="2"/>
        <item x="1"/>
        <item x="17"/>
      </items>
      <extLst>
        <ext xmlns:x14="http://schemas.microsoft.com/office/spreadsheetml/2009/9/main" uri="{2946ED86-A175-432a-8AC1-64E0C546D7DE}">
          <x14:pivotField fillDownLabels="1"/>
        </ext>
      </extLst>
    </pivotField>
    <pivotField axis="axisRow" showAll="0">
      <items count="19">
        <item x="5"/>
        <item x="12"/>
        <item x="11"/>
        <item x="8"/>
        <item x="10"/>
        <item x="4"/>
        <item x="15"/>
        <item x="16"/>
        <item x="0"/>
        <item x="6"/>
        <item x="13"/>
        <item x="9"/>
        <item x="14"/>
        <item x="7"/>
        <item x="3"/>
        <item x="2"/>
        <item x="1"/>
        <item x="17"/>
        <item t="default"/>
      </items>
    </pivotField>
    <pivotField axis="axisRow" outline="0" showAll="0" defaultSubtotal="0">
      <items count="24">
        <item x="21"/>
        <item x="3"/>
        <item x="5"/>
        <item x="20"/>
        <item x="6"/>
        <item x="1"/>
        <item x="11"/>
        <item x="13"/>
        <item x="8"/>
        <item x="0"/>
        <item x="4"/>
        <item x="10"/>
        <item x="7"/>
        <item x="12"/>
        <item x="14"/>
        <item x="15"/>
        <item n="O232020200883990 Otros servicios profesionales, técnicos y empresariales n.c.p. " x="17"/>
        <item x="16"/>
        <item x="18"/>
        <item x="19"/>
        <item x="2"/>
        <item x="22"/>
        <item x="23"/>
        <item x="9"/>
      </items>
      <extLst>
        <ext xmlns:x14="http://schemas.microsoft.com/office/spreadsheetml/2009/9/main" uri="{2946ED86-A175-432a-8AC1-64E0C546D7DE}">
          <x14:pivotField fillDownLabels="1"/>
        </ext>
      </extLst>
    </pivotField>
    <pivotField showAll="0"/>
  </pivotFields>
  <rowFields count="5">
    <field x="2"/>
    <field x="24"/>
    <field x="11"/>
    <field x="26"/>
    <field x="25"/>
  </rowFields>
  <rowItems count="23">
    <i>
      <x v="4"/>
      <x v="12"/>
      <x v="2"/>
      <x v="1"/>
      <x v="8"/>
    </i>
    <i r="3">
      <x v="3"/>
      <x v="8"/>
    </i>
    <i r="3">
      <x v="5"/>
      <x v="8"/>
    </i>
    <i r="3">
      <x v="9"/>
      <x v="8"/>
    </i>
    <i r="3">
      <x v="15"/>
      <x v="8"/>
    </i>
    <i r="3">
      <x v="17"/>
      <x v="8"/>
    </i>
    <i r="3">
      <x v="19"/>
      <x v="8"/>
    </i>
    <i>
      <x v="5"/>
      <x v="12"/>
      <x v="2"/>
      <x v="5"/>
      <x v="8"/>
    </i>
    <i r="3">
      <x v="9"/>
      <x v="8"/>
    </i>
    <i>
      <x v="6"/>
      <x v="12"/>
      <x v="2"/>
      <x v="9"/>
      <x v="8"/>
    </i>
    <i>
      <x v="7"/>
      <x v="12"/>
      <x v="2"/>
      <x v="5"/>
      <x v="8"/>
    </i>
    <i r="3">
      <x v="9"/>
      <x v="8"/>
    </i>
    <i>
      <x v="8"/>
      <x v="15"/>
      <x v="2"/>
      <x v="5"/>
      <x v="15"/>
    </i>
    <i r="3">
      <x v="9"/>
      <x v="15"/>
    </i>
    <i r="1">
      <x v="16"/>
      <x v="2"/>
      <x v="9"/>
      <x v="16"/>
    </i>
    <i>
      <x v="9"/>
      <x v="13"/>
      <x v="2"/>
      <x v="5"/>
      <x v="12"/>
    </i>
    <i r="3">
      <x v="6"/>
      <x v="12"/>
    </i>
    <i r="3">
      <x v="7"/>
      <x v="12"/>
    </i>
    <i r="3">
      <x v="9"/>
      <x v="12"/>
    </i>
    <i>
      <x v="10"/>
      <x v="14"/>
      <x v="2"/>
      <x v="9"/>
      <x v="14"/>
    </i>
    <i>
      <x v="11"/>
      <x v="12"/>
      <x v="2"/>
      <x v="5"/>
      <x v="8"/>
    </i>
    <i r="3">
      <x v="9"/>
      <x v="8"/>
    </i>
    <i t="grand">
      <x/>
    </i>
  </rowItems>
  <colItems count="1">
    <i/>
  </colItems>
  <pageFields count="1">
    <pageField fld="1" hier="-1"/>
  </pageFields>
  <dataFields count="1">
    <dataField name="Suma de Valor Programado" fld="10" baseField="0" baseItem="0" numFmtId="43"/>
  </dataFields>
  <formats count="76">
    <format dxfId="157">
      <pivotArea type="all" dataOnly="0" outline="0" fieldPosition="0"/>
    </format>
    <format dxfId="156">
      <pivotArea outline="0" collapsedLevelsAreSubtotals="1" fieldPosition="0"/>
    </format>
    <format dxfId="155">
      <pivotArea field="2" type="button" dataOnly="0" labelOnly="1" outline="0" axis="axisRow" fieldPosition="0"/>
    </format>
    <format dxfId="154">
      <pivotArea field="14" type="button" dataOnly="0" labelOnly="1" outline="0"/>
    </format>
    <format dxfId="153">
      <pivotArea field="15" type="button" dataOnly="0" labelOnly="1" outline="0"/>
    </format>
    <format dxfId="152">
      <pivotArea field="16" type="button" dataOnly="0" labelOnly="1" outline="0"/>
    </format>
    <format dxfId="151">
      <pivotArea field="17" type="button" dataOnly="0" labelOnly="1" outline="0"/>
    </format>
    <format dxfId="150">
      <pivotArea field="20" type="button" dataOnly="0" labelOnly="1" outline="0"/>
    </format>
    <format dxfId="149">
      <pivotArea field="24" type="button" dataOnly="0" labelOnly="1" outline="0" axis="axisRow" fieldPosition="1"/>
    </format>
    <format dxfId="148">
      <pivotArea field="25" type="button" dataOnly="0" labelOnly="1" outline="0" axis="axisRow" fieldPosition="4"/>
    </format>
    <format dxfId="147">
      <pivotArea dataOnly="0" labelOnly="1" grandRow="1" outline="0" fieldPosition="0"/>
    </format>
    <format dxfId="146">
      <pivotArea dataOnly="0" labelOnly="1" outline="0" axis="axisValues" fieldPosition="0"/>
    </format>
    <format dxfId="145">
      <pivotArea field="14" type="button" dataOnly="0" labelOnly="1" outline="0"/>
    </format>
    <format dxfId="144">
      <pivotArea dataOnly="0" labelOnly="1" outline="0" axis="axisValues" fieldPosition="0"/>
    </format>
    <format dxfId="143">
      <pivotArea field="2" type="button" dataOnly="0" labelOnly="1" outline="0" axis="axisRow" fieldPosition="0"/>
    </format>
    <format dxfId="142">
      <pivotArea field="14" type="button" dataOnly="0" labelOnly="1" outline="0"/>
    </format>
    <format dxfId="141">
      <pivotArea field="15" type="button" dataOnly="0" labelOnly="1" outline="0"/>
    </format>
    <format dxfId="140">
      <pivotArea field="16" type="button" dataOnly="0" labelOnly="1" outline="0"/>
    </format>
    <format dxfId="139">
      <pivotArea field="17" type="button" dataOnly="0" labelOnly="1" outline="0"/>
    </format>
    <format dxfId="138">
      <pivotArea field="20" type="button" dataOnly="0" labelOnly="1" outline="0"/>
    </format>
    <format dxfId="137">
      <pivotArea field="24" type="button" dataOnly="0" labelOnly="1" outline="0" axis="axisRow" fieldPosition="1"/>
    </format>
    <format dxfId="136">
      <pivotArea field="25" type="button" dataOnly="0" labelOnly="1" outline="0" axis="axisRow" fieldPosition="4"/>
    </format>
    <format dxfId="135">
      <pivotArea dataOnly="0" labelOnly="1" outline="0" axis="axisValues" fieldPosition="0"/>
    </format>
    <format dxfId="134">
      <pivotArea field="2" type="button" dataOnly="0" labelOnly="1" outline="0" axis="axisRow" fieldPosition="0"/>
    </format>
    <format dxfId="133">
      <pivotArea field="14" type="button" dataOnly="0" labelOnly="1" outline="0"/>
    </format>
    <format dxfId="132">
      <pivotArea field="15" type="button" dataOnly="0" labelOnly="1" outline="0"/>
    </format>
    <format dxfId="131">
      <pivotArea field="16" type="button" dataOnly="0" labelOnly="1" outline="0"/>
    </format>
    <format dxfId="130">
      <pivotArea field="17" type="button" dataOnly="0" labelOnly="1" outline="0"/>
    </format>
    <format dxfId="129">
      <pivotArea field="20" type="button" dataOnly="0" labelOnly="1" outline="0"/>
    </format>
    <format dxfId="128">
      <pivotArea field="24" type="button" dataOnly="0" labelOnly="1" outline="0" axis="axisRow" fieldPosition="1"/>
    </format>
    <format dxfId="127">
      <pivotArea field="25" type="button" dataOnly="0" labelOnly="1" outline="0" axis="axisRow" fieldPosition="4"/>
    </format>
    <format dxfId="126">
      <pivotArea dataOnly="0" labelOnly="1" outline="0" axis="axisValues" fieldPosition="0"/>
    </format>
    <format dxfId="125">
      <pivotArea field="2" type="button" dataOnly="0" labelOnly="1" outline="0" axis="axisRow" fieldPosition="0"/>
    </format>
    <format dxfId="124">
      <pivotArea field="14" type="button" dataOnly="0" labelOnly="1" outline="0"/>
    </format>
    <format dxfId="123">
      <pivotArea field="15" type="button" dataOnly="0" labelOnly="1" outline="0"/>
    </format>
    <format dxfId="122">
      <pivotArea field="16" type="button" dataOnly="0" labelOnly="1" outline="0"/>
    </format>
    <format dxfId="121">
      <pivotArea field="17" type="button" dataOnly="0" labelOnly="1" outline="0"/>
    </format>
    <format dxfId="120">
      <pivotArea field="20" type="button" dataOnly="0" labelOnly="1" outline="0"/>
    </format>
    <format dxfId="119">
      <pivotArea field="24" type="button" dataOnly="0" labelOnly="1" outline="0" axis="axisRow" fieldPosition="1"/>
    </format>
    <format dxfId="118">
      <pivotArea field="25" type="button" dataOnly="0" labelOnly="1" outline="0" axis="axisRow" fieldPosition="4"/>
    </format>
    <format dxfId="117">
      <pivotArea dataOnly="0" labelOnly="1" outline="0" axis="axisValues" fieldPosition="0"/>
    </format>
    <format dxfId="116">
      <pivotArea field="2" type="button" dataOnly="0" labelOnly="1" outline="0" axis="axisRow" fieldPosition="0"/>
    </format>
    <format dxfId="115">
      <pivotArea field="14" type="button" dataOnly="0" labelOnly="1" outline="0"/>
    </format>
    <format dxfId="114">
      <pivotArea field="15" type="button" dataOnly="0" labelOnly="1" outline="0"/>
    </format>
    <format dxfId="113">
      <pivotArea field="16" type="button" dataOnly="0" labelOnly="1" outline="0"/>
    </format>
    <format dxfId="112">
      <pivotArea field="17" type="button" dataOnly="0" labelOnly="1" outline="0"/>
    </format>
    <format dxfId="111">
      <pivotArea field="20" type="button" dataOnly="0" labelOnly="1" outline="0"/>
    </format>
    <format dxfId="110">
      <pivotArea field="24" type="button" dataOnly="0" labelOnly="1" outline="0" axis="axisRow" fieldPosition="1"/>
    </format>
    <format dxfId="109">
      <pivotArea dataOnly="0" labelOnly="1" outline="0" axis="axisValues" fieldPosition="0"/>
    </format>
    <format dxfId="108">
      <pivotArea field="24" type="button" dataOnly="0" labelOnly="1" outline="0" axis="axisRow" fieldPosition="1"/>
    </format>
    <format dxfId="107">
      <pivotArea field="2" type="button" dataOnly="0" labelOnly="1" outline="0" axis="axisRow" fieldPosition="0"/>
    </format>
    <format dxfId="106">
      <pivotArea field="14" type="button" dataOnly="0" labelOnly="1" outline="0"/>
    </format>
    <format dxfId="105">
      <pivotArea field="15" type="button" dataOnly="0" labelOnly="1" outline="0"/>
    </format>
    <format dxfId="104">
      <pivotArea field="16" type="button" dataOnly="0" labelOnly="1" outline="0"/>
    </format>
    <format dxfId="103">
      <pivotArea field="17" type="button" dataOnly="0" labelOnly="1" outline="0"/>
    </format>
    <format dxfId="102">
      <pivotArea field="20" type="button" dataOnly="0" labelOnly="1" outline="0"/>
    </format>
    <format dxfId="101">
      <pivotArea dataOnly="0" labelOnly="1" outline="0" axis="axisValues" fieldPosition="0"/>
    </format>
    <format dxfId="100">
      <pivotArea field="13" type="button" dataOnly="0" labelOnly="1" outline="0"/>
    </format>
    <format dxfId="99">
      <pivotArea field="2" type="button" dataOnly="0" labelOnly="1" outline="0" axis="axisRow" fieldPosition="0"/>
    </format>
    <format dxfId="98">
      <pivotArea field="13" type="button" dataOnly="0" labelOnly="1" outline="0"/>
    </format>
    <format dxfId="97">
      <pivotArea field="17" type="button" dataOnly="0" labelOnly="1" outline="0"/>
    </format>
    <format dxfId="96">
      <pivotArea field="20" type="button" dataOnly="0" labelOnly="1" outline="0"/>
    </format>
    <format dxfId="95">
      <pivotArea field="24" type="button" dataOnly="0" labelOnly="1" outline="0" axis="axisRow" fieldPosition="1"/>
    </format>
    <format dxfId="94">
      <pivotArea field="25" type="button" dataOnly="0" labelOnly="1" outline="0" axis="axisRow" fieldPosition="4"/>
    </format>
    <format dxfId="93">
      <pivotArea dataOnly="0" labelOnly="1" outline="0" axis="axisValues" fieldPosition="0"/>
    </format>
    <format dxfId="92">
      <pivotArea grandRow="1" outline="0" collapsedLevelsAreSubtotals="1" fieldPosition="0"/>
    </format>
    <format dxfId="91">
      <pivotArea dataOnly="0" labelOnly="1" grandRow="1" outline="0" fieldPosition="0"/>
    </format>
    <format dxfId="90">
      <pivotArea dataOnly="0" labelOnly="1" outline="0" fieldPosition="0">
        <references count="1">
          <reference field="1" count="0"/>
        </references>
      </pivotArea>
    </format>
    <format dxfId="89">
      <pivotArea field="13" type="button" dataOnly="0" labelOnly="1" outline="0"/>
    </format>
    <format dxfId="88">
      <pivotArea field="15" type="button" dataOnly="0" labelOnly="1" outline="0"/>
    </format>
    <format dxfId="87">
      <pivotArea field="11" type="button" dataOnly="0" labelOnly="1" outline="0" axis="axisRow" fieldPosition="2"/>
    </format>
    <format dxfId="86">
      <pivotArea field="26" type="button" dataOnly="0" labelOnly="1" outline="0" axis="axisRow" fieldPosition="3"/>
    </format>
    <format dxfId="85">
      <pivotArea outline="0" collapsedLevelsAreSubtotals="1" fieldPosition="0"/>
    </format>
    <format dxfId="84">
      <pivotArea dataOnly="0" labelOnly="1" outline="0" axis="axisValues" fieldPosition="0"/>
    </format>
    <format dxfId="83">
      <pivotArea field="25" type="button" dataOnly="0" labelOnly="1" outline="0" axis="axisRow" fieldPosition="4"/>
    </format>
    <format dxfId="82">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F1107BE-046A-4424-BA89-5118A472110C}" name="TablaDinámica2" cacheId="4"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B16" firstHeaderRow="1" firstDataRow="1" firstDataCol="1" rowPageCount="1" colPageCount="1"/>
  <pivotFields count="28">
    <pivotField showAll="0"/>
    <pivotField axis="axisPage" multipleItemSelectionAllowed="1" showAll="0">
      <items count="4">
        <item x="2"/>
        <item x="0"/>
        <item x="1"/>
        <item t="default"/>
      </items>
    </pivotField>
    <pivotField axis="axisRow" outline="0" showAll="0" defaultSubtotal="0">
      <items count="12">
        <item x="4"/>
        <item x="5"/>
        <item x="10"/>
        <item x="3"/>
        <item x="2"/>
        <item x="0"/>
        <item x="1"/>
        <item x="11"/>
        <item x="6"/>
        <item x="8"/>
        <item x="7"/>
        <item x="9"/>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outline="0" showAll="0" defaultSubtotal="0">
      <extLst>
        <ext xmlns:x14="http://schemas.microsoft.com/office/spreadsheetml/2009/9/main" uri="{2946ED86-A175-432a-8AC1-64E0C546D7DE}">
          <x14:pivotField fillDownLabels="1"/>
        </ext>
      </extLst>
    </pivotField>
    <pivotField showAll="0"/>
  </pivotFields>
  <rowFields count="1">
    <field x="2"/>
  </rowFields>
  <rowItems count="13">
    <i>
      <x/>
    </i>
    <i>
      <x v="1"/>
    </i>
    <i>
      <x v="2"/>
    </i>
    <i>
      <x v="3"/>
    </i>
    <i>
      <x v="4"/>
    </i>
    <i>
      <x v="5"/>
    </i>
    <i>
      <x v="6"/>
    </i>
    <i>
      <x v="7"/>
    </i>
    <i>
      <x v="8"/>
    </i>
    <i>
      <x v="9"/>
    </i>
    <i>
      <x v="10"/>
    </i>
    <i>
      <x v="11"/>
    </i>
    <i t="grand">
      <x/>
    </i>
  </rowItems>
  <colItems count="1">
    <i/>
  </colItems>
  <pageFields count="1">
    <pageField fld="1" hier="-1"/>
  </pageFields>
  <dataFields count="1">
    <dataField name="Suma de Valor Programado" fld="10" baseField="0" baseItem="0" numFmtId="165"/>
  </dataFields>
  <formats count="16">
    <format dxfId="173">
      <pivotArea type="all" dataOnly="0" outline="0" fieldPosition="0"/>
    </format>
    <format dxfId="172">
      <pivotArea outline="0" collapsedLevelsAreSubtotals="1" fieldPosition="0"/>
    </format>
    <format dxfId="171">
      <pivotArea field="2" type="button" dataOnly="0" labelOnly="1" outline="0" axis="axisRow" fieldPosition="0"/>
    </format>
    <format dxfId="170">
      <pivotArea dataOnly="0" labelOnly="1" fieldPosition="0">
        <references count="1">
          <reference field="2" count="0"/>
        </references>
      </pivotArea>
    </format>
    <format dxfId="169">
      <pivotArea dataOnly="0" labelOnly="1" grandRow="1" outline="0" fieldPosition="0"/>
    </format>
    <format dxfId="168">
      <pivotArea dataOnly="0" labelOnly="1" outline="0" axis="axisValues" fieldPosition="0"/>
    </format>
    <format dxfId="167">
      <pivotArea type="all" dataOnly="0" outline="0" fieldPosition="0"/>
    </format>
    <format dxfId="166">
      <pivotArea outline="0" collapsedLevelsAreSubtotals="1" fieldPosition="0"/>
    </format>
    <format dxfId="165">
      <pivotArea field="2" type="button" dataOnly="0" labelOnly="1" outline="0" axis="axisRow" fieldPosition="0"/>
    </format>
    <format dxfId="164">
      <pivotArea dataOnly="0" labelOnly="1" fieldPosition="0">
        <references count="1">
          <reference field="2" count="0"/>
        </references>
      </pivotArea>
    </format>
    <format dxfId="163">
      <pivotArea dataOnly="0" labelOnly="1" grandRow="1" outline="0" fieldPosition="0"/>
    </format>
    <format dxfId="162">
      <pivotArea dataOnly="0" labelOnly="1" outline="0" axis="axisValues" fieldPosition="0"/>
    </format>
    <format dxfId="161">
      <pivotArea dataOnly="0" labelOnly="1" fieldPosition="0">
        <references count="1">
          <reference field="2" count="1">
            <x v="4"/>
          </reference>
        </references>
      </pivotArea>
    </format>
    <format dxfId="160">
      <pivotArea outline="0" collapsedLevelsAreSubtotals="1" fieldPosition="0"/>
    </format>
    <format dxfId="159">
      <pivotArea dataOnly="0" labelOnly="1" outline="0" fieldPosition="0">
        <references count="1">
          <reference field="1" count="0"/>
        </references>
      </pivotArea>
    </format>
    <format dxfId="15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0:AC832" totalsRowShown="0" headerRowDxfId="81" dataDxfId="79" headerRowBorderDxfId="80" tableBorderDxfId="78" totalsRowBorderDxfId="77">
  <autoFilter ref="B10:AC832" xr:uid="{00000000-0009-0000-0100-000001000000}"/>
  <sortState xmlns:xlrd2="http://schemas.microsoft.com/office/spreadsheetml/2017/richdata2" ref="B11:AC832">
    <sortCondition ref="B10:B832"/>
  </sortState>
  <tableColumns count="28">
    <tableColumn id="1" xr3:uid="{00000000-0010-0000-0000-000001000000}" name="Id" dataDxfId="76" dataCellStyle="Millares"/>
    <tableColumn id="2" xr3:uid="{00000000-0010-0000-0000-000002000000}" name="Proyecto y nombre " dataDxfId="75" dataCellStyle="Millares"/>
    <tableColumn id="3" xr3:uid="{00000000-0010-0000-0000-000003000000}" name="Dependencia " dataDxfId="74"/>
    <tableColumn id="4" xr3:uid="{00000000-0010-0000-0000-000004000000}" name="Responsable" dataDxfId="73" dataCellStyle="Normal 2"/>
    <tableColumn id="5" xr3:uid="{00000000-0010-0000-0000-000005000000}" name="Objeto" dataDxfId="72"/>
    <tableColumn id="6" xr3:uid="{00000000-0010-0000-0000-000006000000}" name="Tipo de Contratación" dataDxfId="71"/>
    <tableColumn id="7" xr3:uid="{00000000-0010-0000-0000-000007000000}" name="Código UNSPSC (cada código separado por ;)" dataDxfId="70" dataCellStyle="Moneda"/>
    <tableColumn id="8" xr3:uid="{00000000-0010-0000-0000-000008000000}" name="Mes inicio de ejecución" dataDxfId="69"/>
    <tableColumn id="9" xr3:uid="{00000000-0010-0000-0000-000009000000}" name="plazo ejec Meses" dataDxfId="68"/>
    <tableColumn id="10" xr3:uid="{00000000-0010-0000-0000-00000A000000}" name="mas plazo ejec Días (si aplica)" dataDxfId="67" dataCellStyle="Millares"/>
    <tableColumn id="11" xr3:uid="{00000000-0010-0000-0000-00000B000000}" name="Valor Programado" dataDxfId="66" dataCellStyle="Millares"/>
    <tableColumn id="12" xr3:uid="{00000000-0010-0000-0000-00000C000000}" name="Fuente de Recursos" dataDxfId="65"/>
    <tableColumn id="13" xr3:uid="{00000000-0010-0000-0000-00000D000000}" name="Modalidad de Selección" dataDxfId="64" dataCellStyle="Millares"/>
    <tableColumn id="14" xr3:uid="{00000000-0010-0000-0000-00000E000000}" name="Meta Proyecto de Inversión" dataDxfId="63" dataCellStyle="Normal 2"/>
    <tableColumn id="15" xr3:uid="{00000000-0010-0000-0000-00000F000000}" name="Bogotá camina segura" dataDxfId="62" dataCellStyle="Normal 2">
      <calculatedColumnFormula>IFERROR(VLOOKUP(C11,TD!$B$32:$F$36,2,0)," ")</calculatedColumnFormula>
    </tableColumn>
    <tableColumn id="16" xr3:uid="{00000000-0010-0000-0000-000010000000}" name="Sector_Programa MGA" dataDxfId="61" dataCellStyle="Normal 2">
      <calculatedColumnFormula>IFERROR(VLOOKUP(C11,TD!$B$32:$F$36,3,0)," ")</calculatedColumnFormula>
    </tableColumn>
    <tableColumn id="17" xr3:uid="{00000000-0010-0000-0000-000011000000}" name="BPIN (AÑO+COD_PROYECTO)" dataDxfId="60" dataCellStyle="Normal 2">
      <calculatedColumnFormula>IFERROR(VLOOKUP(C11,TD!$B$32:$F$36,4,0)," ")</calculatedColumnFormula>
    </tableColumn>
    <tableColumn id="18" xr3:uid="{00000000-0010-0000-0000-000012000000}" name="Producto PMR" dataDxfId="59" dataCellStyle="Normal 2"/>
    <tableColumn id="19" xr3:uid="{00000000-0010-0000-0000-000013000000}" name="Descripción Producto PMR" dataDxfId="58" dataCellStyle="Normal 2"/>
    <tableColumn id="20" xr3:uid="{00000000-0010-0000-0000-000014000000}" name="PMR conca" dataDxfId="57" dataCellStyle="Normal 2">
      <calculatedColumnFormula>CONCATENATE(S11,"-",T11)</calculatedColumnFormula>
    </tableColumn>
    <tableColumn id="21" xr3:uid="{00000000-0010-0000-0000-000015000000}" name="Producto MGA" dataDxfId="56" dataCellStyle="Normal 2"/>
    <tableColumn id="22" xr3:uid="{00000000-0010-0000-0000-000016000000}" name="Descripción Producto MGA" dataDxfId="55" dataCellStyle="Normal 2"/>
    <tableColumn id="23" xr3:uid="{00000000-0010-0000-0000-000017000000}" name="concatenarMGA" dataDxfId="54" dataCellStyle="Normal 2">
      <calculatedColumnFormula>CONCATENATE(V11,"_",W11)</calculatedColumnFormula>
    </tableColumn>
    <tableColumn id="24" xr3:uid="{00000000-0010-0000-0000-000018000000}" name="PM MGA conca" dataDxfId="53" dataCellStyle="Normal 2">
      <calculatedColumnFormula>CONCATENATE(U11," ",X11)</calculatedColumnFormula>
    </tableColumn>
    <tableColumn id="25" xr3:uid="{00000000-0010-0000-0000-000019000000}" name="Código de proyecto de inversión, asociado a productos PMR y MGA" dataDxfId="52" dataCellStyle="Normal 2">
      <calculatedColumnFormula>CONCATENATE(P11,Q11,R11,S11,V11)</calculatedColumnFormula>
    </tableColumn>
    <tableColumn id="26" xr3:uid="{00000000-0010-0000-0000-00001A000000}" name="codigo PEP" dataDxfId="51" dataCellStyle="Normal 2">
      <calculatedColumnFormula>IFERROR(VLOOKUP(Y11,TD!$K$46:$L$64,2,0)," ")</calculatedColumnFormula>
    </tableColumn>
    <tableColumn id="27" xr3:uid="{00000000-0010-0000-0000-00001B000000}" name="POSPRE" dataDxfId="50" dataCellStyle="Millares"/>
    <tableColumn id="28" xr3:uid="{00000000-0010-0000-0000-00001C000000}" name="Si Secop / No Secop" dataDxfId="49" dataCellStyle="Normal 2"/>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I85"/>
  <sheetViews>
    <sheetView topLeftCell="A15" zoomScale="85" zoomScaleNormal="85" workbookViewId="0">
      <selection activeCell="B35" sqref="B35"/>
    </sheetView>
  </sheetViews>
  <sheetFormatPr baseColWidth="10" defaultRowHeight="14.5" x14ac:dyDescent="0.35"/>
  <cols>
    <col min="1" max="1" width="35.453125" bestFit="1" customWidth="1"/>
    <col min="2" max="2" width="29" style="105" customWidth="1"/>
    <col min="3" max="3" width="22.453125" customWidth="1"/>
    <col min="4" max="4" width="29.1796875" customWidth="1"/>
    <col min="5" max="5" width="27.81640625" style="120" customWidth="1"/>
    <col min="6" max="6" width="20.453125" style="104" customWidth="1"/>
    <col min="7" max="7" width="31.453125" customWidth="1"/>
    <col min="8" max="8" width="27.1796875" bestFit="1" customWidth="1"/>
    <col min="9" max="9" width="19" style="105" customWidth="1"/>
  </cols>
  <sheetData>
    <row r="1" spans="1:8" x14ac:dyDescent="0.35">
      <c r="A1" s="107" t="s">
        <v>296</v>
      </c>
      <c r="B1" s="111" t="s">
        <v>865</v>
      </c>
    </row>
    <row r="2" spans="1:8" x14ac:dyDescent="0.35">
      <c r="H2" s="105"/>
    </row>
    <row r="3" spans="1:8" x14ac:dyDescent="0.35">
      <c r="A3" s="107" t="s">
        <v>454</v>
      </c>
      <c r="B3" s="111" t="s">
        <v>456</v>
      </c>
      <c r="E3" s="10"/>
    </row>
    <row r="4" spans="1:8" x14ac:dyDescent="0.35">
      <c r="A4" s="108" t="s">
        <v>45</v>
      </c>
      <c r="B4" s="111">
        <v>1022000000</v>
      </c>
      <c r="E4" s="10"/>
      <c r="F4" s="116"/>
    </row>
    <row r="5" spans="1:8" x14ac:dyDescent="0.35">
      <c r="A5" s="108" t="s">
        <v>161</v>
      </c>
      <c r="B5" s="111">
        <v>1245000000</v>
      </c>
      <c r="E5" s="10"/>
      <c r="F5" s="116"/>
    </row>
    <row r="6" spans="1:8" x14ac:dyDescent="0.35">
      <c r="A6" s="108" t="s">
        <v>162</v>
      </c>
      <c r="B6" s="111">
        <v>7764920493</v>
      </c>
      <c r="E6" s="10"/>
      <c r="F6" s="116"/>
    </row>
    <row r="7" spans="1:8" x14ac:dyDescent="0.35">
      <c r="A7" s="108" t="s">
        <v>36</v>
      </c>
      <c r="B7" s="111">
        <v>1200000507</v>
      </c>
      <c r="E7" s="10"/>
      <c r="F7" s="116"/>
    </row>
    <row r="8" spans="1:8" x14ac:dyDescent="0.35">
      <c r="A8" s="109" t="s">
        <v>46</v>
      </c>
      <c r="B8" s="111">
        <v>710000000</v>
      </c>
      <c r="E8" s="10"/>
    </row>
    <row r="9" spans="1:8" x14ac:dyDescent="0.35">
      <c r="A9" s="108" t="s">
        <v>163</v>
      </c>
      <c r="B9" s="111">
        <v>310000000</v>
      </c>
      <c r="E9" s="10"/>
    </row>
    <row r="10" spans="1:8" x14ac:dyDescent="0.35">
      <c r="A10" s="108" t="s">
        <v>164</v>
      </c>
      <c r="B10" s="111">
        <v>2500000000</v>
      </c>
    </row>
    <row r="11" spans="1:8" x14ac:dyDescent="0.35">
      <c r="A11" s="108" t="s">
        <v>166</v>
      </c>
      <c r="B11" s="111">
        <v>29783117000</v>
      </c>
      <c r="E11" s="10"/>
    </row>
    <row r="12" spans="1:8" x14ac:dyDescent="0.35">
      <c r="A12" s="108" t="s">
        <v>165</v>
      </c>
      <c r="B12" s="111">
        <v>6163587000</v>
      </c>
      <c r="E12" s="10"/>
    </row>
    <row r="13" spans="1:8" x14ac:dyDescent="0.35">
      <c r="A13" s="108" t="s">
        <v>167</v>
      </c>
      <c r="B13" s="111">
        <v>4290000000</v>
      </c>
      <c r="E13" s="10"/>
    </row>
    <row r="14" spans="1:8" x14ac:dyDescent="0.35">
      <c r="A14" s="108" t="s">
        <v>168</v>
      </c>
      <c r="B14" s="111">
        <v>11258795000</v>
      </c>
      <c r="E14" s="10"/>
    </row>
    <row r="15" spans="1:8" x14ac:dyDescent="0.35">
      <c r="A15" s="108" t="s">
        <v>169</v>
      </c>
      <c r="B15" s="111">
        <v>16294426000</v>
      </c>
      <c r="E15" s="10"/>
    </row>
    <row r="16" spans="1:8" x14ac:dyDescent="0.35">
      <c r="A16" s="108" t="s">
        <v>455</v>
      </c>
      <c r="B16" s="111">
        <v>82541846000</v>
      </c>
      <c r="E16" s="10"/>
    </row>
    <row r="17" spans="1:9" x14ac:dyDescent="0.35">
      <c r="B17"/>
      <c r="E17" s="10"/>
    </row>
    <row r="18" spans="1:9" x14ac:dyDescent="0.35">
      <c r="B18" s="105">
        <f>+GETPIVOTDATA("Valor Programado",$A$3)-GETPIVOTDATA("Valor Programado",$A$3)</f>
        <v>0</v>
      </c>
      <c r="E18" s="10"/>
    </row>
    <row r="19" spans="1:9" x14ac:dyDescent="0.35">
      <c r="B19"/>
      <c r="E19" s="10"/>
    </row>
    <row r="20" spans="1:9" x14ac:dyDescent="0.35">
      <c r="A20" s="106" t="s">
        <v>296</v>
      </c>
      <c r="B20" s="110" t="s">
        <v>208</v>
      </c>
      <c r="E20" s="10"/>
    </row>
    <row r="21" spans="1:9" x14ac:dyDescent="0.35">
      <c r="E21" s="10"/>
    </row>
    <row r="22" spans="1:9" ht="43.5" x14ac:dyDescent="0.35">
      <c r="A22" s="147" t="s">
        <v>454</v>
      </c>
      <c r="B22" s="147" t="s">
        <v>206</v>
      </c>
      <c r="C22" s="147" t="s">
        <v>71</v>
      </c>
      <c r="D22" s="147" t="s">
        <v>84</v>
      </c>
      <c r="E22" s="146" t="s">
        <v>231</v>
      </c>
      <c r="F22" s="117" t="s">
        <v>456</v>
      </c>
      <c r="I22"/>
    </row>
    <row r="23" spans="1:9" x14ac:dyDescent="0.35">
      <c r="A23" s="3" t="s">
        <v>166</v>
      </c>
      <c r="B23" s="3" t="s">
        <v>316</v>
      </c>
      <c r="C23" s="3" t="s">
        <v>473</v>
      </c>
      <c r="D23" s="3" t="s">
        <v>87</v>
      </c>
      <c r="E23" s="3" t="s">
        <v>266</v>
      </c>
      <c r="F23" s="118">
        <v>350000000</v>
      </c>
      <c r="I23"/>
    </row>
    <row r="24" spans="1:9" x14ac:dyDescent="0.35">
      <c r="A24" s="3" t="s">
        <v>166</v>
      </c>
      <c r="B24" s="3" t="s">
        <v>316</v>
      </c>
      <c r="C24" s="3" t="s">
        <v>473</v>
      </c>
      <c r="D24" s="3" t="s">
        <v>102</v>
      </c>
      <c r="E24" s="3" t="s">
        <v>266</v>
      </c>
      <c r="F24" s="118">
        <v>415414817</v>
      </c>
      <c r="I24"/>
    </row>
    <row r="25" spans="1:9" x14ac:dyDescent="0.35">
      <c r="A25" s="3" t="s">
        <v>166</v>
      </c>
      <c r="B25" s="3" t="s">
        <v>316</v>
      </c>
      <c r="C25" s="3" t="s">
        <v>473</v>
      </c>
      <c r="D25" s="3" t="s">
        <v>120</v>
      </c>
      <c r="E25" s="3" t="s">
        <v>266</v>
      </c>
      <c r="F25" s="118">
        <v>369201058</v>
      </c>
      <c r="I25"/>
    </row>
    <row r="26" spans="1:9" x14ac:dyDescent="0.35">
      <c r="A26" s="3" t="s">
        <v>166</v>
      </c>
      <c r="B26" s="3" t="s">
        <v>316</v>
      </c>
      <c r="C26" s="3" t="s">
        <v>473</v>
      </c>
      <c r="D26" s="3" t="s">
        <v>138</v>
      </c>
      <c r="E26" s="3" t="s">
        <v>266</v>
      </c>
      <c r="F26" s="118">
        <v>5399975119</v>
      </c>
      <c r="I26"/>
    </row>
    <row r="27" spans="1:9" x14ac:dyDescent="0.35">
      <c r="A27" s="3" t="s">
        <v>166</v>
      </c>
      <c r="B27" s="3" t="s">
        <v>316</v>
      </c>
      <c r="C27" s="3" t="s">
        <v>473</v>
      </c>
      <c r="D27" s="3" t="s">
        <v>712</v>
      </c>
      <c r="E27" s="3" t="s">
        <v>266</v>
      </c>
      <c r="F27" s="118">
        <v>400000000</v>
      </c>
      <c r="I27"/>
    </row>
    <row r="28" spans="1:9" x14ac:dyDescent="0.35">
      <c r="A28" s="3" t="s">
        <v>166</v>
      </c>
      <c r="B28" s="3" t="s">
        <v>316</v>
      </c>
      <c r="C28" s="3" t="s">
        <v>473</v>
      </c>
      <c r="D28" s="3" t="s">
        <v>714</v>
      </c>
      <c r="E28" s="3" t="s">
        <v>266</v>
      </c>
      <c r="F28" s="118">
        <v>865061556</v>
      </c>
      <c r="I28"/>
    </row>
    <row r="29" spans="1:9" x14ac:dyDescent="0.35">
      <c r="A29" s="3" t="s">
        <v>166</v>
      </c>
      <c r="B29" s="3" t="s">
        <v>316</v>
      </c>
      <c r="C29" s="3" t="s">
        <v>473</v>
      </c>
      <c r="D29" s="3" t="s">
        <v>141</v>
      </c>
      <c r="E29" s="3" t="s">
        <v>266</v>
      </c>
      <c r="F29" s="118">
        <v>700000000</v>
      </c>
      <c r="I29"/>
    </row>
    <row r="30" spans="1:9" x14ac:dyDescent="0.35">
      <c r="A30" s="3" t="s">
        <v>164</v>
      </c>
      <c r="B30" s="3" t="s">
        <v>316</v>
      </c>
      <c r="C30" s="3" t="s">
        <v>473</v>
      </c>
      <c r="D30" s="3" t="s">
        <v>120</v>
      </c>
      <c r="E30" s="3" t="s">
        <v>266</v>
      </c>
      <c r="F30" s="118">
        <v>1403650000</v>
      </c>
      <c r="I30"/>
    </row>
    <row r="31" spans="1:9" x14ac:dyDescent="0.35">
      <c r="A31" s="3" t="s">
        <v>164</v>
      </c>
      <c r="B31" s="3" t="s">
        <v>316</v>
      </c>
      <c r="C31" s="3" t="s">
        <v>473</v>
      </c>
      <c r="D31" s="3" t="s">
        <v>138</v>
      </c>
      <c r="E31" s="3" t="s">
        <v>266</v>
      </c>
      <c r="F31" s="118">
        <v>971350000</v>
      </c>
      <c r="I31"/>
    </row>
    <row r="32" spans="1:9" x14ac:dyDescent="0.35">
      <c r="A32" s="3" t="s">
        <v>163</v>
      </c>
      <c r="B32" s="3" t="s">
        <v>316</v>
      </c>
      <c r="C32" s="3" t="s">
        <v>473</v>
      </c>
      <c r="D32" s="3" t="s">
        <v>138</v>
      </c>
      <c r="E32" s="3" t="s">
        <v>266</v>
      </c>
      <c r="F32" s="118">
        <v>294500000</v>
      </c>
      <c r="I32"/>
    </row>
    <row r="33" spans="1:9" x14ac:dyDescent="0.35">
      <c r="A33" s="3" t="s">
        <v>46</v>
      </c>
      <c r="B33" s="3" t="s">
        <v>316</v>
      </c>
      <c r="C33" s="3" t="s">
        <v>473</v>
      </c>
      <c r="D33" s="3" t="s">
        <v>120</v>
      </c>
      <c r="E33" s="3" t="s">
        <v>266</v>
      </c>
      <c r="F33" s="118">
        <v>639000000</v>
      </c>
      <c r="I33"/>
    </row>
    <row r="34" spans="1:9" x14ac:dyDescent="0.35">
      <c r="A34" s="3" t="s">
        <v>46</v>
      </c>
      <c r="B34" s="3" t="s">
        <v>316</v>
      </c>
      <c r="C34" s="3" t="s">
        <v>473</v>
      </c>
      <c r="D34" s="3" t="s">
        <v>138</v>
      </c>
      <c r="E34" s="3" t="s">
        <v>266</v>
      </c>
      <c r="F34" s="118">
        <v>35500000</v>
      </c>
      <c r="I34"/>
    </row>
    <row r="35" spans="1:9" x14ac:dyDescent="0.35">
      <c r="A35" s="3" t="s">
        <v>36</v>
      </c>
      <c r="B35" s="3" t="s">
        <v>310</v>
      </c>
      <c r="C35" s="3" t="s">
        <v>473</v>
      </c>
      <c r="D35" s="3" t="s">
        <v>120</v>
      </c>
      <c r="E35" s="3" t="s">
        <v>272</v>
      </c>
      <c r="F35" s="118">
        <v>45500000</v>
      </c>
      <c r="I35"/>
    </row>
    <row r="36" spans="1:9" x14ac:dyDescent="0.35">
      <c r="A36" s="3" t="s">
        <v>36</v>
      </c>
      <c r="B36" s="3" t="s">
        <v>310</v>
      </c>
      <c r="C36" s="3" t="s">
        <v>473</v>
      </c>
      <c r="D36" s="3" t="s">
        <v>138</v>
      </c>
      <c r="E36" s="3" t="s">
        <v>272</v>
      </c>
      <c r="F36" s="118">
        <v>784174522</v>
      </c>
      <c r="I36"/>
    </row>
    <row r="37" spans="1:9" x14ac:dyDescent="0.35">
      <c r="A37" s="3" t="s">
        <v>36</v>
      </c>
      <c r="B37" s="3" t="s">
        <v>309</v>
      </c>
      <c r="C37" s="3" t="s">
        <v>473</v>
      </c>
      <c r="D37" s="3" t="s">
        <v>138</v>
      </c>
      <c r="E37" s="3" t="s">
        <v>271</v>
      </c>
      <c r="F37" s="118">
        <v>510325960</v>
      </c>
      <c r="I37"/>
    </row>
    <row r="38" spans="1:9" x14ac:dyDescent="0.35">
      <c r="A38" s="3" t="s">
        <v>162</v>
      </c>
      <c r="B38" s="3" t="s">
        <v>312</v>
      </c>
      <c r="C38" s="3" t="s">
        <v>473</v>
      </c>
      <c r="D38" s="3" t="s">
        <v>120</v>
      </c>
      <c r="E38" s="3" t="s">
        <v>269</v>
      </c>
      <c r="F38" s="118">
        <v>392585000</v>
      </c>
      <c r="I38"/>
    </row>
    <row r="39" spans="1:9" x14ac:dyDescent="0.35">
      <c r="A39" s="3" t="s">
        <v>162</v>
      </c>
      <c r="B39" s="3" t="s">
        <v>312</v>
      </c>
      <c r="C39" s="3" t="s">
        <v>473</v>
      </c>
      <c r="D39" s="3" t="s">
        <v>125</v>
      </c>
      <c r="E39" s="3" t="s">
        <v>269</v>
      </c>
      <c r="F39" s="118">
        <v>2281000000</v>
      </c>
      <c r="I39"/>
    </row>
    <row r="40" spans="1:9" x14ac:dyDescent="0.35">
      <c r="A40" s="3" t="s">
        <v>162</v>
      </c>
      <c r="B40" s="3" t="s">
        <v>312</v>
      </c>
      <c r="C40" s="3" t="s">
        <v>473</v>
      </c>
      <c r="D40" s="3" t="s">
        <v>130</v>
      </c>
      <c r="E40" s="3" t="s">
        <v>269</v>
      </c>
      <c r="F40" s="118">
        <v>1881320568</v>
      </c>
      <c r="I40"/>
    </row>
    <row r="41" spans="1:9" x14ac:dyDescent="0.35">
      <c r="A41" s="3" t="s">
        <v>162</v>
      </c>
      <c r="B41" s="3" t="s">
        <v>312</v>
      </c>
      <c r="C41" s="3" t="s">
        <v>473</v>
      </c>
      <c r="D41" s="3" t="s">
        <v>138</v>
      </c>
      <c r="E41" s="3" t="s">
        <v>269</v>
      </c>
      <c r="F41" s="118">
        <v>1887492400</v>
      </c>
      <c r="I41"/>
    </row>
    <row r="42" spans="1:9" x14ac:dyDescent="0.35">
      <c r="A42" s="3" t="s">
        <v>161</v>
      </c>
      <c r="B42" s="3" t="s">
        <v>322</v>
      </c>
      <c r="C42" s="3" t="s">
        <v>473</v>
      </c>
      <c r="D42" s="3" t="s">
        <v>138</v>
      </c>
      <c r="E42" s="3" t="s">
        <v>273</v>
      </c>
      <c r="F42" s="118">
        <v>1245000000</v>
      </c>
      <c r="I42"/>
    </row>
    <row r="43" spans="1:9" x14ac:dyDescent="0.35">
      <c r="A43" s="3" t="s">
        <v>45</v>
      </c>
      <c r="B43" s="3" t="s">
        <v>316</v>
      </c>
      <c r="C43" s="3" t="s">
        <v>473</v>
      </c>
      <c r="D43" s="3" t="s">
        <v>120</v>
      </c>
      <c r="E43" s="3" t="s">
        <v>266</v>
      </c>
      <c r="F43" s="118">
        <v>167200000</v>
      </c>
      <c r="I43"/>
    </row>
    <row r="44" spans="1:9" x14ac:dyDescent="0.35">
      <c r="A44" s="3" t="s">
        <v>45</v>
      </c>
      <c r="B44" s="3" t="s">
        <v>316</v>
      </c>
      <c r="C44" s="3" t="s">
        <v>473</v>
      </c>
      <c r="D44" s="3" t="s">
        <v>138</v>
      </c>
      <c r="E44" s="3" t="s">
        <v>266</v>
      </c>
      <c r="F44" s="118">
        <v>854800000</v>
      </c>
      <c r="I44"/>
    </row>
    <row r="45" spans="1:9" x14ac:dyDescent="0.35">
      <c r="A45" s="121" t="s">
        <v>455</v>
      </c>
      <c r="B45" s="121"/>
      <c r="C45" s="121"/>
      <c r="D45" s="121"/>
      <c r="E45" s="121"/>
      <c r="F45" s="119">
        <v>21893051000</v>
      </c>
      <c r="I45"/>
    </row>
    <row r="46" spans="1:9" x14ac:dyDescent="0.35">
      <c r="B46"/>
      <c r="E46"/>
      <c r="F46"/>
      <c r="I46"/>
    </row>
    <row r="47" spans="1:9" x14ac:dyDescent="0.35">
      <c r="B47"/>
      <c r="E47"/>
      <c r="F47"/>
    </row>
    <row r="48" spans="1:9" x14ac:dyDescent="0.35">
      <c r="B48"/>
      <c r="E48"/>
      <c r="F48"/>
    </row>
    <row r="49" spans="2:6" x14ac:dyDescent="0.35">
      <c r="B49"/>
      <c r="E49"/>
      <c r="F49"/>
    </row>
    <row r="50" spans="2:6" x14ac:dyDescent="0.35">
      <c r="B50"/>
      <c r="E50"/>
      <c r="F50"/>
    </row>
    <row r="51" spans="2:6" x14ac:dyDescent="0.35">
      <c r="B51"/>
      <c r="E51"/>
      <c r="F51"/>
    </row>
    <row r="52" spans="2:6" x14ac:dyDescent="0.35">
      <c r="B52"/>
      <c r="E52"/>
      <c r="F52"/>
    </row>
    <row r="53" spans="2:6" x14ac:dyDescent="0.35">
      <c r="B53"/>
      <c r="E53"/>
      <c r="F53"/>
    </row>
    <row r="54" spans="2:6" x14ac:dyDescent="0.35">
      <c r="B54"/>
      <c r="E54"/>
      <c r="F54"/>
    </row>
    <row r="55" spans="2:6" x14ac:dyDescent="0.35">
      <c r="B55"/>
      <c r="E55"/>
      <c r="F55"/>
    </row>
    <row r="56" spans="2:6" x14ac:dyDescent="0.35">
      <c r="B56"/>
      <c r="E56"/>
      <c r="F56"/>
    </row>
    <row r="57" spans="2:6" x14ac:dyDescent="0.35">
      <c r="B57"/>
      <c r="E57"/>
      <c r="F57"/>
    </row>
    <row r="58" spans="2:6" x14ac:dyDescent="0.35">
      <c r="B58"/>
      <c r="E58"/>
      <c r="F58"/>
    </row>
    <row r="59" spans="2:6" x14ac:dyDescent="0.35">
      <c r="B59"/>
      <c r="E59"/>
      <c r="F59"/>
    </row>
    <row r="60" spans="2:6" x14ac:dyDescent="0.35">
      <c r="B60"/>
      <c r="E60"/>
      <c r="F60"/>
    </row>
    <row r="61" spans="2:6" x14ac:dyDescent="0.35">
      <c r="B61"/>
      <c r="E61"/>
      <c r="F61"/>
    </row>
    <row r="62" spans="2:6" x14ac:dyDescent="0.35">
      <c r="B62"/>
      <c r="E62"/>
      <c r="F62"/>
    </row>
    <row r="63" spans="2:6" x14ac:dyDescent="0.35">
      <c r="B63"/>
      <c r="E63"/>
      <c r="F63"/>
    </row>
    <row r="64" spans="2:6" x14ac:dyDescent="0.35">
      <c r="B64"/>
      <c r="E64"/>
      <c r="F64"/>
    </row>
    <row r="65" spans="2:6" x14ac:dyDescent="0.35">
      <c r="B65"/>
      <c r="E65"/>
      <c r="F65"/>
    </row>
    <row r="66" spans="2:6" x14ac:dyDescent="0.35">
      <c r="B66"/>
      <c r="E66"/>
      <c r="F66"/>
    </row>
    <row r="67" spans="2:6" x14ac:dyDescent="0.35">
      <c r="B67"/>
      <c r="E67"/>
      <c r="F67"/>
    </row>
    <row r="68" spans="2:6" x14ac:dyDescent="0.35">
      <c r="B68"/>
      <c r="E68"/>
      <c r="F68"/>
    </row>
    <row r="69" spans="2:6" x14ac:dyDescent="0.35">
      <c r="B69"/>
      <c r="E69"/>
      <c r="F69"/>
    </row>
    <row r="70" spans="2:6" x14ac:dyDescent="0.35">
      <c r="B70"/>
      <c r="E70"/>
      <c r="F70"/>
    </row>
    <row r="71" spans="2:6" x14ac:dyDescent="0.35">
      <c r="B71"/>
      <c r="E71"/>
      <c r="F71"/>
    </row>
    <row r="72" spans="2:6" x14ac:dyDescent="0.35">
      <c r="B72"/>
      <c r="E72"/>
      <c r="F72"/>
    </row>
    <row r="73" spans="2:6" x14ac:dyDescent="0.35">
      <c r="B73"/>
      <c r="E73"/>
      <c r="F73"/>
    </row>
    <row r="74" spans="2:6" x14ac:dyDescent="0.35">
      <c r="B74"/>
      <c r="E74"/>
      <c r="F74"/>
    </row>
    <row r="75" spans="2:6" x14ac:dyDescent="0.35">
      <c r="B75"/>
      <c r="E75"/>
      <c r="F75"/>
    </row>
    <row r="76" spans="2:6" x14ac:dyDescent="0.35">
      <c r="B76"/>
      <c r="E76"/>
      <c r="F76"/>
    </row>
    <row r="77" spans="2:6" x14ac:dyDescent="0.35">
      <c r="B77"/>
      <c r="E77"/>
      <c r="F77"/>
    </row>
    <row r="78" spans="2:6" x14ac:dyDescent="0.35">
      <c r="B78"/>
      <c r="E78"/>
      <c r="F78"/>
    </row>
    <row r="79" spans="2:6" x14ac:dyDescent="0.35">
      <c r="B79"/>
      <c r="E79"/>
      <c r="F79"/>
    </row>
    <row r="80" spans="2:6" x14ac:dyDescent="0.35">
      <c r="B80"/>
      <c r="E80"/>
      <c r="F80"/>
    </row>
    <row r="81" spans="2:6" x14ac:dyDescent="0.35">
      <c r="B81"/>
      <c r="E81"/>
      <c r="F81"/>
    </row>
    <row r="82" spans="2:6" x14ac:dyDescent="0.35">
      <c r="B82"/>
      <c r="E82"/>
      <c r="F82"/>
    </row>
    <row r="83" spans="2:6" x14ac:dyDescent="0.35">
      <c r="B83"/>
      <c r="E83"/>
      <c r="F83"/>
    </row>
    <row r="84" spans="2:6" x14ac:dyDescent="0.35">
      <c r="B84"/>
      <c r="E84"/>
      <c r="F84"/>
    </row>
    <row r="85" spans="2:6" x14ac:dyDescent="0.35">
      <c r="B85"/>
      <c r="E85"/>
      <c r="F8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AC844"/>
  <sheetViews>
    <sheetView showGridLines="0" tabSelected="1" topLeftCell="A600" zoomScale="55" zoomScaleNormal="55" zoomScaleSheetLayoutView="55" workbookViewId="0">
      <selection activeCell="B602" sqref="B602:AC602"/>
    </sheetView>
  </sheetViews>
  <sheetFormatPr baseColWidth="10" defaultColWidth="17.453125" defaultRowHeight="99" customHeight="1" x14ac:dyDescent="0.35"/>
  <cols>
    <col min="1" max="1" width="9.81640625" style="70" customWidth="1"/>
    <col min="2" max="2" width="17.453125" style="101" customWidth="1"/>
    <col min="3" max="3" width="29.7265625" style="69" customWidth="1"/>
    <col min="4" max="5" width="17.453125" style="70"/>
    <col min="6" max="6" width="54.36328125" style="70" customWidth="1"/>
    <col min="7" max="7" width="20.26953125" style="70" customWidth="1"/>
    <col min="8" max="8" width="15.6328125" style="70" customWidth="1"/>
    <col min="9" max="10" width="12.81640625" style="70" customWidth="1"/>
    <col min="11" max="11" width="12.81640625" style="71" customWidth="1"/>
    <col min="12" max="12" width="20.54296875" style="102" bestFit="1" customWidth="1"/>
    <col min="13" max="13" width="28.1796875" style="101" customWidth="1"/>
    <col min="14" max="14" width="22.81640625" style="70" customWidth="1"/>
    <col min="15" max="15" width="49.453125" style="102" customWidth="1"/>
    <col min="16" max="16" width="21.81640625" style="70" customWidth="1"/>
    <col min="17" max="18" width="17.453125" style="73"/>
    <col min="19" max="19" width="21" style="73" bestFit="1" customWidth="1"/>
    <col min="20" max="20" width="30.54296875" style="70" bestFit="1" customWidth="1"/>
    <col min="21" max="21" width="0" style="73" hidden="1" customWidth="1"/>
    <col min="22" max="22" width="20.7265625" style="125" customWidth="1"/>
    <col min="23" max="23" width="30.81640625" style="70" customWidth="1"/>
    <col min="24" max="24" width="0" style="73" hidden="1" customWidth="1"/>
    <col min="25" max="25" width="10.453125" style="125" hidden="1" customWidth="1"/>
    <col min="26" max="26" width="36.453125" style="125" customWidth="1"/>
    <col min="27" max="27" width="32.453125" style="73" customWidth="1"/>
    <col min="28" max="28" width="52.1796875" style="73" customWidth="1"/>
    <col min="29" max="29" width="27.1796875" style="102" customWidth="1"/>
    <col min="30" max="16384" width="17.453125" style="70"/>
  </cols>
  <sheetData>
    <row r="1" spans="2:29" ht="14" x14ac:dyDescent="0.35">
      <c r="B1" s="68"/>
      <c r="L1" s="72"/>
      <c r="M1" s="68"/>
      <c r="O1" s="72"/>
      <c r="AC1" s="72"/>
    </row>
    <row r="2" spans="2:29" s="28" customFormat="1" ht="14" x14ac:dyDescent="0.35">
      <c r="B2" s="221"/>
      <c r="C2" s="221"/>
      <c r="D2" s="27"/>
      <c r="F2" s="27"/>
      <c r="G2" s="27"/>
      <c r="H2" s="27"/>
      <c r="I2" s="27"/>
      <c r="J2" s="27"/>
      <c r="K2" s="75"/>
      <c r="L2" s="143"/>
      <c r="M2" s="112"/>
      <c r="N2" s="27"/>
      <c r="O2" s="27"/>
      <c r="P2" s="27"/>
      <c r="Q2" s="29"/>
      <c r="R2" s="29"/>
      <c r="S2" s="29"/>
      <c r="U2" s="30"/>
      <c r="V2" s="126"/>
      <c r="X2" s="30"/>
      <c r="Y2" s="126"/>
      <c r="Z2" s="126"/>
      <c r="AA2" s="30"/>
      <c r="AB2" s="30"/>
      <c r="AC2" s="27"/>
    </row>
    <row r="3" spans="2:29" s="28" customFormat="1" ht="17.5" x14ac:dyDescent="0.35">
      <c r="C3" s="27"/>
      <c r="D3" s="27"/>
      <c r="E3" s="222" t="s">
        <v>66</v>
      </c>
      <c r="F3" s="222"/>
      <c r="G3" s="222"/>
      <c r="H3" s="222"/>
      <c r="I3" s="222"/>
      <c r="J3" s="222"/>
      <c r="K3" s="222"/>
      <c r="L3" s="222"/>
      <c r="M3" s="113"/>
      <c r="N3" s="66" t="s">
        <v>446</v>
      </c>
      <c r="O3" s="31" t="s">
        <v>67</v>
      </c>
      <c r="P3" s="32">
        <v>2025</v>
      </c>
      <c r="Q3" s="30"/>
      <c r="R3" s="124"/>
      <c r="S3" s="29"/>
      <c r="T3"/>
      <c r="U3" s="104"/>
      <c r="V3" s="126"/>
      <c r="X3" s="30"/>
      <c r="Y3" s="126"/>
      <c r="Z3" s="126"/>
      <c r="AA3" s="30"/>
      <c r="AB3" s="30"/>
    </row>
    <row r="4" spans="2:29" s="28" customFormat="1" ht="17.5" x14ac:dyDescent="0.35">
      <c r="C4" s="27"/>
      <c r="D4" s="27"/>
      <c r="E4" s="222" t="s">
        <v>464</v>
      </c>
      <c r="F4" s="222"/>
      <c r="G4" s="222"/>
      <c r="H4" s="222"/>
      <c r="I4" s="222"/>
      <c r="J4" s="222"/>
      <c r="K4" s="222"/>
      <c r="L4" s="222"/>
      <c r="M4" s="220" t="s">
        <v>299</v>
      </c>
      <c r="N4" s="220"/>
      <c r="O4" s="220"/>
      <c r="P4" s="100">
        <f>IFERROR(SUMIF($C$11:$C$832,"8126-Fortalecimiento institucional de la UAECOB para un gobierno confiable Bogotá D.C.",$L$11:$L$832),0)</f>
        <v>21893051000</v>
      </c>
      <c r="Q4" s="30"/>
      <c r="R4" s="74" t="s">
        <v>302</v>
      </c>
      <c r="S4" s="99">
        <f>IFERROR(SUMIF($C$11:$C$832,"131- Funcionamiento",$L$11:$L$832),0)</f>
        <v>14896031000</v>
      </c>
      <c r="T4" s="104">
        <v>21893051000</v>
      </c>
      <c r="U4" s="104"/>
      <c r="V4" s="157">
        <f>P4-T4</f>
        <v>0</v>
      </c>
      <c r="X4" s="30"/>
      <c r="Y4" s="126"/>
      <c r="Z4" s="126"/>
      <c r="AA4" s="30"/>
      <c r="AB4" s="30"/>
    </row>
    <row r="5" spans="2:29" s="28" customFormat="1" ht="17.5" x14ac:dyDescent="0.35">
      <c r="B5" s="34"/>
      <c r="C5" s="35"/>
      <c r="D5" s="35"/>
      <c r="E5" s="222" t="s">
        <v>930</v>
      </c>
      <c r="F5" s="222"/>
      <c r="G5" s="222"/>
      <c r="H5" s="222"/>
      <c r="I5" s="222"/>
      <c r="J5" s="222"/>
      <c r="K5" s="222"/>
      <c r="L5" s="222"/>
      <c r="M5" s="220" t="s">
        <v>300</v>
      </c>
      <c r="N5" s="220"/>
      <c r="O5" s="220"/>
      <c r="P5" s="100">
        <f>IFERROR(SUMIF($C$11:$C$832,"8173-Modernización de las capacidades del Cuerpo Oficial de Bomberos Bogotá D.C.",$L$11:$L$832),0)</f>
        <v>46234376000</v>
      </c>
      <c r="Q5" s="30"/>
      <c r="R5" s="30"/>
      <c r="S5" s="33"/>
      <c r="T5" s="104">
        <v>46234376000</v>
      </c>
      <c r="U5" s="104"/>
      <c r="V5" s="157">
        <f>P5-T5</f>
        <v>0</v>
      </c>
      <c r="X5" s="30"/>
      <c r="Y5" s="126"/>
      <c r="Z5" s="126"/>
      <c r="AA5" s="30"/>
      <c r="AB5" s="30"/>
    </row>
    <row r="6" spans="2:29" s="28" customFormat="1" ht="14.5" x14ac:dyDescent="0.35">
      <c r="B6" s="34"/>
      <c r="C6" s="35"/>
      <c r="D6" s="35"/>
      <c r="E6" s="36"/>
      <c r="F6" s="35"/>
      <c r="G6" s="35"/>
      <c r="H6" s="35"/>
      <c r="I6" s="35"/>
      <c r="J6" s="37"/>
      <c r="K6" s="38"/>
      <c r="L6" s="144"/>
      <c r="M6" s="220" t="s">
        <v>301</v>
      </c>
      <c r="N6" s="220"/>
      <c r="O6" s="220"/>
      <c r="P6" s="35">
        <f>+P4+P5</f>
        <v>68127427000</v>
      </c>
      <c r="Q6" s="30"/>
      <c r="R6" s="74" t="s">
        <v>303</v>
      </c>
      <c r="S6" s="39">
        <f>+S4+P6</f>
        <v>83023458000</v>
      </c>
      <c r="T6" s="104"/>
      <c r="U6" s="104"/>
      <c r="V6" s="126"/>
      <c r="X6" s="30"/>
      <c r="Y6" s="126"/>
      <c r="Z6" s="126"/>
      <c r="AA6" s="30"/>
      <c r="AB6" s="30"/>
    </row>
    <row r="7" spans="2:29" s="28" customFormat="1" ht="14" x14ac:dyDescent="0.35">
      <c r="B7" s="34"/>
      <c r="C7" s="35"/>
      <c r="D7" s="35"/>
      <c r="E7" s="36"/>
      <c r="F7" s="35"/>
      <c r="G7" s="35"/>
      <c r="H7" s="54"/>
      <c r="I7" s="35"/>
      <c r="J7" s="37"/>
      <c r="K7" s="38"/>
      <c r="L7" s="144"/>
      <c r="M7" s="114"/>
      <c r="O7" s="67" t="s">
        <v>78</v>
      </c>
      <c r="P7" s="103">
        <v>45727</v>
      </c>
      <c r="Q7" s="42"/>
      <c r="R7" s="65"/>
      <c r="S7" s="29"/>
      <c r="T7" s="122"/>
      <c r="U7" s="30"/>
      <c r="V7" s="126"/>
      <c r="X7" s="30"/>
      <c r="Y7" s="126"/>
      <c r="Z7" s="126"/>
      <c r="AA7" s="30"/>
      <c r="AB7" s="30"/>
    </row>
    <row r="8" spans="2:29" s="28" customFormat="1" ht="14" x14ac:dyDescent="0.35">
      <c r="B8" s="34"/>
      <c r="C8" s="35"/>
      <c r="D8" s="35"/>
      <c r="E8" s="36"/>
      <c r="F8" s="35"/>
      <c r="G8" s="35"/>
      <c r="H8" s="54"/>
      <c r="I8" s="35"/>
      <c r="J8" s="37"/>
      <c r="K8" s="38"/>
      <c r="L8" s="144"/>
      <c r="M8" s="114"/>
      <c r="N8" s="122"/>
      <c r="P8" s="40"/>
      <c r="Q8" s="41"/>
      <c r="R8" s="41"/>
      <c r="S8" s="29"/>
      <c r="U8" s="30"/>
      <c r="V8" s="126"/>
      <c r="X8" s="30"/>
      <c r="Y8" s="126"/>
      <c r="Z8" s="126"/>
      <c r="AA8" s="30"/>
      <c r="AB8" s="30"/>
      <c r="AC8" s="35"/>
    </row>
    <row r="9" spans="2:29" s="28" customFormat="1" ht="14" x14ac:dyDescent="0.35">
      <c r="B9" s="34"/>
      <c r="C9" s="43"/>
      <c r="D9" s="44"/>
      <c r="E9" s="26"/>
      <c r="I9" s="45"/>
      <c r="J9" s="46"/>
      <c r="K9" s="76"/>
      <c r="L9" s="145"/>
      <c r="M9" s="115"/>
      <c r="P9" s="47"/>
      <c r="Q9" s="48"/>
      <c r="R9" s="48"/>
      <c r="S9" s="48"/>
      <c r="T9" s="49"/>
      <c r="U9" s="30"/>
      <c r="V9" s="126"/>
      <c r="X9" s="30"/>
      <c r="Y9" s="126"/>
      <c r="Z9" s="126"/>
      <c r="AA9" s="30"/>
      <c r="AB9" s="30"/>
    </row>
    <row r="10" spans="2:29" s="142" customFormat="1" ht="99" customHeight="1" x14ac:dyDescent="0.35">
      <c r="B10" s="131" t="s">
        <v>68</v>
      </c>
      <c r="C10" s="132" t="s">
        <v>296</v>
      </c>
      <c r="D10" s="133" t="s">
        <v>74</v>
      </c>
      <c r="E10" s="134" t="s">
        <v>75</v>
      </c>
      <c r="F10" s="135" t="s">
        <v>69</v>
      </c>
      <c r="G10" s="135" t="s">
        <v>82</v>
      </c>
      <c r="H10" s="134" t="s">
        <v>1</v>
      </c>
      <c r="I10" s="136" t="s">
        <v>72</v>
      </c>
      <c r="J10" s="136" t="s">
        <v>73</v>
      </c>
      <c r="K10" s="137" t="s">
        <v>368</v>
      </c>
      <c r="L10" s="133" t="s">
        <v>70</v>
      </c>
      <c r="M10" s="138" t="s">
        <v>71</v>
      </c>
      <c r="N10" s="137" t="s">
        <v>76</v>
      </c>
      <c r="O10" s="134" t="s">
        <v>2</v>
      </c>
      <c r="P10" s="139" t="s">
        <v>195</v>
      </c>
      <c r="Q10" s="139" t="s">
        <v>196</v>
      </c>
      <c r="R10" s="139" t="s">
        <v>174</v>
      </c>
      <c r="S10" s="132" t="s">
        <v>79</v>
      </c>
      <c r="T10" s="139" t="s">
        <v>80</v>
      </c>
      <c r="U10" s="140" t="s">
        <v>298</v>
      </c>
      <c r="V10" s="132" t="s">
        <v>81</v>
      </c>
      <c r="W10" s="139" t="s">
        <v>244</v>
      </c>
      <c r="X10" s="140" t="s">
        <v>275</v>
      </c>
      <c r="Y10" s="140" t="s">
        <v>297</v>
      </c>
      <c r="Z10" s="139" t="s">
        <v>206</v>
      </c>
      <c r="AA10" s="139" t="s">
        <v>231</v>
      </c>
      <c r="AB10" s="137" t="s">
        <v>84</v>
      </c>
      <c r="AC10" s="141" t="s">
        <v>77</v>
      </c>
    </row>
    <row r="11" spans="2:29" s="28" customFormat="1" ht="99" customHeight="1" x14ac:dyDescent="0.35">
      <c r="B11" s="77">
        <v>20250001</v>
      </c>
      <c r="C11" s="50" t="s">
        <v>208</v>
      </c>
      <c r="D11" s="158" t="s">
        <v>163</v>
      </c>
      <c r="E11" s="51" t="s">
        <v>350</v>
      </c>
      <c r="F11" s="158" t="s">
        <v>351</v>
      </c>
      <c r="G11" s="158" t="s">
        <v>155</v>
      </c>
      <c r="H11" s="97">
        <v>80111600</v>
      </c>
      <c r="I11" s="159" t="s">
        <v>459</v>
      </c>
      <c r="J11" s="159">
        <v>10</v>
      </c>
      <c r="K11" s="52">
        <v>0</v>
      </c>
      <c r="L11" s="153">
        <v>76650001</v>
      </c>
      <c r="M11" s="158" t="s">
        <v>473</v>
      </c>
      <c r="N11" s="53" t="s">
        <v>113</v>
      </c>
      <c r="O11" s="51" t="s">
        <v>219</v>
      </c>
      <c r="P11" s="160" t="str">
        <f>IFERROR(VLOOKUP(C11,TD!$B$32:$F$36,2,0)," ")</f>
        <v>O230117</v>
      </c>
      <c r="Q11" s="160" t="str">
        <f>IFERROR(VLOOKUP(C11,TD!$B$32:$F$36,3,0)," ")</f>
        <v>4599</v>
      </c>
      <c r="R11" s="160">
        <f>IFERROR(VLOOKUP(C11,TD!$B$32:$F$36,4,0)," ")</f>
        <v>20240207</v>
      </c>
      <c r="S11" s="51" t="s">
        <v>185</v>
      </c>
      <c r="T11" s="160" t="str">
        <f>IFERROR(VLOOKUP(S11,TD!$J$33:$K$43,2,0)," ")</f>
        <v>Infraestructura física, mantenimiento y dotación (Sedes construidas, mantenidas reforzadas)</v>
      </c>
      <c r="U11" s="161" t="str">
        <f>CONCATENATE(S11,"-",T11)</f>
        <v>08-Infraestructura física, mantenimiento y dotación (Sedes construidas, mantenidas reforzadas)</v>
      </c>
      <c r="V11" s="51" t="s">
        <v>238</v>
      </c>
      <c r="W11" s="160" t="str">
        <f>IFERROR(VLOOKUP(V11,TD!$N$33:$O$45,2,0)," ")</f>
        <v>Sedes mantenidas</v>
      </c>
      <c r="X11" s="161" t="str">
        <f>CONCATENATE(V11,"_",W11)</f>
        <v>016_Sedes mantenidas</v>
      </c>
      <c r="Y11" s="161" t="str">
        <f>CONCATENATE(U11," ",X11)</f>
        <v>08-Infraestructura física, mantenimiento y dotación (Sedes construidas, mantenidas reforzadas) 016_Sedes mantenidas</v>
      </c>
      <c r="Z11" s="160" t="str">
        <f>CONCATENATE(P11,Q11,R11,S11,V11)</f>
        <v>O23011745992024020708016</v>
      </c>
      <c r="AA11" s="160" t="str">
        <f>IFERROR(VLOOKUP(Y11,TD!$K$46:$L$64,2,0)," ")</f>
        <v>PM/0131/0108/45990160207</v>
      </c>
      <c r="AB11" s="53" t="s">
        <v>138</v>
      </c>
      <c r="AC11" s="162" t="s">
        <v>204</v>
      </c>
    </row>
    <row r="12" spans="2:29" s="28" customFormat="1" ht="99" customHeight="1" x14ac:dyDescent="0.35">
      <c r="B12" s="77">
        <v>20250002</v>
      </c>
      <c r="C12" s="50" t="s">
        <v>208</v>
      </c>
      <c r="D12" s="158" t="s">
        <v>163</v>
      </c>
      <c r="E12" s="51" t="s">
        <v>350</v>
      </c>
      <c r="F12" s="158" t="s">
        <v>352</v>
      </c>
      <c r="G12" s="158" t="s">
        <v>155</v>
      </c>
      <c r="H12" s="97">
        <v>80111600</v>
      </c>
      <c r="I12" s="159">
        <v>1</v>
      </c>
      <c r="J12" s="159">
        <v>10</v>
      </c>
      <c r="K12" s="52">
        <v>0</v>
      </c>
      <c r="L12" s="153">
        <v>76650001</v>
      </c>
      <c r="M12" s="158" t="s">
        <v>473</v>
      </c>
      <c r="N12" s="53" t="s">
        <v>113</v>
      </c>
      <c r="O12" s="51" t="s">
        <v>219</v>
      </c>
      <c r="P12" s="160" t="str">
        <f>IFERROR(VLOOKUP(C12,TD!$B$32:$F$36,2,0)," ")</f>
        <v>O230117</v>
      </c>
      <c r="Q12" s="160" t="str">
        <f>IFERROR(VLOOKUP(C12,TD!$B$32:$F$36,3,0)," ")</f>
        <v>4599</v>
      </c>
      <c r="R12" s="160">
        <f>IFERROR(VLOOKUP(C12,TD!$B$32:$F$36,4,0)," ")</f>
        <v>20240207</v>
      </c>
      <c r="S12" s="51" t="s">
        <v>185</v>
      </c>
      <c r="T12" s="160" t="str">
        <f>IFERROR(VLOOKUP(S12,TD!$J$33:$K$43,2,0)," ")</f>
        <v>Infraestructura física, mantenimiento y dotación (Sedes construidas, mantenidas reforzadas)</v>
      </c>
      <c r="U12" s="161" t="str">
        <f>CONCATENATE(S12,"-",T12)</f>
        <v>08-Infraestructura física, mantenimiento y dotación (Sedes construidas, mantenidas reforzadas)</v>
      </c>
      <c r="V12" s="51" t="s">
        <v>238</v>
      </c>
      <c r="W12" s="160" t="str">
        <f>IFERROR(VLOOKUP(V12,TD!$N$33:$O$45,2,0)," ")</f>
        <v>Sedes mantenidas</v>
      </c>
      <c r="X12" s="161" t="str">
        <f>CONCATENATE(V12,"_",W12)</f>
        <v>016_Sedes mantenidas</v>
      </c>
      <c r="Y12" s="161" t="str">
        <f>CONCATENATE(U12," ",X12)</f>
        <v>08-Infraestructura física, mantenimiento y dotación (Sedes construidas, mantenidas reforzadas) 016_Sedes mantenidas</v>
      </c>
      <c r="Z12" s="160" t="str">
        <f>CONCATENATE(P12,Q12,R12,S12,V12)</f>
        <v>O23011745992024020708016</v>
      </c>
      <c r="AA12" s="160" t="str">
        <f>IFERROR(VLOOKUP(Y12,TD!$K$46:$L$64,2,0)," ")</f>
        <v>PM/0131/0108/45990160207</v>
      </c>
      <c r="AB12" s="53" t="s">
        <v>138</v>
      </c>
      <c r="AC12" s="162" t="s">
        <v>204</v>
      </c>
    </row>
    <row r="13" spans="2:29" s="28" customFormat="1" ht="99" customHeight="1" x14ac:dyDescent="0.35">
      <c r="B13" s="77">
        <v>20250003</v>
      </c>
      <c r="C13" s="50" t="s">
        <v>208</v>
      </c>
      <c r="D13" s="158" t="s">
        <v>163</v>
      </c>
      <c r="E13" s="51" t="s">
        <v>350</v>
      </c>
      <c r="F13" s="158" t="s">
        <v>353</v>
      </c>
      <c r="G13" s="158" t="s">
        <v>155</v>
      </c>
      <c r="H13" s="97">
        <v>80111600</v>
      </c>
      <c r="I13" s="159">
        <v>1</v>
      </c>
      <c r="J13" s="159">
        <v>9</v>
      </c>
      <c r="K13" s="52">
        <v>12</v>
      </c>
      <c r="L13" s="153">
        <v>56674097</v>
      </c>
      <c r="M13" s="158" t="s">
        <v>473</v>
      </c>
      <c r="N13" s="53" t="s">
        <v>113</v>
      </c>
      <c r="O13" s="51" t="s">
        <v>219</v>
      </c>
      <c r="P13" s="160" t="str">
        <f>IFERROR(VLOOKUP(C13,TD!$B$32:$F$36,2,0)," ")</f>
        <v>O230117</v>
      </c>
      <c r="Q13" s="160" t="str">
        <f>IFERROR(VLOOKUP(C13,TD!$B$32:$F$36,3,0)," ")</f>
        <v>4599</v>
      </c>
      <c r="R13" s="160">
        <f>IFERROR(VLOOKUP(C13,TD!$B$32:$F$36,4,0)," ")</f>
        <v>20240207</v>
      </c>
      <c r="S13" s="51" t="s">
        <v>185</v>
      </c>
      <c r="T13" s="160" t="str">
        <f>IFERROR(VLOOKUP(S13,TD!$J$33:$K$43,2,0)," ")</f>
        <v>Infraestructura física, mantenimiento y dotación (Sedes construidas, mantenidas reforzadas)</v>
      </c>
      <c r="U13" s="161" t="str">
        <f>CONCATENATE(S13,"-",T13)</f>
        <v>08-Infraestructura física, mantenimiento y dotación (Sedes construidas, mantenidas reforzadas)</v>
      </c>
      <c r="V13" s="51" t="s">
        <v>238</v>
      </c>
      <c r="W13" s="160" t="str">
        <f>IFERROR(VLOOKUP(V13,TD!$N$33:$O$45,2,0)," ")</f>
        <v>Sedes mantenidas</v>
      </c>
      <c r="X13" s="161" t="str">
        <f>CONCATENATE(V13,"_",W13)</f>
        <v>016_Sedes mantenidas</v>
      </c>
      <c r="Y13" s="161" t="str">
        <f>CONCATENATE(U13," ",X13)</f>
        <v>08-Infraestructura física, mantenimiento y dotación (Sedes construidas, mantenidas reforzadas) 016_Sedes mantenidas</v>
      </c>
      <c r="Z13" s="160" t="str">
        <f>CONCATENATE(P13,Q13,R13,S13,V13)</f>
        <v>O23011745992024020708016</v>
      </c>
      <c r="AA13" s="160" t="str">
        <f>IFERROR(VLOOKUP(Y13,TD!$K$46:$L$64,2,0)," ")</f>
        <v>PM/0131/0108/45990160207</v>
      </c>
      <c r="AB13" s="53" t="s">
        <v>138</v>
      </c>
      <c r="AC13" s="162" t="s">
        <v>204</v>
      </c>
    </row>
    <row r="14" spans="2:29" s="28" customFormat="1" ht="99" customHeight="1" x14ac:dyDescent="0.35">
      <c r="B14" s="77">
        <v>20250004</v>
      </c>
      <c r="C14" s="50" t="s">
        <v>208</v>
      </c>
      <c r="D14" s="158" t="s">
        <v>163</v>
      </c>
      <c r="E14" s="51" t="s">
        <v>350</v>
      </c>
      <c r="F14" s="158" t="s">
        <v>353</v>
      </c>
      <c r="G14" s="158" t="s">
        <v>155</v>
      </c>
      <c r="H14" s="97">
        <v>80111600</v>
      </c>
      <c r="I14" s="159">
        <v>1</v>
      </c>
      <c r="J14" s="159">
        <v>10</v>
      </c>
      <c r="K14" s="52">
        <v>0</v>
      </c>
      <c r="L14" s="153">
        <v>46285827</v>
      </c>
      <c r="M14" s="158" t="s">
        <v>473</v>
      </c>
      <c r="N14" s="53" t="s">
        <v>113</v>
      </c>
      <c r="O14" s="51" t="s">
        <v>219</v>
      </c>
      <c r="P14" s="160" t="str">
        <f>IFERROR(VLOOKUP(C14,TD!$B$32:$F$36,2,0)," ")</f>
        <v>O230117</v>
      </c>
      <c r="Q14" s="160" t="str">
        <f>IFERROR(VLOOKUP(C14,TD!$B$32:$F$36,3,0)," ")</f>
        <v>4599</v>
      </c>
      <c r="R14" s="160">
        <f>IFERROR(VLOOKUP(C14,TD!$B$32:$F$36,4,0)," ")</f>
        <v>20240207</v>
      </c>
      <c r="S14" s="51" t="s">
        <v>185</v>
      </c>
      <c r="T14" s="160" t="str">
        <f>IFERROR(VLOOKUP(S14,TD!$J$33:$K$43,2,0)," ")</f>
        <v>Infraestructura física, mantenimiento y dotación (Sedes construidas, mantenidas reforzadas)</v>
      </c>
      <c r="U14" s="161" t="str">
        <f>CONCATENATE(S14,"-",T14)</f>
        <v>08-Infraestructura física, mantenimiento y dotación (Sedes construidas, mantenidas reforzadas)</v>
      </c>
      <c r="V14" s="51" t="s">
        <v>238</v>
      </c>
      <c r="W14" s="160" t="str">
        <f>IFERROR(VLOOKUP(V14,TD!$N$33:$O$45,2,0)," ")</f>
        <v>Sedes mantenidas</v>
      </c>
      <c r="X14" s="161" t="str">
        <f>CONCATENATE(V14,"_",W14)</f>
        <v>016_Sedes mantenidas</v>
      </c>
      <c r="Y14" s="161" t="str">
        <f>CONCATENATE(U14," ",X14)</f>
        <v>08-Infraestructura física, mantenimiento y dotación (Sedes construidas, mantenidas reforzadas) 016_Sedes mantenidas</v>
      </c>
      <c r="Z14" s="160" t="str">
        <f>CONCATENATE(P14,Q14,R14,S14,V14)</f>
        <v>O23011745992024020708016</v>
      </c>
      <c r="AA14" s="160" t="str">
        <f>IFERROR(VLOOKUP(Y14,TD!$K$46:$L$64,2,0)," ")</f>
        <v>PM/0131/0108/45990160207</v>
      </c>
      <c r="AB14" s="53" t="s">
        <v>138</v>
      </c>
      <c r="AC14" s="162" t="s">
        <v>204</v>
      </c>
    </row>
    <row r="15" spans="2:29" s="28" customFormat="1" ht="99" customHeight="1" x14ac:dyDescent="0.35">
      <c r="B15" s="77">
        <v>20250005</v>
      </c>
      <c r="C15" s="50" t="s">
        <v>208</v>
      </c>
      <c r="D15" s="158" t="s">
        <v>163</v>
      </c>
      <c r="E15" s="51" t="s">
        <v>350</v>
      </c>
      <c r="F15" s="158" t="s">
        <v>354</v>
      </c>
      <c r="G15" s="158" t="s">
        <v>156</v>
      </c>
      <c r="H15" s="97">
        <v>80111600</v>
      </c>
      <c r="I15" s="159">
        <v>1</v>
      </c>
      <c r="J15" s="159">
        <v>10</v>
      </c>
      <c r="K15" s="52">
        <v>0</v>
      </c>
      <c r="L15" s="153">
        <v>38240074</v>
      </c>
      <c r="M15" s="158" t="s">
        <v>473</v>
      </c>
      <c r="N15" s="53" t="s">
        <v>113</v>
      </c>
      <c r="O15" s="51" t="s">
        <v>219</v>
      </c>
      <c r="P15" s="160" t="str">
        <f>IFERROR(VLOOKUP(C15,TD!$B$32:$F$36,2,0)," ")</f>
        <v>O230117</v>
      </c>
      <c r="Q15" s="160" t="str">
        <f>IFERROR(VLOOKUP(C15,TD!$B$32:$F$36,3,0)," ")</f>
        <v>4599</v>
      </c>
      <c r="R15" s="160">
        <f>IFERROR(VLOOKUP(C15,TD!$B$32:$F$36,4,0)," ")</f>
        <v>20240207</v>
      </c>
      <c r="S15" s="51" t="s">
        <v>185</v>
      </c>
      <c r="T15" s="160" t="str">
        <f>IFERROR(VLOOKUP(S15,TD!$J$33:$K$43,2,0)," ")</f>
        <v>Infraestructura física, mantenimiento y dotación (Sedes construidas, mantenidas reforzadas)</v>
      </c>
      <c r="U15" s="161" t="str">
        <f>CONCATENATE(S15,"-",T15)</f>
        <v>08-Infraestructura física, mantenimiento y dotación (Sedes construidas, mantenidas reforzadas)</v>
      </c>
      <c r="V15" s="51" t="s">
        <v>238</v>
      </c>
      <c r="W15" s="160" t="str">
        <f>IFERROR(VLOOKUP(V15,TD!$N$33:$O$45,2,0)," ")</f>
        <v>Sedes mantenidas</v>
      </c>
      <c r="X15" s="161" t="str">
        <f>CONCATENATE(V15,"_",W15)</f>
        <v>016_Sedes mantenidas</v>
      </c>
      <c r="Y15" s="161" t="str">
        <f>CONCATENATE(U15," ",X15)</f>
        <v>08-Infraestructura física, mantenimiento y dotación (Sedes construidas, mantenidas reforzadas) 016_Sedes mantenidas</v>
      </c>
      <c r="Z15" s="160" t="str">
        <f>CONCATENATE(P15,Q15,R15,S15,V15)</f>
        <v>O23011745992024020708016</v>
      </c>
      <c r="AA15" s="160" t="str">
        <f>IFERROR(VLOOKUP(Y15,TD!$K$46:$L$64,2,0)," ")</f>
        <v>PM/0131/0108/45990160207</v>
      </c>
      <c r="AB15" s="53" t="s">
        <v>138</v>
      </c>
      <c r="AC15" s="162" t="s">
        <v>204</v>
      </c>
    </row>
    <row r="16" spans="2:29" s="28" customFormat="1" ht="99" customHeight="1" x14ac:dyDescent="0.35">
      <c r="B16" s="77">
        <v>20250006</v>
      </c>
      <c r="C16" s="50" t="s">
        <v>208</v>
      </c>
      <c r="D16" s="158" t="s">
        <v>164</v>
      </c>
      <c r="E16" s="51" t="s">
        <v>389</v>
      </c>
      <c r="F16" s="158" t="s">
        <v>769</v>
      </c>
      <c r="G16" s="158" t="s">
        <v>155</v>
      </c>
      <c r="H16" s="97">
        <v>80111600</v>
      </c>
      <c r="I16" s="159">
        <v>2</v>
      </c>
      <c r="J16" s="159">
        <v>11</v>
      </c>
      <c r="K16" s="52">
        <v>0</v>
      </c>
      <c r="L16" s="153">
        <v>64500000</v>
      </c>
      <c r="M16" s="158" t="s">
        <v>473</v>
      </c>
      <c r="N16" s="53" t="s">
        <v>113</v>
      </c>
      <c r="O16" s="51" t="s">
        <v>219</v>
      </c>
      <c r="P16" s="160" t="str">
        <f>IFERROR(VLOOKUP(C16,TD!$B$32:$F$36,2,0)," ")</f>
        <v>O230117</v>
      </c>
      <c r="Q16" s="160" t="str">
        <f>IFERROR(VLOOKUP(C16,TD!$B$32:$F$36,3,0)," ")</f>
        <v>4599</v>
      </c>
      <c r="R16" s="160">
        <f>IFERROR(VLOOKUP(C16,TD!$B$32:$F$36,4,0)," ")</f>
        <v>20240207</v>
      </c>
      <c r="S16" s="51" t="s">
        <v>185</v>
      </c>
      <c r="T16" s="160" t="str">
        <f>IFERROR(VLOOKUP(S16,TD!$J$33:$K$43,2,0)," ")</f>
        <v>Infraestructura física, mantenimiento y dotación (Sedes construidas, mantenidas reforzadas)</v>
      </c>
      <c r="U16" s="161" t="str">
        <f>CONCATENATE(S16,"-",T16)</f>
        <v>08-Infraestructura física, mantenimiento y dotación (Sedes construidas, mantenidas reforzadas)</v>
      </c>
      <c r="V16" s="51" t="s">
        <v>238</v>
      </c>
      <c r="W16" s="160" t="str">
        <f>IFERROR(VLOOKUP(V16,TD!$N$33:$O$45,2,0)," ")</f>
        <v>Sedes mantenidas</v>
      </c>
      <c r="X16" s="161" t="str">
        <f>CONCATENATE(V16,"_",W16)</f>
        <v>016_Sedes mantenidas</v>
      </c>
      <c r="Y16" s="161" t="str">
        <f>CONCATENATE(U16," ",X16)</f>
        <v>08-Infraestructura física, mantenimiento y dotación (Sedes construidas, mantenidas reforzadas) 016_Sedes mantenidas</v>
      </c>
      <c r="Z16" s="160" t="str">
        <f>CONCATENATE(P16,Q16,R16,S16,V16)</f>
        <v>O23011745992024020708016</v>
      </c>
      <c r="AA16" s="160" t="str">
        <f>IFERROR(VLOOKUP(Y16,TD!$K$46:$L$64,2,0)," ")</f>
        <v>PM/0131/0108/45990160207</v>
      </c>
      <c r="AB16" s="53" t="s">
        <v>120</v>
      </c>
      <c r="AC16" s="162" t="s">
        <v>204</v>
      </c>
    </row>
    <row r="17" spans="2:29" s="28" customFormat="1" ht="99" customHeight="1" x14ac:dyDescent="0.35">
      <c r="B17" s="77">
        <v>20250007</v>
      </c>
      <c r="C17" s="50" t="s">
        <v>208</v>
      </c>
      <c r="D17" s="158" t="s">
        <v>164</v>
      </c>
      <c r="E17" s="51" t="s">
        <v>389</v>
      </c>
      <c r="F17" s="158" t="s">
        <v>758</v>
      </c>
      <c r="G17" s="158" t="s">
        <v>155</v>
      </c>
      <c r="H17" s="97">
        <v>80111600</v>
      </c>
      <c r="I17" s="159">
        <v>2</v>
      </c>
      <c r="J17" s="159">
        <v>11</v>
      </c>
      <c r="K17" s="52">
        <v>0</v>
      </c>
      <c r="L17" s="153">
        <v>70000000</v>
      </c>
      <c r="M17" s="158" t="s">
        <v>473</v>
      </c>
      <c r="N17" s="53" t="s">
        <v>113</v>
      </c>
      <c r="O17" s="51" t="s">
        <v>219</v>
      </c>
      <c r="P17" s="160" t="str">
        <f>IFERROR(VLOOKUP(C17,TD!$B$32:$F$36,2,0)," ")</f>
        <v>O230117</v>
      </c>
      <c r="Q17" s="160" t="str">
        <f>IFERROR(VLOOKUP(C17,TD!$B$32:$F$36,3,0)," ")</f>
        <v>4599</v>
      </c>
      <c r="R17" s="160">
        <f>IFERROR(VLOOKUP(C17,TD!$B$32:$F$36,4,0)," ")</f>
        <v>20240207</v>
      </c>
      <c r="S17" s="51" t="s">
        <v>185</v>
      </c>
      <c r="T17" s="160" t="str">
        <f>IFERROR(VLOOKUP(S17,TD!$J$33:$K$43,2,0)," ")</f>
        <v>Infraestructura física, mantenimiento y dotación (Sedes construidas, mantenidas reforzadas)</v>
      </c>
      <c r="U17" s="161" t="str">
        <f>CONCATENATE(S17,"-",T17)</f>
        <v>08-Infraestructura física, mantenimiento y dotación (Sedes construidas, mantenidas reforzadas)</v>
      </c>
      <c r="V17" s="51" t="s">
        <v>238</v>
      </c>
      <c r="W17" s="160" t="str">
        <f>IFERROR(VLOOKUP(V17,TD!$N$33:$O$45,2,0)," ")</f>
        <v>Sedes mantenidas</v>
      </c>
      <c r="X17" s="161" t="str">
        <f>CONCATENATE(V17,"_",W17)</f>
        <v>016_Sedes mantenidas</v>
      </c>
      <c r="Y17" s="161" t="str">
        <f>CONCATENATE(U17," ",X17)</f>
        <v>08-Infraestructura física, mantenimiento y dotación (Sedes construidas, mantenidas reforzadas) 016_Sedes mantenidas</v>
      </c>
      <c r="Z17" s="160" t="str">
        <f>CONCATENATE(P17,Q17,R17,S17,V17)</f>
        <v>O23011745992024020708016</v>
      </c>
      <c r="AA17" s="160" t="str">
        <f>IFERROR(VLOOKUP(Y17,TD!$K$46:$L$64,2,0)," ")</f>
        <v>PM/0131/0108/45990160207</v>
      </c>
      <c r="AB17" s="53" t="s">
        <v>120</v>
      </c>
      <c r="AC17" s="162" t="s">
        <v>204</v>
      </c>
    </row>
    <row r="18" spans="2:29" s="28" customFormat="1" ht="140" customHeight="1" x14ac:dyDescent="0.35">
      <c r="B18" s="77">
        <v>20250008</v>
      </c>
      <c r="C18" s="50" t="s">
        <v>208</v>
      </c>
      <c r="D18" s="158" t="s">
        <v>164</v>
      </c>
      <c r="E18" s="51" t="s">
        <v>389</v>
      </c>
      <c r="F18" s="158" t="s">
        <v>973</v>
      </c>
      <c r="G18" s="158" t="s">
        <v>155</v>
      </c>
      <c r="H18" s="97">
        <v>80111600</v>
      </c>
      <c r="I18" s="159">
        <v>2</v>
      </c>
      <c r="J18" s="159">
        <v>11</v>
      </c>
      <c r="K18" s="52">
        <v>0</v>
      </c>
      <c r="L18" s="153">
        <v>88000000</v>
      </c>
      <c r="M18" s="158" t="s">
        <v>473</v>
      </c>
      <c r="N18" s="53" t="s">
        <v>113</v>
      </c>
      <c r="O18" s="51" t="s">
        <v>219</v>
      </c>
      <c r="P18" s="160" t="str">
        <f>IFERROR(VLOOKUP(C18,TD!$B$32:$F$36,2,0)," ")</f>
        <v>O230117</v>
      </c>
      <c r="Q18" s="160" t="str">
        <f>IFERROR(VLOOKUP(C18,TD!$B$32:$F$36,3,0)," ")</f>
        <v>4599</v>
      </c>
      <c r="R18" s="160">
        <f>IFERROR(VLOOKUP(C18,TD!$B$32:$F$36,4,0)," ")</f>
        <v>20240207</v>
      </c>
      <c r="S18" s="51" t="s">
        <v>185</v>
      </c>
      <c r="T18" s="160" t="str">
        <f>IFERROR(VLOOKUP(S18,TD!$J$33:$K$43,2,0)," ")</f>
        <v>Infraestructura física, mantenimiento y dotación (Sedes construidas, mantenidas reforzadas)</v>
      </c>
      <c r="U18" s="161" t="str">
        <f>CONCATENATE(S18,"-",T18)</f>
        <v>08-Infraestructura física, mantenimiento y dotación (Sedes construidas, mantenidas reforzadas)</v>
      </c>
      <c r="V18" s="51" t="s">
        <v>238</v>
      </c>
      <c r="W18" s="160" t="str">
        <f>IFERROR(VLOOKUP(V18,TD!$N$33:$O$45,2,0)," ")</f>
        <v>Sedes mantenidas</v>
      </c>
      <c r="X18" s="161" t="str">
        <f>CONCATENATE(V18,"_",W18)</f>
        <v>016_Sedes mantenidas</v>
      </c>
      <c r="Y18" s="161" t="str">
        <f>CONCATENATE(U18," ",X18)</f>
        <v>08-Infraestructura física, mantenimiento y dotación (Sedes construidas, mantenidas reforzadas) 016_Sedes mantenidas</v>
      </c>
      <c r="Z18" s="160" t="str">
        <f>CONCATENATE(P18,Q18,R18,S18,V18)</f>
        <v>O23011745992024020708016</v>
      </c>
      <c r="AA18" s="160" t="str">
        <f>IFERROR(VLOOKUP(Y18,TD!$K$46:$L$64,2,0)," ")</f>
        <v>PM/0131/0108/45990160207</v>
      </c>
      <c r="AB18" s="53" t="s">
        <v>138</v>
      </c>
      <c r="AC18" s="162" t="s">
        <v>204</v>
      </c>
    </row>
    <row r="19" spans="2:29" s="28" customFormat="1" ht="99" customHeight="1" x14ac:dyDescent="0.35">
      <c r="B19" s="77">
        <v>20250009</v>
      </c>
      <c r="C19" s="50" t="s">
        <v>208</v>
      </c>
      <c r="D19" s="158" t="s">
        <v>164</v>
      </c>
      <c r="E19" s="51" t="s">
        <v>389</v>
      </c>
      <c r="F19" s="158" t="s">
        <v>465</v>
      </c>
      <c r="G19" s="158" t="s">
        <v>155</v>
      </c>
      <c r="H19" s="97">
        <v>80111600</v>
      </c>
      <c r="I19" s="159">
        <v>2</v>
      </c>
      <c r="J19" s="159">
        <v>11</v>
      </c>
      <c r="K19" s="52">
        <v>0</v>
      </c>
      <c r="L19" s="153">
        <v>99000000</v>
      </c>
      <c r="M19" s="158" t="s">
        <v>473</v>
      </c>
      <c r="N19" s="53" t="s">
        <v>113</v>
      </c>
      <c r="O19" s="51" t="s">
        <v>219</v>
      </c>
      <c r="P19" s="160" t="str">
        <f>IFERROR(VLOOKUP(C19,TD!$B$32:$F$36,2,0)," ")</f>
        <v>O230117</v>
      </c>
      <c r="Q19" s="160" t="str">
        <f>IFERROR(VLOOKUP(C19,TD!$B$32:$F$36,3,0)," ")</f>
        <v>4599</v>
      </c>
      <c r="R19" s="160">
        <f>IFERROR(VLOOKUP(C19,TD!$B$32:$F$36,4,0)," ")</f>
        <v>20240207</v>
      </c>
      <c r="S19" s="51" t="s">
        <v>185</v>
      </c>
      <c r="T19" s="160" t="str">
        <f>IFERROR(VLOOKUP(S19,TD!$J$33:$K$43,2,0)," ")</f>
        <v>Infraestructura física, mantenimiento y dotación (Sedes construidas, mantenidas reforzadas)</v>
      </c>
      <c r="U19" s="161" t="str">
        <f>CONCATENATE(S19,"-",T19)</f>
        <v>08-Infraestructura física, mantenimiento y dotación (Sedes construidas, mantenidas reforzadas)</v>
      </c>
      <c r="V19" s="51" t="s">
        <v>238</v>
      </c>
      <c r="W19" s="160" t="str">
        <f>IFERROR(VLOOKUP(V19,TD!$N$33:$O$45,2,0)," ")</f>
        <v>Sedes mantenidas</v>
      </c>
      <c r="X19" s="161" t="str">
        <f>CONCATENATE(V19,"_",W19)</f>
        <v>016_Sedes mantenidas</v>
      </c>
      <c r="Y19" s="161" t="str">
        <f>CONCATENATE(U19," ",X19)</f>
        <v>08-Infraestructura física, mantenimiento y dotación (Sedes construidas, mantenidas reforzadas) 016_Sedes mantenidas</v>
      </c>
      <c r="Z19" s="160" t="str">
        <f>CONCATENATE(P19,Q19,R19,S19,V19)</f>
        <v>O23011745992024020708016</v>
      </c>
      <c r="AA19" s="160" t="str">
        <f>IFERROR(VLOOKUP(Y19,TD!$K$46:$L$64,2,0)," ")</f>
        <v>PM/0131/0108/45990160207</v>
      </c>
      <c r="AB19" s="53" t="s">
        <v>138</v>
      </c>
      <c r="AC19" s="162" t="s">
        <v>204</v>
      </c>
    </row>
    <row r="20" spans="2:29" s="28" customFormat="1" ht="99" customHeight="1" x14ac:dyDescent="0.35">
      <c r="B20" s="77">
        <v>20250010</v>
      </c>
      <c r="C20" s="50" t="s">
        <v>208</v>
      </c>
      <c r="D20" s="158" t="s">
        <v>164</v>
      </c>
      <c r="E20" s="51" t="s">
        <v>389</v>
      </c>
      <c r="F20" s="158" t="s">
        <v>466</v>
      </c>
      <c r="G20" s="158" t="s">
        <v>155</v>
      </c>
      <c r="H20" s="97">
        <v>80111600</v>
      </c>
      <c r="I20" s="159">
        <v>2</v>
      </c>
      <c r="J20" s="159">
        <v>11</v>
      </c>
      <c r="K20" s="52">
        <v>0</v>
      </c>
      <c r="L20" s="153">
        <f>61300000-9050000</f>
        <v>52250000</v>
      </c>
      <c r="M20" s="158" t="s">
        <v>473</v>
      </c>
      <c r="N20" s="53" t="s">
        <v>113</v>
      </c>
      <c r="O20" s="51" t="s">
        <v>219</v>
      </c>
      <c r="P20" s="160" t="str">
        <f>IFERROR(VLOOKUP(C20,TD!$B$32:$F$36,2,0)," ")</f>
        <v>O230117</v>
      </c>
      <c r="Q20" s="160" t="str">
        <f>IFERROR(VLOOKUP(C20,TD!$B$32:$F$36,3,0)," ")</f>
        <v>4599</v>
      </c>
      <c r="R20" s="160">
        <f>IFERROR(VLOOKUP(C20,TD!$B$32:$F$36,4,0)," ")</f>
        <v>20240207</v>
      </c>
      <c r="S20" s="51" t="s">
        <v>185</v>
      </c>
      <c r="T20" s="160" t="str">
        <f>IFERROR(VLOOKUP(S20,TD!$J$33:$K$43,2,0)," ")</f>
        <v>Infraestructura física, mantenimiento y dotación (Sedes construidas, mantenidas reforzadas)</v>
      </c>
      <c r="U20" s="161" t="str">
        <f>CONCATENATE(S20,"-",T20)</f>
        <v>08-Infraestructura física, mantenimiento y dotación (Sedes construidas, mantenidas reforzadas)</v>
      </c>
      <c r="V20" s="51" t="s">
        <v>238</v>
      </c>
      <c r="W20" s="160" t="str">
        <f>IFERROR(VLOOKUP(V20,TD!$N$33:$O$45,2,0)," ")</f>
        <v>Sedes mantenidas</v>
      </c>
      <c r="X20" s="161" t="str">
        <f>CONCATENATE(V20,"_",W20)</f>
        <v>016_Sedes mantenidas</v>
      </c>
      <c r="Y20" s="161" t="str">
        <f>CONCATENATE(U20," ",X20)</f>
        <v>08-Infraestructura física, mantenimiento y dotación (Sedes construidas, mantenidas reforzadas) 016_Sedes mantenidas</v>
      </c>
      <c r="Z20" s="160" t="str">
        <f>CONCATENATE(P20,Q20,R20,S20,V20)</f>
        <v>O23011745992024020708016</v>
      </c>
      <c r="AA20" s="160" t="str">
        <f>IFERROR(VLOOKUP(Y20,TD!$K$46:$L$64,2,0)," ")</f>
        <v>PM/0131/0108/45990160207</v>
      </c>
      <c r="AB20" s="53" t="s">
        <v>138</v>
      </c>
      <c r="AC20" s="162" t="s">
        <v>204</v>
      </c>
    </row>
    <row r="21" spans="2:29" s="28" customFormat="1" ht="99" customHeight="1" x14ac:dyDescent="0.35">
      <c r="B21" s="152">
        <v>20250011</v>
      </c>
      <c r="C21" s="50" t="s">
        <v>208</v>
      </c>
      <c r="D21" s="158" t="s">
        <v>164</v>
      </c>
      <c r="E21" s="51" t="s">
        <v>389</v>
      </c>
      <c r="F21" s="158" t="s">
        <v>866</v>
      </c>
      <c r="G21" s="158" t="s">
        <v>155</v>
      </c>
      <c r="H21" s="97">
        <v>80111600</v>
      </c>
      <c r="I21" s="159">
        <v>2</v>
      </c>
      <c r="J21" s="159">
        <v>11</v>
      </c>
      <c r="K21" s="52">
        <v>0</v>
      </c>
      <c r="L21" s="153">
        <v>65000000</v>
      </c>
      <c r="M21" s="158" t="s">
        <v>473</v>
      </c>
      <c r="N21" s="53" t="s">
        <v>113</v>
      </c>
      <c r="O21" s="51" t="s">
        <v>219</v>
      </c>
      <c r="P21" s="160" t="str">
        <f>IFERROR(VLOOKUP(C21,TD!$B$32:$F$36,2,0)," ")</f>
        <v>O230117</v>
      </c>
      <c r="Q21" s="160" t="str">
        <f>IFERROR(VLOOKUP(C21,TD!$B$32:$F$36,3,0)," ")</f>
        <v>4599</v>
      </c>
      <c r="R21" s="160">
        <f>IFERROR(VLOOKUP(C21,TD!$B$32:$F$36,4,0)," ")</f>
        <v>20240207</v>
      </c>
      <c r="S21" s="51" t="s">
        <v>185</v>
      </c>
      <c r="T21" s="160" t="str">
        <f>IFERROR(VLOOKUP(S21,TD!$J$33:$K$43,2,0)," ")</f>
        <v>Infraestructura física, mantenimiento y dotación (Sedes construidas, mantenidas reforzadas)</v>
      </c>
      <c r="U21" s="161" t="str">
        <f>CONCATENATE(S21,"-",T21)</f>
        <v>08-Infraestructura física, mantenimiento y dotación (Sedes construidas, mantenidas reforzadas)</v>
      </c>
      <c r="V21" s="51" t="s">
        <v>238</v>
      </c>
      <c r="W21" s="160" t="str">
        <f>IFERROR(VLOOKUP(V21,TD!$N$33:$O$45,2,0)," ")</f>
        <v>Sedes mantenidas</v>
      </c>
      <c r="X21" s="161" t="str">
        <f>CONCATENATE(V21,"_",W21)</f>
        <v>016_Sedes mantenidas</v>
      </c>
      <c r="Y21" s="161" t="str">
        <f>CONCATENATE(U21," ",X21)</f>
        <v>08-Infraestructura física, mantenimiento y dotación (Sedes construidas, mantenidas reforzadas) 016_Sedes mantenidas</v>
      </c>
      <c r="Z21" s="160" t="str">
        <f>CONCATENATE(P21,Q21,R21,S21,V21)</f>
        <v>O23011745992024020708016</v>
      </c>
      <c r="AA21" s="160" t="str">
        <f>IFERROR(VLOOKUP(Y21,TD!$K$46:$L$64,2,0)," ")</f>
        <v>PM/0131/0108/45990160207</v>
      </c>
      <c r="AB21" s="53" t="s">
        <v>120</v>
      </c>
      <c r="AC21" s="162" t="s">
        <v>204</v>
      </c>
    </row>
    <row r="22" spans="2:29" s="28" customFormat="1" ht="99" customHeight="1" x14ac:dyDescent="0.35">
      <c r="B22" s="77">
        <v>20250012</v>
      </c>
      <c r="C22" s="50" t="s">
        <v>208</v>
      </c>
      <c r="D22" s="158" t="s">
        <v>164</v>
      </c>
      <c r="E22" s="51" t="s">
        <v>389</v>
      </c>
      <c r="F22" s="158" t="s">
        <v>759</v>
      </c>
      <c r="G22" s="158" t="s">
        <v>155</v>
      </c>
      <c r="H22" s="97">
        <v>80111600</v>
      </c>
      <c r="I22" s="159">
        <v>2</v>
      </c>
      <c r="J22" s="159">
        <v>11</v>
      </c>
      <c r="K22" s="52">
        <v>0</v>
      </c>
      <c r="L22" s="153">
        <f>93500000-11000000</f>
        <v>82500000</v>
      </c>
      <c r="M22" s="158" t="s">
        <v>473</v>
      </c>
      <c r="N22" s="53" t="s">
        <v>113</v>
      </c>
      <c r="O22" s="51" t="s">
        <v>219</v>
      </c>
      <c r="P22" s="160" t="str">
        <f>IFERROR(VLOOKUP(C22,TD!$B$32:$F$36,2,0)," ")</f>
        <v>O230117</v>
      </c>
      <c r="Q22" s="160" t="str">
        <f>IFERROR(VLOOKUP(C22,TD!$B$32:$F$36,3,0)," ")</f>
        <v>4599</v>
      </c>
      <c r="R22" s="160">
        <f>IFERROR(VLOOKUP(C22,TD!$B$32:$F$36,4,0)," ")</f>
        <v>20240207</v>
      </c>
      <c r="S22" s="51" t="s">
        <v>185</v>
      </c>
      <c r="T22" s="160" t="str">
        <f>IFERROR(VLOOKUP(S22,TD!$J$33:$K$43,2,0)," ")</f>
        <v>Infraestructura física, mantenimiento y dotación (Sedes construidas, mantenidas reforzadas)</v>
      </c>
      <c r="U22" s="161" t="str">
        <f>CONCATENATE(S22,"-",T22)</f>
        <v>08-Infraestructura física, mantenimiento y dotación (Sedes construidas, mantenidas reforzadas)</v>
      </c>
      <c r="V22" s="51" t="s">
        <v>238</v>
      </c>
      <c r="W22" s="160" t="str">
        <f>IFERROR(VLOOKUP(V22,TD!$N$33:$O$45,2,0)," ")</f>
        <v>Sedes mantenidas</v>
      </c>
      <c r="X22" s="161" t="str">
        <f>CONCATENATE(V22,"_",W22)</f>
        <v>016_Sedes mantenidas</v>
      </c>
      <c r="Y22" s="161" t="str">
        <f>CONCATENATE(U22," ",X22)</f>
        <v>08-Infraestructura física, mantenimiento y dotación (Sedes construidas, mantenidas reforzadas) 016_Sedes mantenidas</v>
      </c>
      <c r="Z22" s="160" t="str">
        <f>CONCATENATE(P22,Q22,R22,S22,V22)</f>
        <v>O23011745992024020708016</v>
      </c>
      <c r="AA22" s="160" t="str">
        <f>IFERROR(VLOOKUP(Y22,TD!$K$46:$L$64,2,0)," ")</f>
        <v>PM/0131/0108/45990160207</v>
      </c>
      <c r="AB22" s="53" t="s">
        <v>120</v>
      </c>
      <c r="AC22" s="162" t="s">
        <v>204</v>
      </c>
    </row>
    <row r="23" spans="2:29" s="28" customFormat="1" ht="99" customHeight="1" x14ac:dyDescent="0.35">
      <c r="B23" s="77">
        <v>20250013</v>
      </c>
      <c r="C23" s="50" t="s">
        <v>208</v>
      </c>
      <c r="D23" s="158" t="s">
        <v>164</v>
      </c>
      <c r="E23" s="51" t="s">
        <v>389</v>
      </c>
      <c r="F23" s="158" t="s">
        <v>759</v>
      </c>
      <c r="G23" s="158" t="s">
        <v>155</v>
      </c>
      <c r="H23" s="97">
        <v>80111600</v>
      </c>
      <c r="I23" s="159">
        <v>2</v>
      </c>
      <c r="J23" s="159">
        <v>11</v>
      </c>
      <c r="K23" s="52">
        <v>0</v>
      </c>
      <c r="L23" s="153">
        <f>93500000-5500000</f>
        <v>88000000</v>
      </c>
      <c r="M23" s="158" t="s">
        <v>473</v>
      </c>
      <c r="N23" s="53" t="s">
        <v>113</v>
      </c>
      <c r="O23" s="51" t="s">
        <v>219</v>
      </c>
      <c r="P23" s="160" t="str">
        <f>IFERROR(VLOOKUP(C23,TD!$B$32:$F$36,2,0)," ")</f>
        <v>O230117</v>
      </c>
      <c r="Q23" s="160" t="str">
        <f>IFERROR(VLOOKUP(C23,TD!$B$32:$F$36,3,0)," ")</f>
        <v>4599</v>
      </c>
      <c r="R23" s="160">
        <f>IFERROR(VLOOKUP(C23,TD!$B$32:$F$36,4,0)," ")</f>
        <v>20240207</v>
      </c>
      <c r="S23" s="51" t="s">
        <v>185</v>
      </c>
      <c r="T23" s="160" t="str">
        <f>IFERROR(VLOOKUP(S23,TD!$J$33:$K$43,2,0)," ")</f>
        <v>Infraestructura física, mantenimiento y dotación (Sedes construidas, mantenidas reforzadas)</v>
      </c>
      <c r="U23" s="161" t="str">
        <f>CONCATENATE(S23,"-",T23)</f>
        <v>08-Infraestructura física, mantenimiento y dotación (Sedes construidas, mantenidas reforzadas)</v>
      </c>
      <c r="V23" s="51" t="s">
        <v>238</v>
      </c>
      <c r="W23" s="160" t="str">
        <f>IFERROR(VLOOKUP(V23,TD!$N$33:$O$45,2,0)," ")</f>
        <v>Sedes mantenidas</v>
      </c>
      <c r="X23" s="161" t="str">
        <f>CONCATENATE(V23,"_",W23)</f>
        <v>016_Sedes mantenidas</v>
      </c>
      <c r="Y23" s="161" t="str">
        <f>CONCATENATE(U23," ",X23)</f>
        <v>08-Infraestructura física, mantenimiento y dotación (Sedes construidas, mantenidas reforzadas) 016_Sedes mantenidas</v>
      </c>
      <c r="Z23" s="160" t="str">
        <f>CONCATENATE(P23,Q23,R23,S23,V23)</f>
        <v>O23011745992024020708016</v>
      </c>
      <c r="AA23" s="160" t="str">
        <f>IFERROR(VLOOKUP(Y23,TD!$K$46:$L$64,2,0)," ")</f>
        <v>PM/0131/0108/45990160207</v>
      </c>
      <c r="AB23" s="53" t="s">
        <v>120</v>
      </c>
      <c r="AC23" s="162" t="s">
        <v>204</v>
      </c>
    </row>
    <row r="24" spans="2:29" s="28" customFormat="1" ht="99" customHeight="1" x14ac:dyDescent="0.35">
      <c r="B24" s="77">
        <v>20250014</v>
      </c>
      <c r="C24" s="50" t="s">
        <v>208</v>
      </c>
      <c r="D24" s="158" t="s">
        <v>164</v>
      </c>
      <c r="E24" s="51" t="s">
        <v>389</v>
      </c>
      <c r="F24" s="158" t="s">
        <v>759</v>
      </c>
      <c r="G24" s="158" t="s">
        <v>155</v>
      </c>
      <c r="H24" s="97">
        <v>80111600</v>
      </c>
      <c r="I24" s="159">
        <v>2</v>
      </c>
      <c r="J24" s="159">
        <v>11</v>
      </c>
      <c r="K24" s="52">
        <v>0</v>
      </c>
      <c r="L24" s="153">
        <v>93500000</v>
      </c>
      <c r="M24" s="158" t="s">
        <v>473</v>
      </c>
      <c r="N24" s="53" t="s">
        <v>113</v>
      </c>
      <c r="O24" s="51" t="s">
        <v>219</v>
      </c>
      <c r="P24" s="160" t="str">
        <f>IFERROR(VLOOKUP(C24,TD!$B$32:$F$36,2,0)," ")</f>
        <v>O230117</v>
      </c>
      <c r="Q24" s="160" t="str">
        <f>IFERROR(VLOOKUP(C24,TD!$B$32:$F$36,3,0)," ")</f>
        <v>4599</v>
      </c>
      <c r="R24" s="160">
        <f>IFERROR(VLOOKUP(C24,TD!$B$32:$F$36,4,0)," ")</f>
        <v>20240207</v>
      </c>
      <c r="S24" s="51" t="s">
        <v>185</v>
      </c>
      <c r="T24" s="160" t="str">
        <f>IFERROR(VLOOKUP(S24,TD!$J$33:$K$43,2,0)," ")</f>
        <v>Infraestructura física, mantenimiento y dotación (Sedes construidas, mantenidas reforzadas)</v>
      </c>
      <c r="U24" s="161" t="str">
        <f>CONCATENATE(S24,"-",T24)</f>
        <v>08-Infraestructura física, mantenimiento y dotación (Sedes construidas, mantenidas reforzadas)</v>
      </c>
      <c r="V24" s="51" t="s">
        <v>238</v>
      </c>
      <c r="W24" s="160" t="str">
        <f>IFERROR(VLOOKUP(V24,TD!$N$33:$O$45,2,0)," ")</f>
        <v>Sedes mantenidas</v>
      </c>
      <c r="X24" s="161" t="str">
        <f>CONCATENATE(V24,"_",W24)</f>
        <v>016_Sedes mantenidas</v>
      </c>
      <c r="Y24" s="161" t="str">
        <f>CONCATENATE(U24," ",X24)</f>
        <v>08-Infraestructura física, mantenimiento y dotación (Sedes construidas, mantenidas reforzadas) 016_Sedes mantenidas</v>
      </c>
      <c r="Z24" s="160" t="str">
        <f>CONCATENATE(P24,Q24,R24,S24,V24)</f>
        <v>O23011745992024020708016</v>
      </c>
      <c r="AA24" s="160" t="str">
        <f>IFERROR(VLOOKUP(Y24,TD!$K$46:$L$64,2,0)," ")</f>
        <v>PM/0131/0108/45990160207</v>
      </c>
      <c r="AB24" s="53" t="s">
        <v>120</v>
      </c>
      <c r="AC24" s="162" t="s">
        <v>204</v>
      </c>
    </row>
    <row r="25" spans="2:29" s="28" customFormat="1" ht="99" customHeight="1" x14ac:dyDescent="0.35">
      <c r="B25" s="77">
        <v>20250015</v>
      </c>
      <c r="C25" s="50" t="s">
        <v>208</v>
      </c>
      <c r="D25" s="158" t="s">
        <v>164</v>
      </c>
      <c r="E25" s="51" t="s">
        <v>389</v>
      </c>
      <c r="F25" s="158" t="s">
        <v>760</v>
      </c>
      <c r="G25" s="158" t="s">
        <v>155</v>
      </c>
      <c r="H25" s="97">
        <v>80111600</v>
      </c>
      <c r="I25" s="159">
        <v>2</v>
      </c>
      <c r="J25" s="159">
        <v>11</v>
      </c>
      <c r="K25" s="52">
        <v>0</v>
      </c>
      <c r="L25" s="153">
        <f>82500000-5500000</f>
        <v>77000000</v>
      </c>
      <c r="M25" s="158" t="s">
        <v>473</v>
      </c>
      <c r="N25" s="53" t="s">
        <v>113</v>
      </c>
      <c r="O25" s="51" t="s">
        <v>219</v>
      </c>
      <c r="P25" s="160" t="str">
        <f>IFERROR(VLOOKUP(C25,TD!$B$32:$F$36,2,0)," ")</f>
        <v>O230117</v>
      </c>
      <c r="Q25" s="160" t="str">
        <f>IFERROR(VLOOKUP(C25,TD!$B$32:$F$36,3,0)," ")</f>
        <v>4599</v>
      </c>
      <c r="R25" s="160">
        <f>IFERROR(VLOOKUP(C25,TD!$B$32:$F$36,4,0)," ")</f>
        <v>20240207</v>
      </c>
      <c r="S25" s="51" t="s">
        <v>185</v>
      </c>
      <c r="T25" s="160" t="str">
        <f>IFERROR(VLOOKUP(S25,TD!$J$33:$K$43,2,0)," ")</f>
        <v>Infraestructura física, mantenimiento y dotación (Sedes construidas, mantenidas reforzadas)</v>
      </c>
      <c r="U25" s="161" t="str">
        <f>CONCATENATE(S25,"-",T25)</f>
        <v>08-Infraestructura física, mantenimiento y dotación (Sedes construidas, mantenidas reforzadas)</v>
      </c>
      <c r="V25" s="51" t="s">
        <v>238</v>
      </c>
      <c r="W25" s="160" t="str">
        <f>IFERROR(VLOOKUP(V25,TD!$N$33:$O$45,2,0)," ")</f>
        <v>Sedes mantenidas</v>
      </c>
      <c r="X25" s="161" t="str">
        <f>CONCATENATE(V25,"_",W25)</f>
        <v>016_Sedes mantenidas</v>
      </c>
      <c r="Y25" s="161" t="str">
        <f>CONCATENATE(U25," ",X25)</f>
        <v>08-Infraestructura física, mantenimiento y dotación (Sedes construidas, mantenidas reforzadas) 016_Sedes mantenidas</v>
      </c>
      <c r="Z25" s="160" t="str">
        <f>CONCATENATE(P25,Q25,R25,S25,V25)</f>
        <v>O23011745992024020708016</v>
      </c>
      <c r="AA25" s="160" t="str">
        <f>IFERROR(VLOOKUP(Y25,TD!$K$46:$L$64,2,0)," ")</f>
        <v>PM/0131/0108/45990160207</v>
      </c>
      <c r="AB25" s="53" t="s">
        <v>120</v>
      </c>
      <c r="AC25" s="162" t="s">
        <v>204</v>
      </c>
    </row>
    <row r="26" spans="2:29" s="28" customFormat="1" ht="99" customHeight="1" x14ac:dyDescent="0.35">
      <c r="B26" s="77">
        <v>20250016</v>
      </c>
      <c r="C26" s="50" t="s">
        <v>208</v>
      </c>
      <c r="D26" s="158" t="s">
        <v>164</v>
      </c>
      <c r="E26" s="51" t="s">
        <v>389</v>
      </c>
      <c r="F26" s="158" t="s">
        <v>759</v>
      </c>
      <c r="G26" s="158" t="s">
        <v>155</v>
      </c>
      <c r="H26" s="97">
        <v>80111600</v>
      </c>
      <c r="I26" s="159">
        <v>2</v>
      </c>
      <c r="J26" s="159">
        <v>11</v>
      </c>
      <c r="K26" s="52">
        <v>0</v>
      </c>
      <c r="L26" s="153">
        <f>82500000-11000000</f>
        <v>71500000</v>
      </c>
      <c r="M26" s="158" t="s">
        <v>473</v>
      </c>
      <c r="N26" s="53" t="s">
        <v>113</v>
      </c>
      <c r="O26" s="51" t="s">
        <v>219</v>
      </c>
      <c r="P26" s="160" t="str">
        <f>IFERROR(VLOOKUP(C26,TD!$B$32:$F$36,2,0)," ")</f>
        <v>O230117</v>
      </c>
      <c r="Q26" s="160" t="str">
        <f>IFERROR(VLOOKUP(C26,TD!$B$32:$F$36,3,0)," ")</f>
        <v>4599</v>
      </c>
      <c r="R26" s="160">
        <f>IFERROR(VLOOKUP(C26,TD!$B$32:$F$36,4,0)," ")</f>
        <v>20240207</v>
      </c>
      <c r="S26" s="51" t="s">
        <v>185</v>
      </c>
      <c r="T26" s="160" t="str">
        <f>IFERROR(VLOOKUP(S26,TD!$J$33:$K$43,2,0)," ")</f>
        <v>Infraestructura física, mantenimiento y dotación (Sedes construidas, mantenidas reforzadas)</v>
      </c>
      <c r="U26" s="161" t="str">
        <f>CONCATENATE(S26,"-",T26)</f>
        <v>08-Infraestructura física, mantenimiento y dotación (Sedes construidas, mantenidas reforzadas)</v>
      </c>
      <c r="V26" s="51" t="s">
        <v>238</v>
      </c>
      <c r="W26" s="160" t="str">
        <f>IFERROR(VLOOKUP(V26,TD!$N$33:$O$45,2,0)," ")</f>
        <v>Sedes mantenidas</v>
      </c>
      <c r="X26" s="161" t="str">
        <f>CONCATENATE(V26,"_",W26)</f>
        <v>016_Sedes mantenidas</v>
      </c>
      <c r="Y26" s="161" t="str">
        <f>CONCATENATE(U26," ",X26)</f>
        <v>08-Infraestructura física, mantenimiento y dotación (Sedes construidas, mantenidas reforzadas) 016_Sedes mantenidas</v>
      </c>
      <c r="Z26" s="160" t="str">
        <f>CONCATENATE(P26,Q26,R26,S26,V26)</f>
        <v>O23011745992024020708016</v>
      </c>
      <c r="AA26" s="160" t="str">
        <f>IFERROR(VLOOKUP(Y26,TD!$K$46:$L$64,2,0)," ")</f>
        <v>PM/0131/0108/45990160207</v>
      </c>
      <c r="AB26" s="53" t="s">
        <v>120</v>
      </c>
      <c r="AC26" s="162" t="s">
        <v>204</v>
      </c>
    </row>
    <row r="27" spans="2:29" s="28" customFormat="1" ht="99" customHeight="1" x14ac:dyDescent="0.35">
      <c r="B27" s="77">
        <v>20250017</v>
      </c>
      <c r="C27" s="50" t="s">
        <v>208</v>
      </c>
      <c r="D27" s="158" t="s">
        <v>164</v>
      </c>
      <c r="E27" s="51" t="s">
        <v>389</v>
      </c>
      <c r="F27" s="158" t="s">
        <v>759</v>
      </c>
      <c r="G27" s="158" t="s">
        <v>155</v>
      </c>
      <c r="H27" s="97">
        <v>80111600</v>
      </c>
      <c r="I27" s="159">
        <v>2</v>
      </c>
      <c r="J27" s="159">
        <v>11</v>
      </c>
      <c r="K27" s="52">
        <v>0</v>
      </c>
      <c r="L27" s="153">
        <v>82500000</v>
      </c>
      <c r="M27" s="158" t="s">
        <v>473</v>
      </c>
      <c r="N27" s="53" t="s">
        <v>113</v>
      </c>
      <c r="O27" s="51" t="s">
        <v>219</v>
      </c>
      <c r="P27" s="160" t="str">
        <f>IFERROR(VLOOKUP(C27,TD!$B$32:$F$36,2,0)," ")</f>
        <v>O230117</v>
      </c>
      <c r="Q27" s="160" t="str">
        <f>IFERROR(VLOOKUP(C27,TD!$B$32:$F$36,3,0)," ")</f>
        <v>4599</v>
      </c>
      <c r="R27" s="160">
        <f>IFERROR(VLOOKUP(C27,TD!$B$32:$F$36,4,0)," ")</f>
        <v>20240207</v>
      </c>
      <c r="S27" s="51" t="s">
        <v>185</v>
      </c>
      <c r="T27" s="160" t="str">
        <f>IFERROR(VLOOKUP(S27,TD!$J$33:$K$43,2,0)," ")</f>
        <v>Infraestructura física, mantenimiento y dotación (Sedes construidas, mantenidas reforzadas)</v>
      </c>
      <c r="U27" s="161" t="str">
        <f>CONCATENATE(S27,"-",T27)</f>
        <v>08-Infraestructura física, mantenimiento y dotación (Sedes construidas, mantenidas reforzadas)</v>
      </c>
      <c r="V27" s="51" t="s">
        <v>238</v>
      </c>
      <c r="W27" s="160" t="str">
        <f>IFERROR(VLOOKUP(V27,TD!$N$33:$O$45,2,0)," ")</f>
        <v>Sedes mantenidas</v>
      </c>
      <c r="X27" s="161" t="str">
        <f>CONCATENATE(V27,"_",W27)</f>
        <v>016_Sedes mantenidas</v>
      </c>
      <c r="Y27" s="161" t="str">
        <f>CONCATENATE(U27," ",X27)</f>
        <v>08-Infraestructura física, mantenimiento y dotación (Sedes construidas, mantenidas reforzadas) 016_Sedes mantenidas</v>
      </c>
      <c r="Z27" s="160" t="str">
        <f>CONCATENATE(P27,Q27,R27,S27,V27)</f>
        <v>O23011745992024020708016</v>
      </c>
      <c r="AA27" s="160" t="str">
        <f>IFERROR(VLOOKUP(Y27,TD!$K$46:$L$64,2,0)," ")</f>
        <v>PM/0131/0108/45990160207</v>
      </c>
      <c r="AB27" s="53" t="s">
        <v>120</v>
      </c>
      <c r="AC27" s="162" t="s">
        <v>204</v>
      </c>
    </row>
    <row r="28" spans="2:29" s="28" customFormat="1" ht="99" customHeight="1" x14ac:dyDescent="0.35">
      <c r="B28" s="77">
        <v>20250018</v>
      </c>
      <c r="C28" s="50" t="s">
        <v>208</v>
      </c>
      <c r="D28" s="158" t="s">
        <v>164</v>
      </c>
      <c r="E28" s="51" t="s">
        <v>389</v>
      </c>
      <c r="F28" s="158" t="s">
        <v>759</v>
      </c>
      <c r="G28" s="158" t="s">
        <v>155</v>
      </c>
      <c r="H28" s="97">
        <v>80111600</v>
      </c>
      <c r="I28" s="159">
        <v>2</v>
      </c>
      <c r="J28" s="159">
        <v>11</v>
      </c>
      <c r="K28" s="52">
        <v>0</v>
      </c>
      <c r="L28" s="153">
        <f>82500000-24800000</f>
        <v>57700000</v>
      </c>
      <c r="M28" s="158" t="s">
        <v>473</v>
      </c>
      <c r="N28" s="53" t="s">
        <v>113</v>
      </c>
      <c r="O28" s="51" t="s">
        <v>219</v>
      </c>
      <c r="P28" s="160" t="str">
        <f>IFERROR(VLOOKUP(C28,TD!$B$32:$F$36,2,0)," ")</f>
        <v>O230117</v>
      </c>
      <c r="Q28" s="160" t="str">
        <f>IFERROR(VLOOKUP(C28,TD!$B$32:$F$36,3,0)," ")</f>
        <v>4599</v>
      </c>
      <c r="R28" s="160">
        <f>IFERROR(VLOOKUP(C28,TD!$B$32:$F$36,4,0)," ")</f>
        <v>20240207</v>
      </c>
      <c r="S28" s="51" t="s">
        <v>185</v>
      </c>
      <c r="T28" s="160" t="str">
        <f>IFERROR(VLOOKUP(S28,TD!$J$33:$K$43,2,0)," ")</f>
        <v>Infraestructura física, mantenimiento y dotación (Sedes construidas, mantenidas reforzadas)</v>
      </c>
      <c r="U28" s="161" t="str">
        <f>CONCATENATE(S28,"-",T28)</f>
        <v>08-Infraestructura física, mantenimiento y dotación (Sedes construidas, mantenidas reforzadas)</v>
      </c>
      <c r="V28" s="51" t="s">
        <v>238</v>
      </c>
      <c r="W28" s="160" t="str">
        <f>IFERROR(VLOOKUP(V28,TD!$N$33:$O$45,2,0)," ")</f>
        <v>Sedes mantenidas</v>
      </c>
      <c r="X28" s="161" t="str">
        <f>CONCATENATE(V28,"_",W28)</f>
        <v>016_Sedes mantenidas</v>
      </c>
      <c r="Y28" s="161" t="str">
        <f>CONCATENATE(U28," ",X28)</f>
        <v>08-Infraestructura física, mantenimiento y dotación (Sedes construidas, mantenidas reforzadas) 016_Sedes mantenidas</v>
      </c>
      <c r="Z28" s="160" t="str">
        <f>CONCATENATE(P28,Q28,R28,S28,V28)</f>
        <v>O23011745992024020708016</v>
      </c>
      <c r="AA28" s="160" t="str">
        <f>IFERROR(VLOOKUP(Y28,TD!$K$46:$L$64,2,0)," ")</f>
        <v>PM/0131/0108/45990160207</v>
      </c>
      <c r="AB28" s="53" t="s">
        <v>120</v>
      </c>
      <c r="AC28" s="162" t="s">
        <v>204</v>
      </c>
    </row>
    <row r="29" spans="2:29" s="28" customFormat="1" ht="99" customHeight="1" x14ac:dyDescent="0.35">
      <c r="B29" s="152">
        <v>20250019</v>
      </c>
      <c r="C29" s="50" t="s">
        <v>208</v>
      </c>
      <c r="D29" s="158" t="s">
        <v>164</v>
      </c>
      <c r="E29" s="51" t="s">
        <v>389</v>
      </c>
      <c r="F29" s="158" t="s">
        <v>761</v>
      </c>
      <c r="G29" s="158" t="s">
        <v>156</v>
      </c>
      <c r="H29" s="97">
        <v>80111600</v>
      </c>
      <c r="I29" s="159">
        <v>2</v>
      </c>
      <c r="J29" s="159">
        <v>11</v>
      </c>
      <c r="K29" s="52">
        <v>0</v>
      </c>
      <c r="L29" s="153">
        <v>66000000</v>
      </c>
      <c r="M29" s="158" t="s">
        <v>473</v>
      </c>
      <c r="N29" s="53" t="s">
        <v>113</v>
      </c>
      <c r="O29" s="51" t="s">
        <v>219</v>
      </c>
      <c r="P29" s="160" t="str">
        <f>IFERROR(VLOOKUP(C29,TD!$B$32:$F$36,2,0)," ")</f>
        <v>O230117</v>
      </c>
      <c r="Q29" s="160" t="str">
        <f>IFERROR(VLOOKUP(C29,TD!$B$32:$F$36,3,0)," ")</f>
        <v>4599</v>
      </c>
      <c r="R29" s="160">
        <f>IFERROR(VLOOKUP(C29,TD!$B$32:$F$36,4,0)," ")</f>
        <v>20240207</v>
      </c>
      <c r="S29" s="51" t="s">
        <v>185</v>
      </c>
      <c r="T29" s="160" t="str">
        <f>IFERROR(VLOOKUP(S29,TD!$J$33:$K$43,2,0)," ")</f>
        <v>Infraestructura física, mantenimiento y dotación (Sedes construidas, mantenidas reforzadas)</v>
      </c>
      <c r="U29" s="161" t="str">
        <f>CONCATENATE(S29,"-",T29)</f>
        <v>08-Infraestructura física, mantenimiento y dotación (Sedes construidas, mantenidas reforzadas)</v>
      </c>
      <c r="V29" s="51" t="s">
        <v>238</v>
      </c>
      <c r="W29" s="160" t="str">
        <f>IFERROR(VLOOKUP(V29,TD!$N$33:$O$45,2,0)," ")</f>
        <v>Sedes mantenidas</v>
      </c>
      <c r="X29" s="161" t="str">
        <f>CONCATENATE(V29,"_",W29)</f>
        <v>016_Sedes mantenidas</v>
      </c>
      <c r="Y29" s="161" t="str">
        <f>CONCATENATE(U29," ",X29)</f>
        <v>08-Infraestructura física, mantenimiento y dotación (Sedes construidas, mantenidas reforzadas) 016_Sedes mantenidas</v>
      </c>
      <c r="Z29" s="160" t="str">
        <f>CONCATENATE(P29,Q29,R29,S29,V29)</f>
        <v>O23011745992024020708016</v>
      </c>
      <c r="AA29" s="160" t="str">
        <f>IFERROR(VLOOKUP(Y29,TD!$K$46:$L$64,2,0)," ")</f>
        <v>PM/0131/0108/45990160207</v>
      </c>
      <c r="AB29" s="53" t="s">
        <v>138</v>
      </c>
      <c r="AC29" s="162" t="s">
        <v>204</v>
      </c>
    </row>
    <row r="30" spans="2:29" s="28" customFormat="1" ht="99" customHeight="1" x14ac:dyDescent="0.35">
      <c r="B30" s="152">
        <v>20250020</v>
      </c>
      <c r="C30" s="50" t="s">
        <v>208</v>
      </c>
      <c r="D30" s="158" t="s">
        <v>164</v>
      </c>
      <c r="E30" s="51" t="s">
        <v>389</v>
      </c>
      <c r="F30" s="158" t="s">
        <v>761</v>
      </c>
      <c r="G30" s="158" t="s">
        <v>156</v>
      </c>
      <c r="H30" s="97">
        <v>80111600</v>
      </c>
      <c r="I30" s="159">
        <v>2</v>
      </c>
      <c r="J30" s="159">
        <v>11</v>
      </c>
      <c r="K30" s="52">
        <v>0</v>
      </c>
      <c r="L30" s="153">
        <v>66000000</v>
      </c>
      <c r="M30" s="158" t="s">
        <v>473</v>
      </c>
      <c r="N30" s="53" t="s">
        <v>113</v>
      </c>
      <c r="O30" s="51" t="s">
        <v>219</v>
      </c>
      <c r="P30" s="160" t="str">
        <f>IFERROR(VLOOKUP(C30,TD!$B$32:$F$36,2,0)," ")</f>
        <v>O230117</v>
      </c>
      <c r="Q30" s="160" t="str">
        <f>IFERROR(VLOOKUP(C30,TD!$B$32:$F$36,3,0)," ")</f>
        <v>4599</v>
      </c>
      <c r="R30" s="160">
        <f>IFERROR(VLOOKUP(C30,TD!$B$32:$F$36,4,0)," ")</f>
        <v>20240207</v>
      </c>
      <c r="S30" s="51" t="s">
        <v>185</v>
      </c>
      <c r="T30" s="160" t="str">
        <f>IFERROR(VLOOKUP(S30,TD!$J$33:$K$43,2,0)," ")</f>
        <v>Infraestructura física, mantenimiento y dotación (Sedes construidas, mantenidas reforzadas)</v>
      </c>
      <c r="U30" s="161" t="str">
        <f>CONCATENATE(S30,"-",T30)</f>
        <v>08-Infraestructura física, mantenimiento y dotación (Sedes construidas, mantenidas reforzadas)</v>
      </c>
      <c r="V30" s="51" t="s">
        <v>238</v>
      </c>
      <c r="W30" s="160" t="str">
        <f>IFERROR(VLOOKUP(V30,TD!$N$33:$O$45,2,0)," ")</f>
        <v>Sedes mantenidas</v>
      </c>
      <c r="X30" s="161" t="str">
        <f>CONCATENATE(V30,"_",W30)</f>
        <v>016_Sedes mantenidas</v>
      </c>
      <c r="Y30" s="161" t="str">
        <f>CONCATENATE(U30," ",X30)</f>
        <v>08-Infraestructura física, mantenimiento y dotación (Sedes construidas, mantenidas reforzadas) 016_Sedes mantenidas</v>
      </c>
      <c r="Z30" s="160" t="str">
        <f>CONCATENATE(P30,Q30,R30,S30,V30)</f>
        <v>O23011745992024020708016</v>
      </c>
      <c r="AA30" s="160" t="str">
        <f>IFERROR(VLOOKUP(Y30,TD!$K$46:$L$64,2,0)," ")</f>
        <v>PM/0131/0108/45990160207</v>
      </c>
      <c r="AB30" s="53" t="s">
        <v>138</v>
      </c>
      <c r="AC30" s="162" t="s">
        <v>204</v>
      </c>
    </row>
    <row r="31" spans="2:29" s="28" customFormat="1" ht="99" customHeight="1" x14ac:dyDescent="0.35">
      <c r="B31" s="152">
        <v>20250021</v>
      </c>
      <c r="C31" s="50" t="s">
        <v>208</v>
      </c>
      <c r="D31" s="158" t="s">
        <v>164</v>
      </c>
      <c r="E31" s="51" t="s">
        <v>389</v>
      </c>
      <c r="F31" s="158" t="s">
        <v>761</v>
      </c>
      <c r="G31" s="158" t="s">
        <v>156</v>
      </c>
      <c r="H31" s="97">
        <v>80111600</v>
      </c>
      <c r="I31" s="159">
        <v>2</v>
      </c>
      <c r="J31" s="159">
        <v>11</v>
      </c>
      <c r="K31" s="52">
        <v>0</v>
      </c>
      <c r="L31" s="153">
        <v>71500000</v>
      </c>
      <c r="M31" s="158" t="s">
        <v>473</v>
      </c>
      <c r="N31" s="53" t="s">
        <v>113</v>
      </c>
      <c r="O31" s="51" t="s">
        <v>219</v>
      </c>
      <c r="P31" s="160" t="str">
        <f>IFERROR(VLOOKUP(C31,TD!$B$32:$F$36,2,0)," ")</f>
        <v>O230117</v>
      </c>
      <c r="Q31" s="160" t="str">
        <f>IFERROR(VLOOKUP(C31,TD!$B$32:$F$36,3,0)," ")</f>
        <v>4599</v>
      </c>
      <c r="R31" s="160">
        <f>IFERROR(VLOOKUP(C31,TD!$B$32:$F$36,4,0)," ")</f>
        <v>20240207</v>
      </c>
      <c r="S31" s="51" t="s">
        <v>185</v>
      </c>
      <c r="T31" s="160" t="str">
        <f>IFERROR(VLOOKUP(S31,TD!$J$33:$K$43,2,0)," ")</f>
        <v>Infraestructura física, mantenimiento y dotación (Sedes construidas, mantenidas reforzadas)</v>
      </c>
      <c r="U31" s="161" t="str">
        <f>CONCATENATE(S31,"-",T31)</f>
        <v>08-Infraestructura física, mantenimiento y dotación (Sedes construidas, mantenidas reforzadas)</v>
      </c>
      <c r="V31" s="51" t="s">
        <v>238</v>
      </c>
      <c r="W31" s="160" t="str">
        <f>IFERROR(VLOOKUP(V31,TD!$N$33:$O$45,2,0)," ")</f>
        <v>Sedes mantenidas</v>
      </c>
      <c r="X31" s="161" t="str">
        <f>CONCATENATE(V31,"_",W31)</f>
        <v>016_Sedes mantenidas</v>
      </c>
      <c r="Y31" s="161" t="str">
        <f>CONCATENATE(U31," ",X31)</f>
        <v>08-Infraestructura física, mantenimiento y dotación (Sedes construidas, mantenidas reforzadas) 016_Sedes mantenidas</v>
      </c>
      <c r="Z31" s="160" t="str">
        <f>CONCATENATE(P31,Q31,R31,S31,V31)</f>
        <v>O23011745992024020708016</v>
      </c>
      <c r="AA31" s="160" t="str">
        <f>IFERROR(VLOOKUP(Y31,TD!$K$46:$L$64,2,0)," ")</f>
        <v>PM/0131/0108/45990160207</v>
      </c>
      <c r="AB31" s="53" t="s">
        <v>138</v>
      </c>
      <c r="AC31" s="162" t="s">
        <v>204</v>
      </c>
    </row>
    <row r="32" spans="2:29" s="28" customFormat="1" ht="99" customHeight="1" x14ac:dyDescent="0.35">
      <c r="B32" s="152">
        <v>20250022</v>
      </c>
      <c r="C32" s="50" t="s">
        <v>208</v>
      </c>
      <c r="D32" s="158" t="s">
        <v>164</v>
      </c>
      <c r="E32" s="51" t="s">
        <v>389</v>
      </c>
      <c r="F32" s="158" t="s">
        <v>761</v>
      </c>
      <c r="G32" s="158" t="s">
        <v>155</v>
      </c>
      <c r="H32" s="97">
        <v>80111600</v>
      </c>
      <c r="I32" s="159">
        <v>2</v>
      </c>
      <c r="J32" s="159">
        <v>11</v>
      </c>
      <c r="K32" s="52">
        <v>0</v>
      </c>
      <c r="L32" s="153">
        <v>71500000</v>
      </c>
      <c r="M32" s="158" t="s">
        <v>473</v>
      </c>
      <c r="N32" s="53" t="s">
        <v>113</v>
      </c>
      <c r="O32" s="51" t="s">
        <v>219</v>
      </c>
      <c r="P32" s="160" t="str">
        <f>IFERROR(VLOOKUP(C32,TD!$B$32:$F$36,2,0)," ")</f>
        <v>O230117</v>
      </c>
      <c r="Q32" s="160" t="str">
        <f>IFERROR(VLOOKUP(C32,TD!$B$32:$F$36,3,0)," ")</f>
        <v>4599</v>
      </c>
      <c r="R32" s="160">
        <f>IFERROR(VLOOKUP(C32,TD!$B$32:$F$36,4,0)," ")</f>
        <v>20240207</v>
      </c>
      <c r="S32" s="51" t="s">
        <v>185</v>
      </c>
      <c r="T32" s="160" t="str">
        <f>IFERROR(VLOOKUP(S32,TD!$J$33:$K$43,2,0)," ")</f>
        <v>Infraestructura física, mantenimiento y dotación (Sedes construidas, mantenidas reforzadas)</v>
      </c>
      <c r="U32" s="161" t="str">
        <f>CONCATENATE(S32,"-",T32)</f>
        <v>08-Infraestructura física, mantenimiento y dotación (Sedes construidas, mantenidas reforzadas)</v>
      </c>
      <c r="V32" s="51" t="s">
        <v>238</v>
      </c>
      <c r="W32" s="160" t="str">
        <f>IFERROR(VLOOKUP(V32,TD!$N$33:$O$45,2,0)," ")</f>
        <v>Sedes mantenidas</v>
      </c>
      <c r="X32" s="161" t="str">
        <f>CONCATENATE(V32,"_",W32)</f>
        <v>016_Sedes mantenidas</v>
      </c>
      <c r="Y32" s="161" t="str">
        <f>CONCATENATE(U32," ",X32)</f>
        <v>08-Infraestructura física, mantenimiento y dotación (Sedes construidas, mantenidas reforzadas) 016_Sedes mantenidas</v>
      </c>
      <c r="Z32" s="160" t="str">
        <f>CONCATENATE(P32,Q32,R32,S32,V32)</f>
        <v>O23011745992024020708016</v>
      </c>
      <c r="AA32" s="160" t="str">
        <f>IFERROR(VLOOKUP(Y32,TD!$K$46:$L$64,2,0)," ")</f>
        <v>PM/0131/0108/45990160207</v>
      </c>
      <c r="AB32" s="53" t="s">
        <v>138</v>
      </c>
      <c r="AC32" s="162" t="s">
        <v>204</v>
      </c>
    </row>
    <row r="33" spans="2:29" s="28" customFormat="1" ht="99" customHeight="1" x14ac:dyDescent="0.35">
      <c r="B33" s="77">
        <v>20250023</v>
      </c>
      <c r="C33" s="50" t="s">
        <v>208</v>
      </c>
      <c r="D33" s="158" t="s">
        <v>164</v>
      </c>
      <c r="E33" s="51" t="s">
        <v>389</v>
      </c>
      <c r="F33" s="158" t="s">
        <v>388</v>
      </c>
      <c r="G33" s="158" t="s">
        <v>155</v>
      </c>
      <c r="H33" s="97">
        <v>80111600</v>
      </c>
      <c r="I33" s="159">
        <v>2</v>
      </c>
      <c r="J33" s="159">
        <v>11</v>
      </c>
      <c r="K33" s="52">
        <v>0</v>
      </c>
      <c r="L33" s="153">
        <f>93500000-1650000</f>
        <v>91850000</v>
      </c>
      <c r="M33" s="158" t="s">
        <v>473</v>
      </c>
      <c r="N33" s="53" t="s">
        <v>113</v>
      </c>
      <c r="O33" s="51" t="s">
        <v>219</v>
      </c>
      <c r="P33" s="160" t="str">
        <f>IFERROR(VLOOKUP(C33,TD!$B$32:$F$36,2,0)," ")</f>
        <v>O230117</v>
      </c>
      <c r="Q33" s="160" t="str">
        <f>IFERROR(VLOOKUP(C33,TD!$B$32:$F$36,3,0)," ")</f>
        <v>4599</v>
      </c>
      <c r="R33" s="160">
        <f>IFERROR(VLOOKUP(C33,TD!$B$32:$F$36,4,0)," ")</f>
        <v>20240207</v>
      </c>
      <c r="S33" s="51" t="s">
        <v>185</v>
      </c>
      <c r="T33" s="160" t="str">
        <f>IFERROR(VLOOKUP(S33,TD!$J$33:$K$43,2,0)," ")</f>
        <v>Infraestructura física, mantenimiento y dotación (Sedes construidas, mantenidas reforzadas)</v>
      </c>
      <c r="U33" s="161" t="str">
        <f>CONCATENATE(S33,"-",T33)</f>
        <v>08-Infraestructura física, mantenimiento y dotación (Sedes construidas, mantenidas reforzadas)</v>
      </c>
      <c r="V33" s="51" t="s">
        <v>238</v>
      </c>
      <c r="W33" s="160" t="str">
        <f>IFERROR(VLOOKUP(V33,TD!$N$33:$O$45,2,0)," ")</f>
        <v>Sedes mantenidas</v>
      </c>
      <c r="X33" s="161" t="str">
        <f>CONCATENATE(V33,"_",W33)</f>
        <v>016_Sedes mantenidas</v>
      </c>
      <c r="Y33" s="161" t="str">
        <f>CONCATENATE(U33," ",X33)</f>
        <v>08-Infraestructura física, mantenimiento y dotación (Sedes construidas, mantenidas reforzadas) 016_Sedes mantenidas</v>
      </c>
      <c r="Z33" s="160" t="str">
        <f>CONCATENATE(P33,Q33,R33,S33,V33)</f>
        <v>O23011745992024020708016</v>
      </c>
      <c r="AA33" s="160" t="str">
        <f>IFERROR(VLOOKUP(Y33,TD!$K$46:$L$64,2,0)," ")</f>
        <v>PM/0131/0108/45990160207</v>
      </c>
      <c r="AB33" s="53" t="s">
        <v>138</v>
      </c>
      <c r="AC33" s="162" t="s">
        <v>204</v>
      </c>
    </row>
    <row r="34" spans="2:29" s="28" customFormat="1" ht="99" customHeight="1" x14ac:dyDescent="0.35">
      <c r="B34" s="77">
        <v>20250024</v>
      </c>
      <c r="C34" s="50" t="s">
        <v>208</v>
      </c>
      <c r="D34" s="158" t="s">
        <v>164</v>
      </c>
      <c r="E34" s="51" t="s">
        <v>389</v>
      </c>
      <c r="F34" s="158" t="s">
        <v>467</v>
      </c>
      <c r="G34" s="158" t="s">
        <v>155</v>
      </c>
      <c r="H34" s="97">
        <v>80111600</v>
      </c>
      <c r="I34" s="159">
        <v>2</v>
      </c>
      <c r="J34" s="159">
        <v>11</v>
      </c>
      <c r="K34" s="52">
        <v>0</v>
      </c>
      <c r="L34" s="154">
        <v>346500000</v>
      </c>
      <c r="M34" s="158" t="s">
        <v>473</v>
      </c>
      <c r="N34" s="53" t="s">
        <v>113</v>
      </c>
      <c r="O34" s="51" t="s">
        <v>219</v>
      </c>
      <c r="P34" s="160" t="str">
        <f>IFERROR(VLOOKUP(C34,TD!$B$32:$F$36,2,0)," ")</f>
        <v>O230117</v>
      </c>
      <c r="Q34" s="160" t="str">
        <f>IFERROR(VLOOKUP(C34,TD!$B$32:$F$36,3,0)," ")</f>
        <v>4599</v>
      </c>
      <c r="R34" s="160">
        <f>IFERROR(VLOOKUP(C34,TD!$B$32:$F$36,4,0)," ")</f>
        <v>20240207</v>
      </c>
      <c r="S34" s="51" t="s">
        <v>185</v>
      </c>
      <c r="T34" s="160" t="str">
        <f>IFERROR(VLOOKUP(S34,TD!$J$33:$K$43,2,0)," ")</f>
        <v>Infraestructura física, mantenimiento y dotación (Sedes construidas, mantenidas reforzadas)</v>
      </c>
      <c r="U34" s="161" t="str">
        <f>CONCATENATE(S34,"-",T34)</f>
        <v>08-Infraestructura física, mantenimiento y dotación (Sedes construidas, mantenidas reforzadas)</v>
      </c>
      <c r="V34" s="51" t="s">
        <v>238</v>
      </c>
      <c r="W34" s="160" t="str">
        <f>IFERROR(VLOOKUP(V34,TD!$N$33:$O$45,2,0)," ")</f>
        <v>Sedes mantenidas</v>
      </c>
      <c r="X34" s="161" t="str">
        <f>CONCATENATE(V34,"_",W34)</f>
        <v>016_Sedes mantenidas</v>
      </c>
      <c r="Y34" s="161" t="str">
        <f>CONCATENATE(U34," ",X34)</f>
        <v>08-Infraestructura física, mantenimiento y dotación (Sedes construidas, mantenidas reforzadas) 016_Sedes mantenidas</v>
      </c>
      <c r="Z34" s="160" t="str">
        <f>CONCATENATE(P34,Q34,R34,S34,V34)</f>
        <v>O23011745992024020708016</v>
      </c>
      <c r="AA34" s="160" t="str">
        <f>IFERROR(VLOOKUP(Y34,TD!$K$46:$L$64,2,0)," ")</f>
        <v>PM/0131/0108/45990160207</v>
      </c>
      <c r="AB34" s="53" t="s">
        <v>120</v>
      </c>
      <c r="AC34" s="162" t="s">
        <v>204</v>
      </c>
    </row>
    <row r="35" spans="2:29" s="28" customFormat="1" ht="99" customHeight="1" x14ac:dyDescent="0.35">
      <c r="B35" s="77">
        <v>20250025</v>
      </c>
      <c r="C35" s="50" t="s">
        <v>208</v>
      </c>
      <c r="D35" s="158" t="s">
        <v>164</v>
      </c>
      <c r="E35" s="51" t="s">
        <v>389</v>
      </c>
      <c r="F35" s="158" t="s">
        <v>762</v>
      </c>
      <c r="G35" s="158" t="s">
        <v>155</v>
      </c>
      <c r="H35" s="97">
        <v>80111600</v>
      </c>
      <c r="I35" s="159">
        <v>2</v>
      </c>
      <c r="J35" s="159">
        <v>11</v>
      </c>
      <c r="K35" s="52">
        <v>0</v>
      </c>
      <c r="L35" s="153">
        <f>55000000-2750000</f>
        <v>52250000</v>
      </c>
      <c r="M35" s="158" t="s">
        <v>473</v>
      </c>
      <c r="N35" s="53" t="s">
        <v>113</v>
      </c>
      <c r="O35" s="51" t="s">
        <v>219</v>
      </c>
      <c r="P35" s="160" t="str">
        <f>IFERROR(VLOOKUP(C35,TD!$B$32:$F$36,2,0)," ")</f>
        <v>O230117</v>
      </c>
      <c r="Q35" s="160" t="str">
        <f>IFERROR(VLOOKUP(C35,TD!$B$32:$F$36,3,0)," ")</f>
        <v>4599</v>
      </c>
      <c r="R35" s="160">
        <f>IFERROR(VLOOKUP(C35,TD!$B$32:$F$36,4,0)," ")</f>
        <v>20240207</v>
      </c>
      <c r="S35" s="51" t="s">
        <v>185</v>
      </c>
      <c r="T35" s="160" t="str">
        <f>IFERROR(VLOOKUP(S35,TD!$J$33:$K$43,2,0)," ")</f>
        <v>Infraestructura física, mantenimiento y dotación (Sedes construidas, mantenidas reforzadas)</v>
      </c>
      <c r="U35" s="161" t="str">
        <f>CONCATENATE(S35,"-",T35)</f>
        <v>08-Infraestructura física, mantenimiento y dotación (Sedes construidas, mantenidas reforzadas)</v>
      </c>
      <c r="V35" s="51" t="s">
        <v>238</v>
      </c>
      <c r="W35" s="160" t="str">
        <f>IFERROR(VLOOKUP(V35,TD!$N$33:$O$45,2,0)," ")</f>
        <v>Sedes mantenidas</v>
      </c>
      <c r="X35" s="161" t="str">
        <f>CONCATENATE(V35,"_",W35)</f>
        <v>016_Sedes mantenidas</v>
      </c>
      <c r="Y35" s="161" t="str">
        <f>CONCATENATE(U35," ",X35)</f>
        <v>08-Infraestructura física, mantenimiento y dotación (Sedes construidas, mantenidas reforzadas) 016_Sedes mantenidas</v>
      </c>
      <c r="Z35" s="160" t="str">
        <f>CONCATENATE(P35,Q35,R35,S35,V35)</f>
        <v>O23011745992024020708016</v>
      </c>
      <c r="AA35" s="160" t="str">
        <f>IFERROR(VLOOKUP(Y35,TD!$K$46:$L$64,2,0)," ")</f>
        <v>PM/0131/0108/45990160207</v>
      </c>
      <c r="AB35" s="53" t="s">
        <v>138</v>
      </c>
      <c r="AC35" s="162" t="s">
        <v>204</v>
      </c>
    </row>
    <row r="36" spans="2:29" s="28" customFormat="1" ht="99" customHeight="1" x14ac:dyDescent="0.35">
      <c r="B36" s="77">
        <v>20250026</v>
      </c>
      <c r="C36" s="50" t="s">
        <v>208</v>
      </c>
      <c r="D36" s="158" t="s">
        <v>164</v>
      </c>
      <c r="E36" s="51" t="s">
        <v>389</v>
      </c>
      <c r="F36" s="158" t="s">
        <v>763</v>
      </c>
      <c r="G36" s="158" t="s">
        <v>156</v>
      </c>
      <c r="H36" s="97">
        <v>80111600</v>
      </c>
      <c r="I36" s="159">
        <v>2</v>
      </c>
      <c r="J36" s="159">
        <v>11</v>
      </c>
      <c r="K36" s="52">
        <v>0</v>
      </c>
      <c r="L36" s="153">
        <v>37400000</v>
      </c>
      <c r="M36" s="158" t="s">
        <v>473</v>
      </c>
      <c r="N36" s="53" t="s">
        <v>113</v>
      </c>
      <c r="O36" s="51" t="s">
        <v>219</v>
      </c>
      <c r="P36" s="160" t="str">
        <f>IFERROR(VLOOKUP(C36,TD!$B$32:$F$36,2,0)," ")</f>
        <v>O230117</v>
      </c>
      <c r="Q36" s="160" t="str">
        <f>IFERROR(VLOOKUP(C36,TD!$B$32:$F$36,3,0)," ")</f>
        <v>4599</v>
      </c>
      <c r="R36" s="160">
        <f>IFERROR(VLOOKUP(C36,TD!$B$32:$F$36,4,0)," ")</f>
        <v>20240207</v>
      </c>
      <c r="S36" s="51" t="s">
        <v>185</v>
      </c>
      <c r="T36" s="160" t="str">
        <f>IFERROR(VLOOKUP(S36,TD!$J$33:$K$43,2,0)," ")</f>
        <v>Infraestructura física, mantenimiento y dotación (Sedes construidas, mantenidas reforzadas)</v>
      </c>
      <c r="U36" s="161" t="str">
        <f>CONCATENATE(S36,"-",T36)</f>
        <v>08-Infraestructura física, mantenimiento y dotación (Sedes construidas, mantenidas reforzadas)</v>
      </c>
      <c r="V36" s="51" t="s">
        <v>238</v>
      </c>
      <c r="W36" s="160" t="str">
        <f>IFERROR(VLOOKUP(V36,TD!$N$33:$O$45,2,0)," ")</f>
        <v>Sedes mantenidas</v>
      </c>
      <c r="X36" s="161" t="str">
        <f>CONCATENATE(V36,"_",W36)</f>
        <v>016_Sedes mantenidas</v>
      </c>
      <c r="Y36" s="161" t="str">
        <f>CONCATENATE(U36," ",X36)</f>
        <v>08-Infraestructura física, mantenimiento y dotación (Sedes construidas, mantenidas reforzadas) 016_Sedes mantenidas</v>
      </c>
      <c r="Z36" s="160" t="str">
        <f>CONCATENATE(P36,Q36,R36,S36,V36)</f>
        <v>O23011745992024020708016</v>
      </c>
      <c r="AA36" s="160" t="str">
        <f>IFERROR(VLOOKUP(Y36,TD!$K$46:$L$64,2,0)," ")</f>
        <v>PM/0131/0108/45990160207</v>
      </c>
      <c r="AB36" s="53" t="s">
        <v>138</v>
      </c>
      <c r="AC36" s="162" t="s">
        <v>204</v>
      </c>
    </row>
    <row r="37" spans="2:29" s="28" customFormat="1" ht="99" customHeight="1" x14ac:dyDescent="0.35">
      <c r="B37" s="77">
        <v>20250027</v>
      </c>
      <c r="C37" s="50" t="s">
        <v>208</v>
      </c>
      <c r="D37" s="158" t="s">
        <v>164</v>
      </c>
      <c r="E37" s="51" t="s">
        <v>389</v>
      </c>
      <c r="F37" s="158" t="s">
        <v>468</v>
      </c>
      <c r="G37" s="158" t="s">
        <v>156</v>
      </c>
      <c r="H37" s="97">
        <v>80111600</v>
      </c>
      <c r="I37" s="159">
        <v>2</v>
      </c>
      <c r="J37" s="159">
        <v>11</v>
      </c>
      <c r="K37" s="52">
        <v>0</v>
      </c>
      <c r="L37" s="153">
        <v>37400000</v>
      </c>
      <c r="M37" s="158" t="s">
        <v>473</v>
      </c>
      <c r="N37" s="53" t="s">
        <v>113</v>
      </c>
      <c r="O37" s="51" t="s">
        <v>219</v>
      </c>
      <c r="P37" s="160" t="str">
        <f>IFERROR(VLOOKUP(C37,TD!$B$32:$F$36,2,0)," ")</f>
        <v>O230117</v>
      </c>
      <c r="Q37" s="160" t="str">
        <f>IFERROR(VLOOKUP(C37,TD!$B$32:$F$36,3,0)," ")</f>
        <v>4599</v>
      </c>
      <c r="R37" s="160">
        <f>IFERROR(VLOOKUP(C37,TD!$B$32:$F$36,4,0)," ")</f>
        <v>20240207</v>
      </c>
      <c r="S37" s="51" t="s">
        <v>185</v>
      </c>
      <c r="T37" s="160" t="str">
        <f>IFERROR(VLOOKUP(S37,TD!$J$33:$K$43,2,0)," ")</f>
        <v>Infraestructura física, mantenimiento y dotación (Sedes construidas, mantenidas reforzadas)</v>
      </c>
      <c r="U37" s="161" t="str">
        <f>CONCATENATE(S37,"-",T37)</f>
        <v>08-Infraestructura física, mantenimiento y dotación (Sedes construidas, mantenidas reforzadas)</v>
      </c>
      <c r="V37" s="51" t="s">
        <v>238</v>
      </c>
      <c r="W37" s="160" t="str">
        <f>IFERROR(VLOOKUP(V37,TD!$N$33:$O$45,2,0)," ")</f>
        <v>Sedes mantenidas</v>
      </c>
      <c r="X37" s="161" t="str">
        <f>CONCATENATE(V37,"_",W37)</f>
        <v>016_Sedes mantenidas</v>
      </c>
      <c r="Y37" s="161" t="str">
        <f>CONCATENATE(U37," ",X37)</f>
        <v>08-Infraestructura física, mantenimiento y dotación (Sedes construidas, mantenidas reforzadas) 016_Sedes mantenidas</v>
      </c>
      <c r="Z37" s="160" t="str">
        <f>CONCATENATE(P37,Q37,R37,S37,V37)</f>
        <v>O23011745992024020708016</v>
      </c>
      <c r="AA37" s="160" t="str">
        <f>IFERROR(VLOOKUP(Y37,TD!$K$46:$L$64,2,0)," ")</f>
        <v>PM/0131/0108/45990160207</v>
      </c>
      <c r="AB37" s="53" t="s">
        <v>138</v>
      </c>
      <c r="AC37" s="162" t="s">
        <v>204</v>
      </c>
    </row>
    <row r="38" spans="2:29" s="28" customFormat="1" ht="99" customHeight="1" x14ac:dyDescent="0.35">
      <c r="B38" s="77">
        <v>20250028</v>
      </c>
      <c r="C38" s="50" t="s">
        <v>208</v>
      </c>
      <c r="D38" s="158" t="s">
        <v>164</v>
      </c>
      <c r="E38" s="51" t="s">
        <v>389</v>
      </c>
      <c r="F38" s="158" t="s">
        <v>468</v>
      </c>
      <c r="G38" s="158" t="s">
        <v>156</v>
      </c>
      <c r="H38" s="97">
        <v>80111600</v>
      </c>
      <c r="I38" s="159">
        <v>2</v>
      </c>
      <c r="J38" s="159">
        <v>11</v>
      </c>
      <c r="K38" s="52">
        <v>0</v>
      </c>
      <c r="L38" s="153">
        <v>37400000</v>
      </c>
      <c r="M38" s="158" t="s">
        <v>473</v>
      </c>
      <c r="N38" s="53" t="s">
        <v>113</v>
      </c>
      <c r="O38" s="51" t="s">
        <v>219</v>
      </c>
      <c r="P38" s="160" t="str">
        <f>IFERROR(VLOOKUP(C38,TD!$B$32:$F$36,2,0)," ")</f>
        <v>O230117</v>
      </c>
      <c r="Q38" s="160" t="str">
        <f>IFERROR(VLOOKUP(C38,TD!$B$32:$F$36,3,0)," ")</f>
        <v>4599</v>
      </c>
      <c r="R38" s="160">
        <f>IFERROR(VLOOKUP(C38,TD!$B$32:$F$36,4,0)," ")</f>
        <v>20240207</v>
      </c>
      <c r="S38" s="51" t="s">
        <v>185</v>
      </c>
      <c r="T38" s="160" t="str">
        <f>IFERROR(VLOOKUP(S38,TD!$J$33:$K$43,2,0)," ")</f>
        <v>Infraestructura física, mantenimiento y dotación (Sedes construidas, mantenidas reforzadas)</v>
      </c>
      <c r="U38" s="161" t="str">
        <f>CONCATENATE(S38,"-",T38)</f>
        <v>08-Infraestructura física, mantenimiento y dotación (Sedes construidas, mantenidas reforzadas)</v>
      </c>
      <c r="V38" s="51" t="s">
        <v>238</v>
      </c>
      <c r="W38" s="160" t="str">
        <f>IFERROR(VLOOKUP(V38,TD!$N$33:$O$45,2,0)," ")</f>
        <v>Sedes mantenidas</v>
      </c>
      <c r="X38" s="161" t="str">
        <f>CONCATENATE(V38,"_",W38)</f>
        <v>016_Sedes mantenidas</v>
      </c>
      <c r="Y38" s="161" t="str">
        <f>CONCATENATE(U38," ",X38)</f>
        <v>08-Infraestructura física, mantenimiento y dotación (Sedes construidas, mantenidas reforzadas) 016_Sedes mantenidas</v>
      </c>
      <c r="Z38" s="160" t="str">
        <f>CONCATENATE(P38,Q38,R38,S38,V38)</f>
        <v>O23011745992024020708016</v>
      </c>
      <c r="AA38" s="160" t="str">
        <f>IFERROR(VLOOKUP(Y38,TD!$K$46:$L$64,2,0)," ")</f>
        <v>PM/0131/0108/45990160207</v>
      </c>
      <c r="AB38" s="53" t="s">
        <v>138</v>
      </c>
      <c r="AC38" s="162" t="s">
        <v>204</v>
      </c>
    </row>
    <row r="39" spans="2:29" s="28" customFormat="1" ht="99" customHeight="1" x14ac:dyDescent="0.35">
      <c r="B39" s="77">
        <v>20250029</v>
      </c>
      <c r="C39" s="50" t="s">
        <v>208</v>
      </c>
      <c r="D39" s="158" t="s">
        <v>164</v>
      </c>
      <c r="E39" s="51" t="s">
        <v>389</v>
      </c>
      <c r="F39" s="158" t="s">
        <v>763</v>
      </c>
      <c r="G39" s="158" t="s">
        <v>155</v>
      </c>
      <c r="H39" s="97">
        <v>80111600</v>
      </c>
      <c r="I39" s="159">
        <v>2</v>
      </c>
      <c r="J39" s="159">
        <v>11</v>
      </c>
      <c r="K39" s="52">
        <v>0</v>
      </c>
      <c r="L39" s="153">
        <v>71500000</v>
      </c>
      <c r="M39" s="158" t="s">
        <v>473</v>
      </c>
      <c r="N39" s="53" t="s">
        <v>113</v>
      </c>
      <c r="O39" s="51" t="s">
        <v>219</v>
      </c>
      <c r="P39" s="160" t="str">
        <f>IFERROR(VLOOKUP(C39,TD!$B$32:$F$36,2,0)," ")</f>
        <v>O230117</v>
      </c>
      <c r="Q39" s="160" t="str">
        <f>IFERROR(VLOOKUP(C39,TD!$B$32:$F$36,3,0)," ")</f>
        <v>4599</v>
      </c>
      <c r="R39" s="160">
        <f>IFERROR(VLOOKUP(C39,TD!$B$32:$F$36,4,0)," ")</f>
        <v>20240207</v>
      </c>
      <c r="S39" s="51" t="s">
        <v>185</v>
      </c>
      <c r="T39" s="160" t="str">
        <f>IFERROR(VLOOKUP(S39,TD!$J$33:$K$43,2,0)," ")</f>
        <v>Infraestructura física, mantenimiento y dotación (Sedes construidas, mantenidas reforzadas)</v>
      </c>
      <c r="U39" s="161" t="str">
        <f>CONCATENATE(S39,"-",T39)</f>
        <v>08-Infraestructura física, mantenimiento y dotación (Sedes construidas, mantenidas reforzadas)</v>
      </c>
      <c r="V39" s="51" t="s">
        <v>238</v>
      </c>
      <c r="W39" s="160" t="str">
        <f>IFERROR(VLOOKUP(V39,TD!$N$33:$O$45,2,0)," ")</f>
        <v>Sedes mantenidas</v>
      </c>
      <c r="X39" s="161" t="str">
        <f>CONCATENATE(V39,"_",W39)</f>
        <v>016_Sedes mantenidas</v>
      </c>
      <c r="Y39" s="161" t="str">
        <f>CONCATENATE(U39," ",X39)</f>
        <v>08-Infraestructura física, mantenimiento y dotación (Sedes construidas, mantenidas reforzadas) 016_Sedes mantenidas</v>
      </c>
      <c r="Z39" s="160" t="str">
        <f>CONCATENATE(P39,Q39,R39,S39,V39)</f>
        <v>O23011745992024020708016</v>
      </c>
      <c r="AA39" s="160" t="str">
        <f>IFERROR(VLOOKUP(Y39,TD!$K$46:$L$64,2,0)," ")</f>
        <v>PM/0131/0108/45990160207</v>
      </c>
      <c r="AB39" s="53" t="s">
        <v>138</v>
      </c>
      <c r="AC39" s="162" t="s">
        <v>204</v>
      </c>
    </row>
    <row r="40" spans="2:29" s="28" customFormat="1" ht="99" customHeight="1" x14ac:dyDescent="0.35">
      <c r="B40" s="77">
        <v>20250030</v>
      </c>
      <c r="C40" s="50" t="s">
        <v>208</v>
      </c>
      <c r="D40" s="158" t="s">
        <v>164</v>
      </c>
      <c r="E40" s="51" t="s">
        <v>389</v>
      </c>
      <c r="F40" s="158" t="s">
        <v>469</v>
      </c>
      <c r="G40" s="158" t="s">
        <v>155</v>
      </c>
      <c r="H40" s="97">
        <v>80111600</v>
      </c>
      <c r="I40" s="159">
        <v>2</v>
      </c>
      <c r="J40" s="159">
        <v>11</v>
      </c>
      <c r="K40" s="52">
        <v>0</v>
      </c>
      <c r="L40" s="153">
        <v>71500000</v>
      </c>
      <c r="M40" s="158" t="s">
        <v>473</v>
      </c>
      <c r="N40" s="53" t="s">
        <v>113</v>
      </c>
      <c r="O40" s="51" t="s">
        <v>219</v>
      </c>
      <c r="P40" s="160" t="str">
        <f>IFERROR(VLOOKUP(C40,TD!$B$32:$F$36,2,0)," ")</f>
        <v>O230117</v>
      </c>
      <c r="Q40" s="160" t="str">
        <f>IFERROR(VLOOKUP(C40,TD!$B$32:$F$36,3,0)," ")</f>
        <v>4599</v>
      </c>
      <c r="R40" s="160">
        <f>IFERROR(VLOOKUP(C40,TD!$B$32:$F$36,4,0)," ")</f>
        <v>20240207</v>
      </c>
      <c r="S40" s="51" t="s">
        <v>185</v>
      </c>
      <c r="T40" s="160" t="str">
        <f>IFERROR(VLOOKUP(S40,TD!$J$33:$K$43,2,0)," ")</f>
        <v>Infraestructura física, mantenimiento y dotación (Sedes construidas, mantenidas reforzadas)</v>
      </c>
      <c r="U40" s="161" t="str">
        <f>CONCATENATE(S40,"-",T40)</f>
        <v>08-Infraestructura física, mantenimiento y dotación (Sedes construidas, mantenidas reforzadas)</v>
      </c>
      <c r="V40" s="51" t="s">
        <v>238</v>
      </c>
      <c r="W40" s="160" t="str">
        <f>IFERROR(VLOOKUP(V40,TD!$N$33:$O$45,2,0)," ")</f>
        <v>Sedes mantenidas</v>
      </c>
      <c r="X40" s="161" t="str">
        <f>CONCATENATE(V40,"_",W40)</f>
        <v>016_Sedes mantenidas</v>
      </c>
      <c r="Y40" s="161" t="str">
        <f>CONCATENATE(U40," ",X40)</f>
        <v>08-Infraestructura física, mantenimiento y dotación (Sedes construidas, mantenidas reforzadas) 016_Sedes mantenidas</v>
      </c>
      <c r="Z40" s="160" t="str">
        <f>CONCATENATE(P40,Q40,R40,S40,V40)</f>
        <v>O23011745992024020708016</v>
      </c>
      <c r="AA40" s="160" t="str">
        <f>IFERROR(VLOOKUP(Y40,TD!$K$46:$L$64,2,0)," ")</f>
        <v>PM/0131/0108/45990160207</v>
      </c>
      <c r="AB40" s="53" t="s">
        <v>120</v>
      </c>
      <c r="AC40" s="162" t="s">
        <v>204</v>
      </c>
    </row>
    <row r="41" spans="2:29" s="28" customFormat="1" ht="99" customHeight="1" x14ac:dyDescent="0.35">
      <c r="B41" s="77">
        <v>20250031</v>
      </c>
      <c r="C41" s="50" t="s">
        <v>208</v>
      </c>
      <c r="D41" s="158" t="s">
        <v>164</v>
      </c>
      <c r="E41" s="51" t="s">
        <v>389</v>
      </c>
      <c r="F41" s="158" t="s">
        <v>470</v>
      </c>
      <c r="G41" s="158" t="s">
        <v>155</v>
      </c>
      <c r="H41" s="97">
        <v>80111600</v>
      </c>
      <c r="I41" s="159">
        <v>2</v>
      </c>
      <c r="J41" s="159">
        <v>11</v>
      </c>
      <c r="K41" s="52">
        <v>0</v>
      </c>
      <c r="L41" s="153">
        <f>60500000-8250000</f>
        <v>52250000</v>
      </c>
      <c r="M41" s="158" t="s">
        <v>473</v>
      </c>
      <c r="N41" s="53" t="s">
        <v>113</v>
      </c>
      <c r="O41" s="51" t="s">
        <v>219</v>
      </c>
      <c r="P41" s="160" t="str">
        <f>IFERROR(VLOOKUP(C41,TD!$B$32:$F$36,2,0)," ")</f>
        <v>O230117</v>
      </c>
      <c r="Q41" s="160" t="str">
        <f>IFERROR(VLOOKUP(C41,TD!$B$32:$F$36,3,0)," ")</f>
        <v>4599</v>
      </c>
      <c r="R41" s="160">
        <f>IFERROR(VLOOKUP(C41,TD!$B$32:$F$36,4,0)," ")</f>
        <v>20240207</v>
      </c>
      <c r="S41" s="51" t="s">
        <v>185</v>
      </c>
      <c r="T41" s="160" t="str">
        <f>IFERROR(VLOOKUP(S41,TD!$J$33:$K$43,2,0)," ")</f>
        <v>Infraestructura física, mantenimiento y dotación (Sedes construidas, mantenidas reforzadas)</v>
      </c>
      <c r="U41" s="161" t="str">
        <f>CONCATENATE(S41,"-",T41)</f>
        <v>08-Infraestructura física, mantenimiento y dotación (Sedes construidas, mantenidas reforzadas)</v>
      </c>
      <c r="V41" s="51" t="s">
        <v>238</v>
      </c>
      <c r="W41" s="160" t="str">
        <f>IFERROR(VLOOKUP(V41,TD!$N$33:$O$45,2,0)," ")</f>
        <v>Sedes mantenidas</v>
      </c>
      <c r="X41" s="161" t="str">
        <f>CONCATENATE(V41,"_",W41)</f>
        <v>016_Sedes mantenidas</v>
      </c>
      <c r="Y41" s="161" t="str">
        <f>CONCATENATE(U41," ",X41)</f>
        <v>08-Infraestructura física, mantenimiento y dotación (Sedes construidas, mantenidas reforzadas) 016_Sedes mantenidas</v>
      </c>
      <c r="Z41" s="160" t="str">
        <f>CONCATENATE(P41,Q41,R41,S41,V41)</f>
        <v>O23011745992024020708016</v>
      </c>
      <c r="AA41" s="160" t="str">
        <f>IFERROR(VLOOKUP(Y41,TD!$K$46:$L$64,2,0)," ")</f>
        <v>PM/0131/0108/45990160207</v>
      </c>
      <c r="AB41" s="53" t="s">
        <v>138</v>
      </c>
      <c r="AC41" s="162" t="s">
        <v>204</v>
      </c>
    </row>
    <row r="42" spans="2:29" s="28" customFormat="1" ht="99" customHeight="1" x14ac:dyDescent="0.35">
      <c r="B42" s="77">
        <v>20250032</v>
      </c>
      <c r="C42" s="50" t="s">
        <v>208</v>
      </c>
      <c r="D42" s="158" t="s">
        <v>164</v>
      </c>
      <c r="E42" s="51" t="s">
        <v>389</v>
      </c>
      <c r="F42" s="158" t="s">
        <v>470</v>
      </c>
      <c r="G42" s="158" t="s">
        <v>155</v>
      </c>
      <c r="H42" s="97">
        <v>80111600</v>
      </c>
      <c r="I42" s="159">
        <v>2</v>
      </c>
      <c r="J42" s="159">
        <v>11</v>
      </c>
      <c r="K42" s="52">
        <v>0</v>
      </c>
      <c r="L42" s="153">
        <f>60500000-8250000</f>
        <v>52250000</v>
      </c>
      <c r="M42" s="158" t="s">
        <v>473</v>
      </c>
      <c r="N42" s="53" t="s">
        <v>113</v>
      </c>
      <c r="O42" s="51" t="s">
        <v>219</v>
      </c>
      <c r="P42" s="160" t="str">
        <f>IFERROR(VLOOKUP(C42,TD!$B$32:$F$36,2,0)," ")</f>
        <v>O230117</v>
      </c>
      <c r="Q42" s="160" t="str">
        <f>IFERROR(VLOOKUP(C42,TD!$B$32:$F$36,3,0)," ")</f>
        <v>4599</v>
      </c>
      <c r="R42" s="160">
        <f>IFERROR(VLOOKUP(C42,TD!$B$32:$F$36,4,0)," ")</f>
        <v>20240207</v>
      </c>
      <c r="S42" s="51" t="s">
        <v>185</v>
      </c>
      <c r="T42" s="160" t="str">
        <f>IFERROR(VLOOKUP(S42,TD!$J$33:$K$43,2,0)," ")</f>
        <v>Infraestructura física, mantenimiento y dotación (Sedes construidas, mantenidas reforzadas)</v>
      </c>
      <c r="U42" s="161" t="str">
        <f>CONCATENATE(S42,"-",T42)</f>
        <v>08-Infraestructura física, mantenimiento y dotación (Sedes construidas, mantenidas reforzadas)</v>
      </c>
      <c r="V42" s="51" t="s">
        <v>238</v>
      </c>
      <c r="W42" s="160" t="str">
        <f>IFERROR(VLOOKUP(V42,TD!$N$33:$O$45,2,0)," ")</f>
        <v>Sedes mantenidas</v>
      </c>
      <c r="X42" s="161" t="str">
        <f>CONCATENATE(V42,"_",W42)</f>
        <v>016_Sedes mantenidas</v>
      </c>
      <c r="Y42" s="161" t="str">
        <f>CONCATENATE(U42," ",X42)</f>
        <v>08-Infraestructura física, mantenimiento y dotación (Sedes construidas, mantenidas reforzadas) 016_Sedes mantenidas</v>
      </c>
      <c r="Z42" s="160" t="str">
        <f>CONCATENATE(P42,Q42,R42,S42,V42)</f>
        <v>O23011745992024020708016</v>
      </c>
      <c r="AA42" s="160" t="str">
        <f>IFERROR(VLOOKUP(Y42,TD!$K$46:$L$64,2,0)," ")</f>
        <v>PM/0131/0108/45990160207</v>
      </c>
      <c r="AB42" s="53" t="s">
        <v>138</v>
      </c>
      <c r="AC42" s="162" t="s">
        <v>204</v>
      </c>
    </row>
    <row r="43" spans="2:29" s="28" customFormat="1" ht="99" customHeight="1" x14ac:dyDescent="0.35">
      <c r="B43" s="77">
        <v>20250033</v>
      </c>
      <c r="C43" s="50" t="s">
        <v>208</v>
      </c>
      <c r="D43" s="158" t="s">
        <v>164</v>
      </c>
      <c r="E43" s="51" t="s">
        <v>389</v>
      </c>
      <c r="F43" s="158" t="s">
        <v>471</v>
      </c>
      <c r="G43" s="158" t="s">
        <v>155</v>
      </c>
      <c r="H43" s="97">
        <v>80111600</v>
      </c>
      <c r="I43" s="159">
        <v>2</v>
      </c>
      <c r="J43" s="159">
        <v>11</v>
      </c>
      <c r="K43" s="52">
        <v>0</v>
      </c>
      <c r="L43" s="153">
        <v>71500000</v>
      </c>
      <c r="M43" s="158" t="s">
        <v>473</v>
      </c>
      <c r="N43" s="53" t="s">
        <v>113</v>
      </c>
      <c r="O43" s="51" t="s">
        <v>219</v>
      </c>
      <c r="P43" s="160" t="str">
        <f>IFERROR(VLOOKUP(C43,TD!$B$32:$F$36,2,0)," ")</f>
        <v>O230117</v>
      </c>
      <c r="Q43" s="160" t="str">
        <f>IFERROR(VLOOKUP(C43,TD!$B$32:$F$36,3,0)," ")</f>
        <v>4599</v>
      </c>
      <c r="R43" s="160">
        <f>IFERROR(VLOOKUP(C43,TD!$B$32:$F$36,4,0)," ")</f>
        <v>20240207</v>
      </c>
      <c r="S43" s="51" t="s">
        <v>185</v>
      </c>
      <c r="T43" s="160" t="str">
        <f>IFERROR(VLOOKUP(S43,TD!$J$33:$K$43,2,0)," ")</f>
        <v>Infraestructura física, mantenimiento y dotación (Sedes construidas, mantenidas reforzadas)</v>
      </c>
      <c r="U43" s="161" t="str">
        <f>CONCATENATE(S43,"-",T43)</f>
        <v>08-Infraestructura física, mantenimiento y dotación (Sedes construidas, mantenidas reforzadas)</v>
      </c>
      <c r="V43" s="51" t="s">
        <v>238</v>
      </c>
      <c r="W43" s="160" t="str">
        <f>IFERROR(VLOOKUP(V43,TD!$N$33:$O$45,2,0)," ")</f>
        <v>Sedes mantenidas</v>
      </c>
      <c r="X43" s="161" t="str">
        <f>CONCATENATE(V43,"_",W43)</f>
        <v>016_Sedes mantenidas</v>
      </c>
      <c r="Y43" s="161" t="str">
        <f>CONCATENATE(U43," ",X43)</f>
        <v>08-Infraestructura física, mantenimiento y dotación (Sedes construidas, mantenidas reforzadas) 016_Sedes mantenidas</v>
      </c>
      <c r="Z43" s="160" t="str">
        <f>CONCATENATE(P43,Q43,R43,S43,V43)</f>
        <v>O23011745992024020708016</v>
      </c>
      <c r="AA43" s="160" t="str">
        <f>IFERROR(VLOOKUP(Y43,TD!$K$46:$L$64,2,0)," ")</f>
        <v>PM/0131/0108/45990160207</v>
      </c>
      <c r="AB43" s="53" t="s">
        <v>120</v>
      </c>
      <c r="AC43" s="162" t="s">
        <v>204</v>
      </c>
    </row>
    <row r="44" spans="2:29" s="28" customFormat="1" ht="99" customHeight="1" x14ac:dyDescent="0.35">
      <c r="B44" s="77">
        <v>20250034</v>
      </c>
      <c r="C44" s="50" t="s">
        <v>208</v>
      </c>
      <c r="D44" s="158" t="s">
        <v>164</v>
      </c>
      <c r="E44" s="51" t="s">
        <v>389</v>
      </c>
      <c r="F44" s="158" t="s">
        <v>472</v>
      </c>
      <c r="G44" s="158" t="s">
        <v>155</v>
      </c>
      <c r="H44" s="97">
        <v>80111600</v>
      </c>
      <c r="I44" s="159">
        <v>2</v>
      </c>
      <c r="J44" s="159">
        <v>11</v>
      </c>
      <c r="K44" s="52">
        <v>0</v>
      </c>
      <c r="L44" s="153">
        <v>82500000</v>
      </c>
      <c r="M44" s="158" t="s">
        <v>473</v>
      </c>
      <c r="N44" s="53" t="s">
        <v>113</v>
      </c>
      <c r="O44" s="51" t="s">
        <v>219</v>
      </c>
      <c r="P44" s="160" t="str">
        <f>IFERROR(VLOOKUP(C44,TD!$B$32:$F$36,2,0)," ")</f>
        <v>O230117</v>
      </c>
      <c r="Q44" s="160" t="str">
        <f>IFERROR(VLOOKUP(C44,TD!$B$32:$F$36,3,0)," ")</f>
        <v>4599</v>
      </c>
      <c r="R44" s="160">
        <f>IFERROR(VLOOKUP(C44,TD!$B$32:$F$36,4,0)," ")</f>
        <v>20240207</v>
      </c>
      <c r="S44" s="51" t="s">
        <v>185</v>
      </c>
      <c r="T44" s="160" t="str">
        <f>IFERROR(VLOOKUP(S44,TD!$J$33:$K$43,2,0)," ")</f>
        <v>Infraestructura física, mantenimiento y dotación (Sedes construidas, mantenidas reforzadas)</v>
      </c>
      <c r="U44" s="161" t="str">
        <f>CONCATENATE(S44,"-",T44)</f>
        <v>08-Infraestructura física, mantenimiento y dotación (Sedes construidas, mantenidas reforzadas)</v>
      </c>
      <c r="V44" s="51" t="s">
        <v>238</v>
      </c>
      <c r="W44" s="160" t="str">
        <f>IFERROR(VLOOKUP(V44,TD!$N$33:$O$45,2,0)," ")</f>
        <v>Sedes mantenidas</v>
      </c>
      <c r="X44" s="161" t="str">
        <f>CONCATENATE(V44,"_",W44)</f>
        <v>016_Sedes mantenidas</v>
      </c>
      <c r="Y44" s="161" t="str">
        <f>CONCATENATE(U44," ",X44)</f>
        <v>08-Infraestructura física, mantenimiento y dotación (Sedes construidas, mantenidas reforzadas) 016_Sedes mantenidas</v>
      </c>
      <c r="Z44" s="160" t="str">
        <f>CONCATENATE(P44,Q44,R44,S44,V44)</f>
        <v>O23011745992024020708016</v>
      </c>
      <c r="AA44" s="160" t="str">
        <f>IFERROR(VLOOKUP(Y44,TD!$K$46:$L$64,2,0)," ")</f>
        <v>PM/0131/0108/45990160207</v>
      </c>
      <c r="AB44" s="53" t="s">
        <v>120</v>
      </c>
      <c r="AC44" s="162" t="s">
        <v>204</v>
      </c>
    </row>
    <row r="45" spans="2:29" s="28" customFormat="1" ht="99" customHeight="1" x14ac:dyDescent="0.35">
      <c r="B45" s="77">
        <v>20250035</v>
      </c>
      <c r="C45" s="50" t="s">
        <v>208</v>
      </c>
      <c r="D45" s="158" t="s">
        <v>46</v>
      </c>
      <c r="E45" s="51" t="s">
        <v>474</v>
      </c>
      <c r="F45" s="158" t="s">
        <v>475</v>
      </c>
      <c r="G45" s="158" t="s">
        <v>155</v>
      </c>
      <c r="H45" s="148">
        <v>80111600</v>
      </c>
      <c r="I45" s="98">
        <v>1</v>
      </c>
      <c r="J45" s="159">
        <v>10</v>
      </c>
      <c r="K45" s="52">
        <v>0</v>
      </c>
      <c r="L45" s="153">
        <v>78000000</v>
      </c>
      <c r="M45" s="158" t="s">
        <v>473</v>
      </c>
      <c r="N45" s="53" t="s">
        <v>113</v>
      </c>
      <c r="O45" s="51" t="s">
        <v>219</v>
      </c>
      <c r="P45" s="160" t="str">
        <f>IFERROR(VLOOKUP(C45,TD!$B$32:$F$36,2,0)," ")</f>
        <v>O230117</v>
      </c>
      <c r="Q45" s="160" t="str">
        <f>IFERROR(VLOOKUP(C45,TD!$B$32:$F$36,3,0)," ")</f>
        <v>4599</v>
      </c>
      <c r="R45" s="160">
        <f>IFERROR(VLOOKUP(C45,TD!$B$32:$F$36,4,0)," ")</f>
        <v>20240207</v>
      </c>
      <c r="S45" s="51" t="s">
        <v>185</v>
      </c>
      <c r="T45" s="160" t="str">
        <f>IFERROR(VLOOKUP(S45,TD!$J$33:$K$43,2,0)," ")</f>
        <v>Infraestructura física, mantenimiento y dotación (Sedes construidas, mantenidas reforzadas)</v>
      </c>
      <c r="U45" s="161" t="str">
        <f>CONCATENATE(S45,"-",T45)</f>
        <v>08-Infraestructura física, mantenimiento y dotación (Sedes construidas, mantenidas reforzadas)</v>
      </c>
      <c r="V45" s="51" t="s">
        <v>238</v>
      </c>
      <c r="W45" s="160" t="str">
        <f>IFERROR(VLOOKUP(V45,TD!$N$33:$O$45,2,0)," ")</f>
        <v>Sedes mantenidas</v>
      </c>
      <c r="X45" s="161" t="str">
        <f>CONCATENATE(V45,"_",W45)</f>
        <v>016_Sedes mantenidas</v>
      </c>
      <c r="Y45" s="161" t="str">
        <f>CONCATENATE(U45," ",X45)</f>
        <v>08-Infraestructura física, mantenimiento y dotación (Sedes construidas, mantenidas reforzadas) 016_Sedes mantenidas</v>
      </c>
      <c r="Z45" s="160" t="str">
        <f>CONCATENATE(P45,Q45,R45,S45,V45)</f>
        <v>O23011745992024020708016</v>
      </c>
      <c r="AA45" s="160" t="str">
        <f>IFERROR(VLOOKUP(Y45,TD!$K$46:$L$64,2,0)," ")</f>
        <v>PM/0131/0108/45990160207</v>
      </c>
      <c r="AB45" s="53" t="s">
        <v>120</v>
      </c>
      <c r="AC45" s="162" t="s">
        <v>204</v>
      </c>
    </row>
    <row r="46" spans="2:29" s="28" customFormat="1" ht="99" customHeight="1" x14ac:dyDescent="0.35">
      <c r="B46" s="77">
        <v>20250036</v>
      </c>
      <c r="C46" s="50" t="s">
        <v>208</v>
      </c>
      <c r="D46" s="158" t="s">
        <v>46</v>
      </c>
      <c r="E46" s="51" t="s">
        <v>474</v>
      </c>
      <c r="F46" s="158" t="s">
        <v>476</v>
      </c>
      <c r="G46" s="158" t="s">
        <v>155</v>
      </c>
      <c r="H46" s="148">
        <v>80111600</v>
      </c>
      <c r="I46" s="98">
        <v>1</v>
      </c>
      <c r="J46" s="159">
        <v>11</v>
      </c>
      <c r="K46" s="52">
        <v>0</v>
      </c>
      <c r="L46" s="153">
        <v>93500000</v>
      </c>
      <c r="M46" s="158" t="s">
        <v>473</v>
      </c>
      <c r="N46" s="53" t="s">
        <v>113</v>
      </c>
      <c r="O46" s="51" t="s">
        <v>219</v>
      </c>
      <c r="P46" s="160" t="str">
        <f>IFERROR(VLOOKUP(C46,TD!$B$32:$F$36,2,0)," ")</f>
        <v>O230117</v>
      </c>
      <c r="Q46" s="160" t="str">
        <f>IFERROR(VLOOKUP(C46,TD!$B$32:$F$36,3,0)," ")</f>
        <v>4599</v>
      </c>
      <c r="R46" s="160">
        <f>IFERROR(VLOOKUP(C46,TD!$B$32:$F$36,4,0)," ")</f>
        <v>20240207</v>
      </c>
      <c r="S46" s="51" t="s">
        <v>185</v>
      </c>
      <c r="T46" s="160" t="str">
        <f>IFERROR(VLOOKUP(S46,TD!$J$33:$K$43,2,0)," ")</f>
        <v>Infraestructura física, mantenimiento y dotación (Sedes construidas, mantenidas reforzadas)</v>
      </c>
      <c r="U46" s="161" t="str">
        <f>CONCATENATE(S46,"-",T46)</f>
        <v>08-Infraestructura física, mantenimiento y dotación (Sedes construidas, mantenidas reforzadas)</v>
      </c>
      <c r="V46" s="51" t="s">
        <v>238</v>
      </c>
      <c r="W46" s="160" t="str">
        <f>IFERROR(VLOOKUP(V46,TD!$N$33:$O$45,2,0)," ")</f>
        <v>Sedes mantenidas</v>
      </c>
      <c r="X46" s="161" t="str">
        <f>CONCATENATE(V46,"_",W46)</f>
        <v>016_Sedes mantenidas</v>
      </c>
      <c r="Y46" s="161" t="str">
        <f>CONCATENATE(U46," ",X46)</f>
        <v>08-Infraestructura física, mantenimiento y dotación (Sedes construidas, mantenidas reforzadas) 016_Sedes mantenidas</v>
      </c>
      <c r="Z46" s="160" t="str">
        <f>CONCATENATE(P46,Q46,R46,S46,V46)</f>
        <v>O23011745992024020708016</v>
      </c>
      <c r="AA46" s="160" t="str">
        <f>IFERROR(VLOOKUP(Y46,TD!$K$46:$L$64,2,0)," ")</f>
        <v>PM/0131/0108/45990160207</v>
      </c>
      <c r="AB46" s="53" t="s">
        <v>120</v>
      </c>
      <c r="AC46" s="162" t="s">
        <v>204</v>
      </c>
    </row>
    <row r="47" spans="2:29" s="28" customFormat="1" ht="99" customHeight="1" x14ac:dyDescent="0.35">
      <c r="B47" s="77">
        <v>20250037</v>
      </c>
      <c r="C47" s="50" t="s">
        <v>208</v>
      </c>
      <c r="D47" s="158" t="s">
        <v>46</v>
      </c>
      <c r="E47" s="51" t="s">
        <v>474</v>
      </c>
      <c r="F47" s="158" t="s">
        <v>477</v>
      </c>
      <c r="G47" s="158" t="s">
        <v>155</v>
      </c>
      <c r="H47" s="148">
        <v>80111600</v>
      </c>
      <c r="I47" s="98">
        <v>1</v>
      </c>
      <c r="J47" s="159">
        <v>11</v>
      </c>
      <c r="K47" s="52">
        <v>0</v>
      </c>
      <c r="L47" s="153">
        <v>82500000</v>
      </c>
      <c r="M47" s="158" t="s">
        <v>473</v>
      </c>
      <c r="N47" s="53" t="s">
        <v>113</v>
      </c>
      <c r="O47" s="51" t="s">
        <v>219</v>
      </c>
      <c r="P47" s="160" t="str">
        <f>IFERROR(VLOOKUP(C47,TD!$B$32:$F$36,2,0)," ")</f>
        <v>O230117</v>
      </c>
      <c r="Q47" s="160" t="str">
        <f>IFERROR(VLOOKUP(C47,TD!$B$32:$F$36,3,0)," ")</f>
        <v>4599</v>
      </c>
      <c r="R47" s="160">
        <f>IFERROR(VLOOKUP(C47,TD!$B$32:$F$36,4,0)," ")</f>
        <v>20240207</v>
      </c>
      <c r="S47" s="51" t="s">
        <v>185</v>
      </c>
      <c r="T47" s="160" t="str">
        <f>IFERROR(VLOOKUP(S47,TD!$J$33:$K$43,2,0)," ")</f>
        <v>Infraestructura física, mantenimiento y dotación (Sedes construidas, mantenidas reforzadas)</v>
      </c>
      <c r="U47" s="161" t="str">
        <f>CONCATENATE(S47,"-",T47)</f>
        <v>08-Infraestructura física, mantenimiento y dotación (Sedes construidas, mantenidas reforzadas)</v>
      </c>
      <c r="V47" s="51" t="s">
        <v>238</v>
      </c>
      <c r="W47" s="160" t="str">
        <f>IFERROR(VLOOKUP(V47,TD!$N$33:$O$45,2,0)," ")</f>
        <v>Sedes mantenidas</v>
      </c>
      <c r="X47" s="161" t="str">
        <f>CONCATENATE(V47,"_",W47)</f>
        <v>016_Sedes mantenidas</v>
      </c>
      <c r="Y47" s="161" t="str">
        <f>CONCATENATE(U47," ",X47)</f>
        <v>08-Infraestructura física, mantenimiento y dotación (Sedes construidas, mantenidas reforzadas) 016_Sedes mantenidas</v>
      </c>
      <c r="Z47" s="160" t="str">
        <f>CONCATENATE(P47,Q47,R47,S47,V47)</f>
        <v>O23011745992024020708016</v>
      </c>
      <c r="AA47" s="160" t="str">
        <f>IFERROR(VLOOKUP(Y47,TD!$K$46:$L$64,2,0)," ")</f>
        <v>PM/0131/0108/45990160207</v>
      </c>
      <c r="AB47" s="53" t="s">
        <v>120</v>
      </c>
      <c r="AC47" s="162" t="s">
        <v>204</v>
      </c>
    </row>
    <row r="48" spans="2:29" s="28" customFormat="1" ht="99" customHeight="1" x14ac:dyDescent="0.35">
      <c r="B48" s="77">
        <v>20250038</v>
      </c>
      <c r="C48" s="50" t="s">
        <v>208</v>
      </c>
      <c r="D48" s="158" t="s">
        <v>46</v>
      </c>
      <c r="E48" s="51" t="s">
        <v>474</v>
      </c>
      <c r="F48" s="158" t="s">
        <v>478</v>
      </c>
      <c r="G48" s="158" t="s">
        <v>155</v>
      </c>
      <c r="H48" s="97">
        <v>80111600</v>
      </c>
      <c r="I48" s="159">
        <v>2</v>
      </c>
      <c r="J48" s="159">
        <v>10</v>
      </c>
      <c r="K48" s="52">
        <v>0</v>
      </c>
      <c r="L48" s="153">
        <v>58500000</v>
      </c>
      <c r="M48" s="158" t="s">
        <v>473</v>
      </c>
      <c r="N48" s="53" t="s">
        <v>113</v>
      </c>
      <c r="O48" s="51" t="s">
        <v>219</v>
      </c>
      <c r="P48" s="160" t="str">
        <f>IFERROR(VLOOKUP(C48,TD!$B$32:$F$36,2,0)," ")</f>
        <v>O230117</v>
      </c>
      <c r="Q48" s="160" t="str">
        <f>IFERROR(VLOOKUP(C48,TD!$B$32:$F$36,3,0)," ")</f>
        <v>4599</v>
      </c>
      <c r="R48" s="160">
        <f>IFERROR(VLOOKUP(C48,TD!$B$32:$F$36,4,0)," ")</f>
        <v>20240207</v>
      </c>
      <c r="S48" s="51" t="s">
        <v>185</v>
      </c>
      <c r="T48" s="160" t="str">
        <f>IFERROR(VLOOKUP(S48,TD!$J$33:$K$43,2,0)," ")</f>
        <v>Infraestructura física, mantenimiento y dotación (Sedes construidas, mantenidas reforzadas)</v>
      </c>
      <c r="U48" s="161" t="str">
        <f>CONCATENATE(S48,"-",T48)</f>
        <v>08-Infraestructura física, mantenimiento y dotación (Sedes construidas, mantenidas reforzadas)</v>
      </c>
      <c r="V48" s="51" t="s">
        <v>238</v>
      </c>
      <c r="W48" s="160" t="str">
        <f>IFERROR(VLOOKUP(V48,TD!$N$33:$O$45,2,0)," ")</f>
        <v>Sedes mantenidas</v>
      </c>
      <c r="X48" s="161" t="str">
        <f>CONCATENATE(V48,"_",W48)</f>
        <v>016_Sedes mantenidas</v>
      </c>
      <c r="Y48" s="161" t="str">
        <f>CONCATENATE(U48," ",X48)</f>
        <v>08-Infraestructura física, mantenimiento y dotación (Sedes construidas, mantenidas reforzadas) 016_Sedes mantenidas</v>
      </c>
      <c r="Z48" s="160" t="str">
        <f>CONCATENATE(P48,Q48,R48,S48,V48)</f>
        <v>O23011745992024020708016</v>
      </c>
      <c r="AA48" s="160" t="str">
        <f>IFERROR(VLOOKUP(Y48,TD!$K$46:$L$64,2,0)," ")</f>
        <v>PM/0131/0108/45990160207</v>
      </c>
      <c r="AB48" s="53" t="s">
        <v>120</v>
      </c>
      <c r="AC48" s="162" t="s">
        <v>204</v>
      </c>
    </row>
    <row r="49" spans="2:29" s="28" customFormat="1" ht="99" customHeight="1" x14ac:dyDescent="0.35">
      <c r="B49" s="77">
        <v>20250039</v>
      </c>
      <c r="C49" s="50" t="s">
        <v>208</v>
      </c>
      <c r="D49" s="158" t="s">
        <v>46</v>
      </c>
      <c r="E49" s="51" t="s">
        <v>474</v>
      </c>
      <c r="F49" s="158" t="s">
        <v>478</v>
      </c>
      <c r="G49" s="158" t="s">
        <v>155</v>
      </c>
      <c r="H49" s="97">
        <v>80111600</v>
      </c>
      <c r="I49" s="159">
        <v>2</v>
      </c>
      <c r="J49" s="159">
        <v>10</v>
      </c>
      <c r="K49" s="52">
        <v>0</v>
      </c>
      <c r="L49" s="153">
        <v>58500000</v>
      </c>
      <c r="M49" s="158" t="s">
        <v>473</v>
      </c>
      <c r="N49" s="53" t="s">
        <v>113</v>
      </c>
      <c r="O49" s="51" t="s">
        <v>219</v>
      </c>
      <c r="P49" s="160" t="str">
        <f>IFERROR(VLOOKUP(C49,TD!$B$32:$F$36,2,0)," ")</f>
        <v>O230117</v>
      </c>
      <c r="Q49" s="160" t="str">
        <f>IFERROR(VLOOKUP(C49,TD!$B$32:$F$36,3,0)," ")</f>
        <v>4599</v>
      </c>
      <c r="R49" s="160">
        <f>IFERROR(VLOOKUP(C49,TD!$B$32:$F$36,4,0)," ")</f>
        <v>20240207</v>
      </c>
      <c r="S49" s="51" t="s">
        <v>185</v>
      </c>
      <c r="T49" s="160" t="str">
        <f>IFERROR(VLOOKUP(S49,TD!$J$33:$K$43,2,0)," ")</f>
        <v>Infraestructura física, mantenimiento y dotación (Sedes construidas, mantenidas reforzadas)</v>
      </c>
      <c r="U49" s="161" t="str">
        <f>CONCATENATE(S49,"-",T49)</f>
        <v>08-Infraestructura física, mantenimiento y dotación (Sedes construidas, mantenidas reforzadas)</v>
      </c>
      <c r="V49" s="51" t="s">
        <v>238</v>
      </c>
      <c r="W49" s="160" t="str">
        <f>IFERROR(VLOOKUP(V49,TD!$N$33:$O$45,2,0)," ")</f>
        <v>Sedes mantenidas</v>
      </c>
      <c r="X49" s="161" t="str">
        <f>CONCATENATE(V49,"_",W49)</f>
        <v>016_Sedes mantenidas</v>
      </c>
      <c r="Y49" s="161" t="str">
        <f>CONCATENATE(U49," ",X49)</f>
        <v>08-Infraestructura física, mantenimiento y dotación (Sedes construidas, mantenidas reforzadas) 016_Sedes mantenidas</v>
      </c>
      <c r="Z49" s="160" t="str">
        <f>CONCATENATE(P49,Q49,R49,S49,V49)</f>
        <v>O23011745992024020708016</v>
      </c>
      <c r="AA49" s="160" t="str">
        <f>IFERROR(VLOOKUP(Y49,TD!$K$46:$L$64,2,0)," ")</f>
        <v>PM/0131/0108/45990160207</v>
      </c>
      <c r="AB49" s="53" t="s">
        <v>120</v>
      </c>
      <c r="AC49" s="162" t="s">
        <v>204</v>
      </c>
    </row>
    <row r="50" spans="2:29" s="28" customFormat="1" ht="99" customHeight="1" x14ac:dyDescent="0.35">
      <c r="B50" s="77">
        <v>20250040</v>
      </c>
      <c r="C50" s="50" t="s">
        <v>208</v>
      </c>
      <c r="D50" s="158" t="s">
        <v>46</v>
      </c>
      <c r="E50" s="51" t="s">
        <v>474</v>
      </c>
      <c r="F50" s="158" t="s">
        <v>478</v>
      </c>
      <c r="G50" s="158" t="s">
        <v>155</v>
      </c>
      <c r="H50" s="97">
        <v>80111600</v>
      </c>
      <c r="I50" s="159">
        <v>2</v>
      </c>
      <c r="J50" s="159">
        <v>10</v>
      </c>
      <c r="K50" s="52">
        <v>0</v>
      </c>
      <c r="L50" s="153">
        <v>58500000</v>
      </c>
      <c r="M50" s="158" t="s">
        <v>473</v>
      </c>
      <c r="N50" s="53" t="s">
        <v>113</v>
      </c>
      <c r="O50" s="51" t="s">
        <v>219</v>
      </c>
      <c r="P50" s="160" t="str">
        <f>IFERROR(VLOOKUP(C50,TD!$B$32:$F$36,2,0)," ")</f>
        <v>O230117</v>
      </c>
      <c r="Q50" s="160" t="str">
        <f>IFERROR(VLOOKUP(C50,TD!$B$32:$F$36,3,0)," ")</f>
        <v>4599</v>
      </c>
      <c r="R50" s="160">
        <f>IFERROR(VLOOKUP(C50,TD!$B$32:$F$36,4,0)," ")</f>
        <v>20240207</v>
      </c>
      <c r="S50" s="51" t="s">
        <v>185</v>
      </c>
      <c r="T50" s="160" t="str">
        <f>IFERROR(VLOOKUP(S50,TD!$J$33:$K$43,2,0)," ")</f>
        <v>Infraestructura física, mantenimiento y dotación (Sedes construidas, mantenidas reforzadas)</v>
      </c>
      <c r="U50" s="161" t="str">
        <f>CONCATENATE(S50,"-",T50)</f>
        <v>08-Infraestructura física, mantenimiento y dotación (Sedes construidas, mantenidas reforzadas)</v>
      </c>
      <c r="V50" s="51" t="s">
        <v>238</v>
      </c>
      <c r="W50" s="160" t="str">
        <f>IFERROR(VLOOKUP(V50,TD!$N$33:$O$45,2,0)," ")</f>
        <v>Sedes mantenidas</v>
      </c>
      <c r="X50" s="161" t="str">
        <f>CONCATENATE(V50,"_",W50)</f>
        <v>016_Sedes mantenidas</v>
      </c>
      <c r="Y50" s="161" t="str">
        <f>CONCATENATE(U50," ",X50)</f>
        <v>08-Infraestructura física, mantenimiento y dotación (Sedes construidas, mantenidas reforzadas) 016_Sedes mantenidas</v>
      </c>
      <c r="Z50" s="160" t="str">
        <f>CONCATENATE(P50,Q50,R50,S50,V50)</f>
        <v>O23011745992024020708016</v>
      </c>
      <c r="AA50" s="160" t="str">
        <f>IFERROR(VLOOKUP(Y50,TD!$K$46:$L$64,2,0)," ")</f>
        <v>PM/0131/0108/45990160207</v>
      </c>
      <c r="AB50" s="53" t="s">
        <v>120</v>
      </c>
      <c r="AC50" s="162" t="s">
        <v>204</v>
      </c>
    </row>
    <row r="51" spans="2:29" s="28" customFormat="1" ht="99" customHeight="1" x14ac:dyDescent="0.35">
      <c r="B51" s="77">
        <v>20250041</v>
      </c>
      <c r="C51" s="50" t="s">
        <v>208</v>
      </c>
      <c r="D51" s="158" t="s">
        <v>46</v>
      </c>
      <c r="E51" s="51" t="s">
        <v>474</v>
      </c>
      <c r="F51" s="158" t="s">
        <v>478</v>
      </c>
      <c r="G51" s="158" t="s">
        <v>155</v>
      </c>
      <c r="H51" s="97">
        <v>80111600</v>
      </c>
      <c r="I51" s="159">
        <v>2</v>
      </c>
      <c r="J51" s="159">
        <v>10</v>
      </c>
      <c r="K51" s="52">
        <v>0</v>
      </c>
      <c r="L51" s="153">
        <v>52000000</v>
      </c>
      <c r="M51" s="158" t="s">
        <v>473</v>
      </c>
      <c r="N51" s="53" t="s">
        <v>113</v>
      </c>
      <c r="O51" s="51" t="s">
        <v>219</v>
      </c>
      <c r="P51" s="160" t="str">
        <f>IFERROR(VLOOKUP(C51,TD!$B$32:$F$36,2,0)," ")</f>
        <v>O230117</v>
      </c>
      <c r="Q51" s="160" t="str">
        <f>IFERROR(VLOOKUP(C51,TD!$B$32:$F$36,3,0)," ")</f>
        <v>4599</v>
      </c>
      <c r="R51" s="160">
        <f>IFERROR(VLOOKUP(C51,TD!$B$32:$F$36,4,0)," ")</f>
        <v>20240207</v>
      </c>
      <c r="S51" s="51" t="s">
        <v>185</v>
      </c>
      <c r="T51" s="160" t="str">
        <f>IFERROR(VLOOKUP(S51,TD!$J$33:$K$43,2,0)," ")</f>
        <v>Infraestructura física, mantenimiento y dotación (Sedes construidas, mantenidas reforzadas)</v>
      </c>
      <c r="U51" s="161" t="str">
        <f>CONCATENATE(S51,"-",T51)</f>
        <v>08-Infraestructura física, mantenimiento y dotación (Sedes construidas, mantenidas reforzadas)</v>
      </c>
      <c r="V51" s="51" t="s">
        <v>238</v>
      </c>
      <c r="W51" s="160" t="str">
        <f>IFERROR(VLOOKUP(V51,TD!$N$33:$O$45,2,0)," ")</f>
        <v>Sedes mantenidas</v>
      </c>
      <c r="X51" s="161" t="str">
        <f>CONCATENATE(V51,"_",W51)</f>
        <v>016_Sedes mantenidas</v>
      </c>
      <c r="Y51" s="161" t="str">
        <f>CONCATENATE(U51," ",X51)</f>
        <v>08-Infraestructura física, mantenimiento y dotación (Sedes construidas, mantenidas reforzadas) 016_Sedes mantenidas</v>
      </c>
      <c r="Z51" s="160" t="str">
        <f>CONCATENATE(P51,Q51,R51,S51,V51)</f>
        <v>O23011745992024020708016</v>
      </c>
      <c r="AA51" s="160" t="str">
        <f>IFERROR(VLOOKUP(Y51,TD!$K$46:$L$64,2,0)," ")</f>
        <v>PM/0131/0108/45990160207</v>
      </c>
      <c r="AB51" s="53" t="s">
        <v>120</v>
      </c>
      <c r="AC51" s="162" t="s">
        <v>204</v>
      </c>
    </row>
    <row r="52" spans="2:29" s="28" customFormat="1" ht="99" customHeight="1" x14ac:dyDescent="0.35">
      <c r="B52" s="77">
        <v>20250042</v>
      </c>
      <c r="C52" s="50" t="s">
        <v>208</v>
      </c>
      <c r="D52" s="158" t="s">
        <v>46</v>
      </c>
      <c r="E52" s="51" t="s">
        <v>474</v>
      </c>
      <c r="F52" s="158" t="s">
        <v>478</v>
      </c>
      <c r="G52" s="158" t="s">
        <v>155</v>
      </c>
      <c r="H52" s="97">
        <v>80111600</v>
      </c>
      <c r="I52" s="159">
        <v>1</v>
      </c>
      <c r="J52" s="159">
        <v>10</v>
      </c>
      <c r="K52" s="52">
        <v>0</v>
      </c>
      <c r="L52" s="153">
        <v>71000000</v>
      </c>
      <c r="M52" s="158" t="s">
        <v>473</v>
      </c>
      <c r="N52" s="53" t="s">
        <v>113</v>
      </c>
      <c r="O52" s="51" t="s">
        <v>219</v>
      </c>
      <c r="P52" s="160" t="str">
        <f>IFERROR(VLOOKUP(C52,TD!$B$32:$F$36,2,0)," ")</f>
        <v>O230117</v>
      </c>
      <c r="Q52" s="160" t="str">
        <f>IFERROR(VLOOKUP(C52,TD!$B$32:$F$36,3,0)," ")</f>
        <v>4599</v>
      </c>
      <c r="R52" s="160">
        <f>IFERROR(VLOOKUP(C52,TD!$B$32:$F$36,4,0)," ")</f>
        <v>20240207</v>
      </c>
      <c r="S52" s="51" t="s">
        <v>185</v>
      </c>
      <c r="T52" s="160" t="str">
        <f>IFERROR(VLOOKUP(S52,TD!$J$33:$K$43,2,0)," ")</f>
        <v>Infraestructura física, mantenimiento y dotación (Sedes construidas, mantenidas reforzadas)</v>
      </c>
      <c r="U52" s="161" t="str">
        <f>CONCATENATE(S52,"-",T52)</f>
        <v>08-Infraestructura física, mantenimiento y dotación (Sedes construidas, mantenidas reforzadas)</v>
      </c>
      <c r="V52" s="51" t="s">
        <v>238</v>
      </c>
      <c r="W52" s="160" t="str">
        <f>IFERROR(VLOOKUP(V52,TD!$N$33:$O$45,2,0)," ")</f>
        <v>Sedes mantenidas</v>
      </c>
      <c r="X52" s="161" t="str">
        <f>CONCATENATE(V52,"_",W52)</f>
        <v>016_Sedes mantenidas</v>
      </c>
      <c r="Y52" s="161" t="str">
        <f>CONCATENATE(U52," ",X52)</f>
        <v>08-Infraestructura física, mantenimiento y dotación (Sedes construidas, mantenidas reforzadas) 016_Sedes mantenidas</v>
      </c>
      <c r="Z52" s="160" t="str">
        <f>CONCATENATE(P52,Q52,R52,S52,V52)</f>
        <v>O23011745992024020708016</v>
      </c>
      <c r="AA52" s="160" t="str">
        <f>IFERROR(VLOOKUP(Y52,TD!$K$46:$L$64,2,0)," ")</f>
        <v>PM/0131/0108/45990160207</v>
      </c>
      <c r="AB52" s="53" t="s">
        <v>120</v>
      </c>
      <c r="AC52" s="162" t="s">
        <v>204</v>
      </c>
    </row>
    <row r="53" spans="2:29" s="28" customFormat="1" ht="99" customHeight="1" x14ac:dyDescent="0.35">
      <c r="B53" s="77">
        <v>20250043</v>
      </c>
      <c r="C53" s="50" t="s">
        <v>208</v>
      </c>
      <c r="D53" s="158" t="s">
        <v>46</v>
      </c>
      <c r="E53" s="51" t="s">
        <v>474</v>
      </c>
      <c r="F53" s="158" t="s">
        <v>883</v>
      </c>
      <c r="G53" s="158" t="s">
        <v>155</v>
      </c>
      <c r="H53" s="97">
        <v>80111600</v>
      </c>
      <c r="I53" s="159">
        <v>2</v>
      </c>
      <c r="J53" s="159">
        <v>7</v>
      </c>
      <c r="K53" s="52">
        <v>0</v>
      </c>
      <c r="L53" s="153">
        <v>38500000</v>
      </c>
      <c r="M53" s="158" t="s">
        <v>473</v>
      </c>
      <c r="N53" s="53" t="s">
        <v>113</v>
      </c>
      <c r="O53" s="51" t="s">
        <v>219</v>
      </c>
      <c r="P53" s="160" t="str">
        <f>IFERROR(VLOOKUP(C53,TD!$B$32:$F$36,2,0)," ")</f>
        <v>O230117</v>
      </c>
      <c r="Q53" s="160" t="str">
        <f>IFERROR(VLOOKUP(C53,TD!$B$32:$F$36,3,0)," ")</f>
        <v>4599</v>
      </c>
      <c r="R53" s="160">
        <f>IFERROR(VLOOKUP(C53,TD!$B$32:$F$36,4,0)," ")</f>
        <v>20240207</v>
      </c>
      <c r="S53" s="51" t="s">
        <v>185</v>
      </c>
      <c r="T53" s="160" t="str">
        <f>IFERROR(VLOOKUP(S53,TD!$J$33:$K$43,2,0)," ")</f>
        <v>Infraestructura física, mantenimiento y dotación (Sedes construidas, mantenidas reforzadas)</v>
      </c>
      <c r="U53" s="161" t="str">
        <f>CONCATENATE(S53,"-",T53)</f>
        <v>08-Infraestructura física, mantenimiento y dotación (Sedes construidas, mantenidas reforzadas)</v>
      </c>
      <c r="V53" s="51" t="s">
        <v>238</v>
      </c>
      <c r="W53" s="160" t="str">
        <f>IFERROR(VLOOKUP(V53,TD!$N$33:$O$45,2,0)," ")</f>
        <v>Sedes mantenidas</v>
      </c>
      <c r="X53" s="161" t="str">
        <f>CONCATENATE(V53,"_",W53)</f>
        <v>016_Sedes mantenidas</v>
      </c>
      <c r="Y53" s="161" t="str">
        <f>CONCATENATE(U53," ",X53)</f>
        <v>08-Infraestructura física, mantenimiento y dotación (Sedes construidas, mantenidas reforzadas) 016_Sedes mantenidas</v>
      </c>
      <c r="Z53" s="160" t="str">
        <f>CONCATENATE(P53,Q53,R53,S53,V53)</f>
        <v>O23011745992024020708016</v>
      </c>
      <c r="AA53" s="160" t="str">
        <f>IFERROR(VLOOKUP(Y53,TD!$K$46:$L$64,2,0)," ")</f>
        <v>PM/0131/0108/45990160207</v>
      </c>
      <c r="AB53" s="53" t="s">
        <v>120</v>
      </c>
      <c r="AC53" s="162" t="s">
        <v>204</v>
      </c>
    </row>
    <row r="54" spans="2:29" s="28" customFormat="1" ht="99" customHeight="1" x14ac:dyDescent="0.35">
      <c r="B54" s="77">
        <v>20250044</v>
      </c>
      <c r="C54" s="50" t="s">
        <v>208</v>
      </c>
      <c r="D54" s="158" t="s">
        <v>46</v>
      </c>
      <c r="E54" s="51" t="s">
        <v>474</v>
      </c>
      <c r="F54" s="158" t="s">
        <v>479</v>
      </c>
      <c r="G54" s="158" t="s">
        <v>156</v>
      </c>
      <c r="H54" s="97">
        <v>80111600</v>
      </c>
      <c r="I54" s="159">
        <v>2</v>
      </c>
      <c r="J54" s="159">
        <v>10</v>
      </c>
      <c r="K54" s="52">
        <v>0</v>
      </c>
      <c r="L54" s="153">
        <v>35500000</v>
      </c>
      <c r="M54" s="158" t="s">
        <v>473</v>
      </c>
      <c r="N54" s="53" t="s">
        <v>113</v>
      </c>
      <c r="O54" s="51" t="s">
        <v>219</v>
      </c>
      <c r="P54" s="160" t="str">
        <f>IFERROR(VLOOKUP(C54,TD!$B$32:$F$36,2,0)," ")</f>
        <v>O230117</v>
      </c>
      <c r="Q54" s="160" t="str">
        <f>IFERROR(VLOOKUP(C54,TD!$B$32:$F$36,3,0)," ")</f>
        <v>4599</v>
      </c>
      <c r="R54" s="160">
        <f>IFERROR(VLOOKUP(C54,TD!$B$32:$F$36,4,0)," ")</f>
        <v>20240207</v>
      </c>
      <c r="S54" s="51" t="s">
        <v>185</v>
      </c>
      <c r="T54" s="160" t="str">
        <f>IFERROR(VLOOKUP(S54,TD!$J$33:$K$43,2,0)," ")</f>
        <v>Infraestructura física, mantenimiento y dotación (Sedes construidas, mantenidas reforzadas)</v>
      </c>
      <c r="U54" s="161" t="str">
        <f>CONCATENATE(S54,"-",T54)</f>
        <v>08-Infraestructura física, mantenimiento y dotación (Sedes construidas, mantenidas reforzadas)</v>
      </c>
      <c r="V54" s="51" t="s">
        <v>238</v>
      </c>
      <c r="W54" s="160" t="str">
        <f>IFERROR(VLOOKUP(V54,TD!$N$33:$O$45,2,0)," ")</f>
        <v>Sedes mantenidas</v>
      </c>
      <c r="X54" s="161" t="str">
        <f>CONCATENATE(V54,"_",W54)</f>
        <v>016_Sedes mantenidas</v>
      </c>
      <c r="Y54" s="161" t="str">
        <f>CONCATENATE(U54," ",X54)</f>
        <v>08-Infraestructura física, mantenimiento y dotación (Sedes construidas, mantenidas reforzadas) 016_Sedes mantenidas</v>
      </c>
      <c r="Z54" s="160" t="str">
        <f>CONCATENATE(P54,Q54,R54,S54,V54)</f>
        <v>O23011745992024020708016</v>
      </c>
      <c r="AA54" s="160" t="str">
        <f>IFERROR(VLOOKUP(Y54,TD!$K$46:$L$64,2,0)," ")</f>
        <v>PM/0131/0108/45990160207</v>
      </c>
      <c r="AB54" s="53" t="s">
        <v>138</v>
      </c>
      <c r="AC54" s="162" t="s">
        <v>204</v>
      </c>
    </row>
    <row r="55" spans="2:29" s="28" customFormat="1" ht="99" customHeight="1" x14ac:dyDescent="0.35">
      <c r="B55" s="77">
        <v>20250045</v>
      </c>
      <c r="C55" s="50" t="s">
        <v>208</v>
      </c>
      <c r="D55" s="158" t="s">
        <v>46</v>
      </c>
      <c r="E55" s="51" t="s">
        <v>474</v>
      </c>
      <c r="F55" s="158" t="s">
        <v>884</v>
      </c>
      <c r="G55" s="158" t="s">
        <v>155</v>
      </c>
      <c r="H55" s="97">
        <v>80111600</v>
      </c>
      <c r="I55" s="159">
        <v>2</v>
      </c>
      <c r="J55" s="159">
        <v>8</v>
      </c>
      <c r="K55" s="52">
        <v>0</v>
      </c>
      <c r="L55" s="153">
        <v>48000000</v>
      </c>
      <c r="M55" s="158" t="s">
        <v>473</v>
      </c>
      <c r="N55" s="53" t="s">
        <v>113</v>
      </c>
      <c r="O55" s="51" t="s">
        <v>219</v>
      </c>
      <c r="P55" s="160" t="str">
        <f>IFERROR(VLOOKUP(C55,TD!$B$32:$F$36,2,0)," ")</f>
        <v>O230117</v>
      </c>
      <c r="Q55" s="160" t="str">
        <f>IFERROR(VLOOKUP(C55,TD!$B$32:$F$36,3,0)," ")</f>
        <v>4599</v>
      </c>
      <c r="R55" s="160">
        <f>IFERROR(VLOOKUP(C55,TD!$B$32:$F$36,4,0)," ")</f>
        <v>20240207</v>
      </c>
      <c r="S55" s="51" t="s">
        <v>185</v>
      </c>
      <c r="T55" s="160" t="str">
        <f>IFERROR(VLOOKUP(S55,TD!$J$33:$K$43,2,0)," ")</f>
        <v>Infraestructura física, mantenimiento y dotación (Sedes construidas, mantenidas reforzadas)</v>
      </c>
      <c r="U55" s="161" t="str">
        <f>CONCATENATE(S55,"-",T55)</f>
        <v>08-Infraestructura física, mantenimiento y dotación (Sedes construidas, mantenidas reforzadas)</v>
      </c>
      <c r="V55" s="51" t="s">
        <v>238</v>
      </c>
      <c r="W55" s="160" t="str">
        <f>IFERROR(VLOOKUP(V55,TD!$N$33:$O$45,2,0)," ")</f>
        <v>Sedes mantenidas</v>
      </c>
      <c r="X55" s="161" t="str">
        <f>CONCATENATE(V55,"_",W55)</f>
        <v>016_Sedes mantenidas</v>
      </c>
      <c r="Y55" s="161" t="str">
        <f>CONCATENATE(U55," ",X55)</f>
        <v>08-Infraestructura física, mantenimiento y dotación (Sedes construidas, mantenidas reforzadas) 016_Sedes mantenidas</v>
      </c>
      <c r="Z55" s="160" t="str">
        <f>CONCATENATE(P55,Q55,R55,S55,V55)</f>
        <v>O23011745992024020708016</v>
      </c>
      <c r="AA55" s="160" t="str">
        <f>IFERROR(VLOOKUP(Y55,TD!$K$46:$L$64,2,0)," ")</f>
        <v>PM/0131/0108/45990160207</v>
      </c>
      <c r="AB55" s="53" t="s">
        <v>120</v>
      </c>
      <c r="AC55" s="162" t="s">
        <v>204</v>
      </c>
    </row>
    <row r="56" spans="2:29" s="28" customFormat="1" ht="99" customHeight="1" x14ac:dyDescent="0.35">
      <c r="B56" s="77">
        <v>20250046</v>
      </c>
      <c r="C56" s="50" t="s">
        <v>208</v>
      </c>
      <c r="D56" s="158" t="s">
        <v>36</v>
      </c>
      <c r="E56" s="51" t="s">
        <v>378</v>
      </c>
      <c r="F56" s="158" t="s">
        <v>480</v>
      </c>
      <c r="G56" s="158" t="s">
        <v>155</v>
      </c>
      <c r="H56" s="97">
        <v>80111600</v>
      </c>
      <c r="I56" s="159">
        <v>2</v>
      </c>
      <c r="J56" s="159">
        <v>11</v>
      </c>
      <c r="K56" s="52">
        <v>0</v>
      </c>
      <c r="L56" s="153">
        <v>34840960</v>
      </c>
      <c r="M56" s="158" t="s">
        <v>473</v>
      </c>
      <c r="N56" s="53" t="s">
        <v>113</v>
      </c>
      <c r="O56" s="51" t="s">
        <v>211</v>
      </c>
      <c r="P56" s="160" t="str">
        <f>IFERROR(VLOOKUP(C56,TD!$B$32:$F$36,2,0)," ")</f>
        <v>O230117</v>
      </c>
      <c r="Q56" s="160" t="str">
        <f>IFERROR(VLOOKUP(C56,TD!$B$32:$F$36,3,0)," ")</f>
        <v>4599</v>
      </c>
      <c r="R56" s="160">
        <f>IFERROR(VLOOKUP(C56,TD!$B$32:$F$36,4,0)," ")</f>
        <v>20240207</v>
      </c>
      <c r="S56" s="51" t="s">
        <v>193</v>
      </c>
      <c r="T56" s="160" t="str">
        <f>IFERROR(VLOOKUP(S56,TD!$J$33:$K$43,2,0)," ")</f>
        <v>Servicios para la planeación y sistemas de gestión y comunicación estratégica</v>
      </c>
      <c r="U56" s="161" t="str">
        <f>CONCATENATE(S56,"-",T56)</f>
        <v>13-Servicios para la planeación y sistemas de gestión y comunicación estratégica</v>
      </c>
      <c r="V56" s="51" t="s">
        <v>240</v>
      </c>
      <c r="W56" s="160" t="str">
        <f>IFERROR(VLOOKUP(V56,TD!$N$33:$O$45,2,0)," ")</f>
        <v>Servicio de asistencia técnica</v>
      </c>
      <c r="X56" s="161" t="str">
        <f>CONCATENATE(V56,"_",W56)</f>
        <v>031_Servicio de asistencia técnica</v>
      </c>
      <c r="Y56" s="161" t="str">
        <f>CONCATENATE(U56," ",X56)</f>
        <v>13-Servicios para la planeación y sistemas de gestión y comunicación estratégica 031_Servicio de asistencia técnica</v>
      </c>
      <c r="Z56" s="160" t="str">
        <f>CONCATENATE(P56,Q56,R56,S56,V56)</f>
        <v>O23011745992024020713031</v>
      </c>
      <c r="AA56" s="160" t="str">
        <f>IFERROR(VLOOKUP(Y56,TD!$K$46:$L$64,2,0)," ")</f>
        <v>PM/0131/0113/45990310207</v>
      </c>
      <c r="AB56" s="53" t="s">
        <v>138</v>
      </c>
      <c r="AC56" s="162" t="s">
        <v>204</v>
      </c>
    </row>
    <row r="57" spans="2:29" s="28" customFormat="1" ht="99" customHeight="1" x14ac:dyDescent="0.35">
      <c r="B57" s="77">
        <v>20250047</v>
      </c>
      <c r="C57" s="50" t="s">
        <v>208</v>
      </c>
      <c r="D57" s="158" t="s">
        <v>36</v>
      </c>
      <c r="E57" s="51" t="s">
        <v>378</v>
      </c>
      <c r="F57" s="158" t="s">
        <v>867</v>
      </c>
      <c r="G57" s="158" t="s">
        <v>155</v>
      </c>
      <c r="H57" s="97">
        <v>80111600</v>
      </c>
      <c r="I57" s="159">
        <v>3</v>
      </c>
      <c r="J57" s="159">
        <v>10</v>
      </c>
      <c r="K57" s="52">
        <v>0</v>
      </c>
      <c r="L57" s="153">
        <v>65000000</v>
      </c>
      <c r="M57" s="158" t="s">
        <v>473</v>
      </c>
      <c r="N57" s="53" t="s">
        <v>113</v>
      </c>
      <c r="O57" s="51" t="s">
        <v>211</v>
      </c>
      <c r="P57" s="160" t="str">
        <f>IFERROR(VLOOKUP(C57,TD!$B$32:$F$36,2,0)," ")</f>
        <v>O230117</v>
      </c>
      <c r="Q57" s="160" t="str">
        <f>IFERROR(VLOOKUP(C57,TD!$B$32:$F$36,3,0)," ")</f>
        <v>4599</v>
      </c>
      <c r="R57" s="160">
        <f>IFERROR(VLOOKUP(C57,TD!$B$32:$F$36,4,0)," ")</f>
        <v>20240207</v>
      </c>
      <c r="S57" s="51" t="s">
        <v>193</v>
      </c>
      <c r="T57" s="160" t="str">
        <f>IFERROR(VLOOKUP(S57,TD!$J$33:$K$43,2,0)," ")</f>
        <v>Servicios para la planeación y sistemas de gestión y comunicación estratégica</v>
      </c>
      <c r="U57" s="161" t="str">
        <f>CONCATENATE(S57,"-",T57)</f>
        <v>13-Servicios para la planeación y sistemas de gestión y comunicación estratégica</v>
      </c>
      <c r="V57" s="51" t="s">
        <v>240</v>
      </c>
      <c r="W57" s="160" t="str">
        <f>IFERROR(VLOOKUP(V57,TD!$N$33:$O$45,2,0)," ")</f>
        <v>Servicio de asistencia técnica</v>
      </c>
      <c r="X57" s="161" t="str">
        <f>CONCATENATE(V57,"_",W57)</f>
        <v>031_Servicio de asistencia técnica</v>
      </c>
      <c r="Y57" s="161" t="str">
        <f>CONCATENATE(U57," ",X57)</f>
        <v>13-Servicios para la planeación y sistemas de gestión y comunicación estratégica 031_Servicio de asistencia técnica</v>
      </c>
      <c r="Z57" s="160" t="str">
        <f>CONCATENATE(P57,Q57,R57,S57,V57)</f>
        <v>O23011745992024020713031</v>
      </c>
      <c r="AA57" s="160" t="str">
        <f>IFERROR(VLOOKUP(Y57,TD!$K$46:$L$64,2,0)," ")</f>
        <v>PM/0131/0113/45990310207</v>
      </c>
      <c r="AB57" s="53" t="s">
        <v>138</v>
      </c>
      <c r="AC57" s="162" t="s">
        <v>204</v>
      </c>
    </row>
    <row r="58" spans="2:29" s="28" customFormat="1" ht="99" customHeight="1" x14ac:dyDescent="0.35">
      <c r="B58" s="77">
        <v>20250048</v>
      </c>
      <c r="C58" s="50" t="s">
        <v>208</v>
      </c>
      <c r="D58" s="158" t="s">
        <v>36</v>
      </c>
      <c r="E58" s="51" t="s">
        <v>378</v>
      </c>
      <c r="F58" s="158" t="s">
        <v>379</v>
      </c>
      <c r="G58" s="158" t="s">
        <v>156</v>
      </c>
      <c r="H58" s="97">
        <v>80111600</v>
      </c>
      <c r="I58" s="159">
        <v>2</v>
      </c>
      <c r="J58" s="159">
        <v>11</v>
      </c>
      <c r="K58" s="52">
        <v>0</v>
      </c>
      <c r="L58" s="153">
        <v>43362000</v>
      </c>
      <c r="M58" s="158" t="s">
        <v>473</v>
      </c>
      <c r="N58" s="53" t="s">
        <v>113</v>
      </c>
      <c r="O58" s="51" t="s">
        <v>211</v>
      </c>
      <c r="P58" s="160" t="str">
        <f>IFERROR(VLOOKUP(C58,TD!$B$32:$F$36,2,0)," ")</f>
        <v>O230117</v>
      </c>
      <c r="Q58" s="160" t="str">
        <f>IFERROR(VLOOKUP(C58,TD!$B$32:$F$36,3,0)," ")</f>
        <v>4599</v>
      </c>
      <c r="R58" s="160">
        <f>IFERROR(VLOOKUP(C58,TD!$B$32:$F$36,4,0)," ")</f>
        <v>20240207</v>
      </c>
      <c r="S58" s="51" t="s">
        <v>193</v>
      </c>
      <c r="T58" s="160" t="str">
        <f>IFERROR(VLOOKUP(S58,TD!$J$33:$K$43,2,0)," ")</f>
        <v>Servicios para la planeación y sistemas de gestión y comunicación estratégica</v>
      </c>
      <c r="U58" s="161" t="str">
        <f>CONCATENATE(S58,"-",T58)</f>
        <v>13-Servicios para la planeación y sistemas de gestión y comunicación estratégica</v>
      </c>
      <c r="V58" s="51" t="s">
        <v>240</v>
      </c>
      <c r="W58" s="160" t="str">
        <f>IFERROR(VLOOKUP(V58,TD!$N$33:$O$45,2,0)," ")</f>
        <v>Servicio de asistencia técnica</v>
      </c>
      <c r="X58" s="161" t="str">
        <f>CONCATENATE(V58,"_",W58)</f>
        <v>031_Servicio de asistencia técnica</v>
      </c>
      <c r="Y58" s="161" t="str">
        <f>CONCATENATE(U58," ",X58)</f>
        <v>13-Servicios para la planeación y sistemas de gestión y comunicación estratégica 031_Servicio de asistencia técnica</v>
      </c>
      <c r="Z58" s="160" t="str">
        <f>CONCATENATE(P58,Q58,R58,S58,V58)</f>
        <v>O23011745992024020713031</v>
      </c>
      <c r="AA58" s="160" t="str">
        <f>IFERROR(VLOOKUP(Y58,TD!$K$46:$L$64,2,0)," ")</f>
        <v>PM/0131/0113/45990310207</v>
      </c>
      <c r="AB58" s="53" t="s">
        <v>138</v>
      </c>
      <c r="AC58" s="162" t="s">
        <v>204</v>
      </c>
    </row>
    <row r="59" spans="2:29" s="28" customFormat="1" ht="99" customHeight="1" x14ac:dyDescent="0.35">
      <c r="B59" s="77">
        <v>20250049</v>
      </c>
      <c r="C59" s="50" t="s">
        <v>208</v>
      </c>
      <c r="D59" s="158" t="s">
        <v>36</v>
      </c>
      <c r="E59" s="51" t="s">
        <v>378</v>
      </c>
      <c r="F59" s="158" t="s">
        <v>380</v>
      </c>
      <c r="G59" s="158" t="s">
        <v>155</v>
      </c>
      <c r="H59" s="97">
        <v>80111600</v>
      </c>
      <c r="I59" s="159">
        <v>2</v>
      </c>
      <c r="J59" s="159">
        <v>11</v>
      </c>
      <c r="K59" s="52">
        <v>0</v>
      </c>
      <c r="L59" s="153">
        <v>104500000</v>
      </c>
      <c r="M59" s="158" t="s">
        <v>473</v>
      </c>
      <c r="N59" s="53" t="s">
        <v>113</v>
      </c>
      <c r="O59" s="51" t="s">
        <v>211</v>
      </c>
      <c r="P59" s="160" t="str">
        <f>IFERROR(VLOOKUP(C59,TD!$B$32:$F$36,2,0)," ")</f>
        <v>O230117</v>
      </c>
      <c r="Q59" s="160" t="str">
        <f>IFERROR(VLOOKUP(C59,TD!$B$32:$F$36,3,0)," ")</f>
        <v>4599</v>
      </c>
      <c r="R59" s="160">
        <f>IFERROR(VLOOKUP(C59,TD!$B$32:$F$36,4,0)," ")</f>
        <v>20240207</v>
      </c>
      <c r="S59" s="51" t="s">
        <v>193</v>
      </c>
      <c r="T59" s="160" t="str">
        <f>IFERROR(VLOOKUP(S59,TD!$J$33:$K$43,2,0)," ")</f>
        <v>Servicios para la planeación y sistemas de gestión y comunicación estratégica</v>
      </c>
      <c r="U59" s="161" t="str">
        <f>CONCATENATE(S59,"-",T59)</f>
        <v>13-Servicios para la planeación y sistemas de gestión y comunicación estratégica</v>
      </c>
      <c r="V59" s="51" t="s">
        <v>240</v>
      </c>
      <c r="W59" s="160" t="str">
        <f>IFERROR(VLOOKUP(V59,TD!$N$33:$O$45,2,0)," ")</f>
        <v>Servicio de asistencia técnica</v>
      </c>
      <c r="X59" s="161" t="str">
        <f>CONCATENATE(V59,"_",W59)</f>
        <v>031_Servicio de asistencia técnica</v>
      </c>
      <c r="Y59" s="161" t="str">
        <f>CONCATENATE(U59," ",X59)</f>
        <v>13-Servicios para la planeación y sistemas de gestión y comunicación estratégica 031_Servicio de asistencia técnica</v>
      </c>
      <c r="Z59" s="160" t="str">
        <f>CONCATENATE(P59,Q59,R59,S59,V59)</f>
        <v>O23011745992024020713031</v>
      </c>
      <c r="AA59" s="160" t="str">
        <f>IFERROR(VLOOKUP(Y59,TD!$K$46:$L$64,2,0)," ")</f>
        <v>PM/0131/0113/45990310207</v>
      </c>
      <c r="AB59" s="53" t="s">
        <v>138</v>
      </c>
      <c r="AC59" s="162" t="s">
        <v>204</v>
      </c>
    </row>
    <row r="60" spans="2:29" s="28" customFormat="1" ht="99" customHeight="1" x14ac:dyDescent="0.35">
      <c r="B60" s="77">
        <v>20250050</v>
      </c>
      <c r="C60" s="50" t="s">
        <v>208</v>
      </c>
      <c r="D60" s="158" t="s">
        <v>36</v>
      </c>
      <c r="E60" s="51" t="s">
        <v>378</v>
      </c>
      <c r="F60" s="158" t="s">
        <v>381</v>
      </c>
      <c r="G60" s="158" t="s">
        <v>155</v>
      </c>
      <c r="H60" s="97">
        <v>80111600</v>
      </c>
      <c r="I60" s="159">
        <v>2</v>
      </c>
      <c r="J60" s="159">
        <v>7</v>
      </c>
      <c r="K60" s="52">
        <v>0</v>
      </c>
      <c r="L60" s="153">
        <v>45500000</v>
      </c>
      <c r="M60" s="158" t="s">
        <v>473</v>
      </c>
      <c r="N60" s="53" t="s">
        <v>113</v>
      </c>
      <c r="O60" s="51" t="s">
        <v>211</v>
      </c>
      <c r="P60" s="160" t="str">
        <f>IFERROR(VLOOKUP(C60,TD!$B$32:$F$36,2,0)," ")</f>
        <v>O230117</v>
      </c>
      <c r="Q60" s="160" t="str">
        <f>IFERROR(VLOOKUP(C60,TD!$B$32:$F$36,3,0)," ")</f>
        <v>4599</v>
      </c>
      <c r="R60" s="160">
        <f>IFERROR(VLOOKUP(C60,TD!$B$32:$F$36,4,0)," ")</f>
        <v>20240207</v>
      </c>
      <c r="S60" s="51" t="s">
        <v>193</v>
      </c>
      <c r="T60" s="160" t="str">
        <f>IFERROR(VLOOKUP(S60,TD!$J$33:$K$43,2,0)," ")</f>
        <v>Servicios para la planeación y sistemas de gestión y comunicación estratégica</v>
      </c>
      <c r="U60" s="161" t="str">
        <f>CONCATENATE(S60,"-",T60)</f>
        <v>13-Servicios para la planeación y sistemas de gestión y comunicación estratégica</v>
      </c>
      <c r="V60" s="51" t="s">
        <v>240</v>
      </c>
      <c r="W60" s="160" t="str">
        <f>IFERROR(VLOOKUP(V60,TD!$N$33:$O$45,2,0)," ")</f>
        <v>Servicio de asistencia técnica</v>
      </c>
      <c r="X60" s="161" t="str">
        <f>CONCATENATE(V60,"_",W60)</f>
        <v>031_Servicio de asistencia técnica</v>
      </c>
      <c r="Y60" s="161" t="str">
        <f>CONCATENATE(U60," ",X60)</f>
        <v>13-Servicios para la planeación y sistemas de gestión y comunicación estratégica 031_Servicio de asistencia técnica</v>
      </c>
      <c r="Z60" s="160" t="str">
        <f>CONCATENATE(P60,Q60,R60,S60,V60)</f>
        <v>O23011745992024020713031</v>
      </c>
      <c r="AA60" s="160" t="str">
        <f>IFERROR(VLOOKUP(Y60,TD!$K$46:$L$64,2,0)," ")</f>
        <v>PM/0131/0113/45990310207</v>
      </c>
      <c r="AB60" s="53" t="s">
        <v>138</v>
      </c>
      <c r="AC60" s="162" t="s">
        <v>204</v>
      </c>
    </row>
    <row r="61" spans="2:29" s="28" customFormat="1" ht="99" customHeight="1" x14ac:dyDescent="0.35">
      <c r="B61" s="77">
        <v>20250051</v>
      </c>
      <c r="C61" s="50" t="s">
        <v>208</v>
      </c>
      <c r="D61" s="158" t="s">
        <v>36</v>
      </c>
      <c r="E61" s="51" t="s">
        <v>378</v>
      </c>
      <c r="F61" s="158" t="s">
        <v>423</v>
      </c>
      <c r="G61" s="158" t="s">
        <v>155</v>
      </c>
      <c r="H61" s="97">
        <v>80111600</v>
      </c>
      <c r="I61" s="159">
        <v>2</v>
      </c>
      <c r="J61" s="159">
        <v>8</v>
      </c>
      <c r="K61" s="52">
        <v>0</v>
      </c>
      <c r="L61" s="153">
        <v>57600000</v>
      </c>
      <c r="M61" s="158" t="s">
        <v>473</v>
      </c>
      <c r="N61" s="53" t="s">
        <v>113</v>
      </c>
      <c r="O61" s="51" t="s">
        <v>211</v>
      </c>
      <c r="P61" s="160" t="str">
        <f>IFERROR(VLOOKUP(C61,TD!$B$32:$F$36,2,0)," ")</f>
        <v>O230117</v>
      </c>
      <c r="Q61" s="160" t="str">
        <f>IFERROR(VLOOKUP(C61,TD!$B$32:$F$36,3,0)," ")</f>
        <v>4599</v>
      </c>
      <c r="R61" s="160">
        <f>IFERROR(VLOOKUP(C61,TD!$B$32:$F$36,4,0)," ")</f>
        <v>20240207</v>
      </c>
      <c r="S61" s="51" t="s">
        <v>193</v>
      </c>
      <c r="T61" s="160" t="str">
        <f>IFERROR(VLOOKUP(S61,TD!$J$33:$K$43,2,0)," ")</f>
        <v>Servicios para la planeación y sistemas de gestión y comunicación estratégica</v>
      </c>
      <c r="U61" s="161" t="str">
        <f>CONCATENATE(S61,"-",T61)</f>
        <v>13-Servicios para la planeación y sistemas de gestión y comunicación estratégica</v>
      </c>
      <c r="V61" s="51" t="s">
        <v>240</v>
      </c>
      <c r="W61" s="160" t="str">
        <f>IFERROR(VLOOKUP(V61,TD!$N$33:$O$45,2,0)," ")</f>
        <v>Servicio de asistencia técnica</v>
      </c>
      <c r="X61" s="161" t="str">
        <f>CONCATENATE(V61,"_",W61)</f>
        <v>031_Servicio de asistencia técnica</v>
      </c>
      <c r="Y61" s="161" t="str">
        <f>CONCATENATE(U61," ",X61)</f>
        <v>13-Servicios para la planeación y sistemas de gestión y comunicación estratégica 031_Servicio de asistencia técnica</v>
      </c>
      <c r="Z61" s="160" t="str">
        <f>CONCATENATE(P61,Q61,R61,S61,V61)</f>
        <v>O23011745992024020713031</v>
      </c>
      <c r="AA61" s="160" t="str">
        <f>IFERROR(VLOOKUP(Y61,TD!$K$46:$L$64,2,0)," ")</f>
        <v>PM/0131/0113/45990310207</v>
      </c>
      <c r="AB61" s="53" t="s">
        <v>138</v>
      </c>
      <c r="AC61" s="162" t="s">
        <v>204</v>
      </c>
    </row>
    <row r="62" spans="2:29" s="28" customFormat="1" ht="99" customHeight="1" x14ac:dyDescent="0.35">
      <c r="B62" s="77">
        <v>20250052</v>
      </c>
      <c r="C62" s="50" t="s">
        <v>208</v>
      </c>
      <c r="D62" s="158" t="s">
        <v>36</v>
      </c>
      <c r="E62" s="51" t="s">
        <v>378</v>
      </c>
      <c r="F62" s="158" t="s">
        <v>481</v>
      </c>
      <c r="G62" s="158" t="s">
        <v>155</v>
      </c>
      <c r="H62" s="97">
        <v>80111600</v>
      </c>
      <c r="I62" s="159">
        <v>2</v>
      </c>
      <c r="J62" s="159">
        <v>11</v>
      </c>
      <c r="K62" s="52">
        <v>0</v>
      </c>
      <c r="L62" s="153">
        <v>93500000</v>
      </c>
      <c r="M62" s="158" t="s">
        <v>473</v>
      </c>
      <c r="N62" s="53" t="s">
        <v>113</v>
      </c>
      <c r="O62" s="51" t="s">
        <v>212</v>
      </c>
      <c r="P62" s="160" t="str">
        <f>IFERROR(VLOOKUP(C62,TD!$B$32:$F$36,2,0)," ")</f>
        <v>O230117</v>
      </c>
      <c r="Q62" s="160" t="str">
        <f>IFERROR(VLOOKUP(C62,TD!$B$32:$F$36,3,0)," ")</f>
        <v>4599</v>
      </c>
      <c r="R62" s="160">
        <f>IFERROR(VLOOKUP(C62,TD!$B$32:$F$36,4,0)," ")</f>
        <v>20240207</v>
      </c>
      <c r="S62" s="51" t="s">
        <v>193</v>
      </c>
      <c r="T62" s="160" t="str">
        <f>IFERROR(VLOOKUP(S62,TD!$J$33:$K$43,2,0)," ")</f>
        <v>Servicios para la planeación y sistemas de gestión y comunicación estratégica</v>
      </c>
      <c r="U62" s="161" t="str">
        <f>CONCATENATE(S62,"-",T62)</f>
        <v>13-Servicios para la planeación y sistemas de gestión y comunicación estratégica</v>
      </c>
      <c r="V62" s="51" t="s">
        <v>241</v>
      </c>
      <c r="W62" s="160" t="str">
        <f>IFERROR(VLOOKUP(V62,TD!$N$33:$O$45,2,0)," ")</f>
        <v>Servicio de Implementación Sistemas de Gestión</v>
      </c>
      <c r="X62" s="161" t="str">
        <f>CONCATENATE(V62,"_",W62)</f>
        <v>023_Servicio de Implementación Sistemas de Gestión</v>
      </c>
      <c r="Y62" s="161" t="str">
        <f>CONCATENATE(U62," ",X62)</f>
        <v>13-Servicios para la planeación y sistemas de gestión y comunicación estratégica 023_Servicio de Implementación Sistemas de Gestión</v>
      </c>
      <c r="Z62" s="160" t="str">
        <f>CONCATENATE(P62,Q62,R62,S62,V62)</f>
        <v>O23011745992024020713023</v>
      </c>
      <c r="AA62" s="160" t="str">
        <f>IFERROR(VLOOKUP(Y62,TD!$K$46:$L$64,2,0)," ")</f>
        <v>PM/0131/0113/45990230207</v>
      </c>
      <c r="AB62" s="53" t="s">
        <v>138</v>
      </c>
      <c r="AC62" s="162" t="s">
        <v>204</v>
      </c>
    </row>
    <row r="63" spans="2:29" s="28" customFormat="1" ht="99" customHeight="1" x14ac:dyDescent="0.35">
      <c r="B63" s="77">
        <v>20250053</v>
      </c>
      <c r="C63" s="50" t="s">
        <v>208</v>
      </c>
      <c r="D63" s="158" t="s">
        <v>36</v>
      </c>
      <c r="E63" s="51" t="s">
        <v>378</v>
      </c>
      <c r="F63" s="158" t="s">
        <v>482</v>
      </c>
      <c r="G63" s="158" t="s">
        <v>155</v>
      </c>
      <c r="H63" s="97">
        <v>80111600</v>
      </c>
      <c r="I63" s="159">
        <v>2</v>
      </c>
      <c r="J63" s="159">
        <v>8</v>
      </c>
      <c r="K63" s="52">
        <v>0</v>
      </c>
      <c r="L63" s="153">
        <v>56000000</v>
      </c>
      <c r="M63" s="158" t="s">
        <v>473</v>
      </c>
      <c r="N63" s="53" t="s">
        <v>113</v>
      </c>
      <c r="O63" s="51" t="s">
        <v>211</v>
      </c>
      <c r="P63" s="160" t="str">
        <f>IFERROR(VLOOKUP(C63,TD!$B$32:$F$36,2,0)," ")</f>
        <v>O230117</v>
      </c>
      <c r="Q63" s="160" t="str">
        <f>IFERROR(VLOOKUP(C63,TD!$B$32:$F$36,3,0)," ")</f>
        <v>4599</v>
      </c>
      <c r="R63" s="160">
        <f>IFERROR(VLOOKUP(C63,TD!$B$32:$F$36,4,0)," ")</f>
        <v>20240207</v>
      </c>
      <c r="S63" s="51" t="s">
        <v>193</v>
      </c>
      <c r="T63" s="160" t="str">
        <f>IFERROR(VLOOKUP(S63,TD!$J$33:$K$43,2,0)," ")</f>
        <v>Servicios para la planeación y sistemas de gestión y comunicación estratégica</v>
      </c>
      <c r="U63" s="161" t="str">
        <f>CONCATENATE(S63,"-",T63)</f>
        <v>13-Servicios para la planeación y sistemas de gestión y comunicación estratégica</v>
      </c>
      <c r="V63" s="51" t="s">
        <v>240</v>
      </c>
      <c r="W63" s="160" t="str">
        <f>IFERROR(VLOOKUP(V63,TD!$N$33:$O$45,2,0)," ")</f>
        <v>Servicio de asistencia técnica</v>
      </c>
      <c r="X63" s="161" t="str">
        <f>CONCATENATE(V63,"_",W63)</f>
        <v>031_Servicio de asistencia técnica</v>
      </c>
      <c r="Y63" s="161" t="str">
        <f>CONCATENATE(U63," ",X63)</f>
        <v>13-Servicios para la planeación y sistemas de gestión y comunicación estratégica 031_Servicio de asistencia técnica</v>
      </c>
      <c r="Z63" s="160" t="str">
        <f>CONCATENATE(P63,Q63,R63,S63,V63)</f>
        <v>O23011745992024020713031</v>
      </c>
      <c r="AA63" s="160" t="str">
        <f>IFERROR(VLOOKUP(Y63,TD!$K$46:$L$64,2,0)," ")</f>
        <v>PM/0131/0113/45990310207</v>
      </c>
      <c r="AB63" s="53" t="s">
        <v>138</v>
      </c>
      <c r="AC63" s="162" t="s">
        <v>204</v>
      </c>
    </row>
    <row r="64" spans="2:29" s="28" customFormat="1" ht="99" customHeight="1" x14ac:dyDescent="0.35">
      <c r="B64" s="77">
        <v>20250054</v>
      </c>
      <c r="C64" s="50" t="s">
        <v>208</v>
      </c>
      <c r="D64" s="158" t="s">
        <v>36</v>
      </c>
      <c r="E64" s="51" t="s">
        <v>378</v>
      </c>
      <c r="F64" s="158" t="s">
        <v>483</v>
      </c>
      <c r="G64" s="158" t="s">
        <v>156</v>
      </c>
      <c r="H64" s="97">
        <v>80111600</v>
      </c>
      <c r="I64" s="159">
        <v>2</v>
      </c>
      <c r="J64" s="159">
        <v>7</v>
      </c>
      <c r="K64" s="52">
        <v>0</v>
      </c>
      <c r="L64" s="153">
        <v>26523000</v>
      </c>
      <c r="M64" s="158" t="s">
        <v>473</v>
      </c>
      <c r="N64" s="53" t="s">
        <v>113</v>
      </c>
      <c r="O64" s="51" t="s">
        <v>211</v>
      </c>
      <c r="P64" s="160" t="str">
        <f>IFERROR(VLOOKUP(C64,TD!$B$32:$F$36,2,0)," ")</f>
        <v>O230117</v>
      </c>
      <c r="Q64" s="160" t="str">
        <f>IFERROR(VLOOKUP(C64,TD!$B$32:$F$36,3,0)," ")</f>
        <v>4599</v>
      </c>
      <c r="R64" s="160">
        <f>IFERROR(VLOOKUP(C64,TD!$B$32:$F$36,4,0)," ")</f>
        <v>20240207</v>
      </c>
      <c r="S64" s="51" t="s">
        <v>193</v>
      </c>
      <c r="T64" s="160" t="str">
        <f>IFERROR(VLOOKUP(S64,TD!$J$33:$K$43,2,0)," ")</f>
        <v>Servicios para la planeación y sistemas de gestión y comunicación estratégica</v>
      </c>
      <c r="U64" s="161" t="str">
        <f>CONCATENATE(S64,"-",T64)</f>
        <v>13-Servicios para la planeación y sistemas de gestión y comunicación estratégica</v>
      </c>
      <c r="V64" s="51" t="s">
        <v>240</v>
      </c>
      <c r="W64" s="160" t="str">
        <f>IFERROR(VLOOKUP(V64,TD!$N$33:$O$45,2,0)," ")</f>
        <v>Servicio de asistencia técnica</v>
      </c>
      <c r="X64" s="161" t="str">
        <f>CONCATENATE(V64,"_",W64)</f>
        <v>031_Servicio de asistencia técnica</v>
      </c>
      <c r="Y64" s="161" t="str">
        <f>CONCATENATE(U64," ",X64)</f>
        <v>13-Servicios para la planeación y sistemas de gestión y comunicación estratégica 031_Servicio de asistencia técnica</v>
      </c>
      <c r="Z64" s="160" t="str">
        <f>CONCATENATE(P64,Q64,R64,S64,V64)</f>
        <v>O23011745992024020713031</v>
      </c>
      <c r="AA64" s="160" t="str">
        <f>IFERROR(VLOOKUP(Y64,TD!$K$46:$L$64,2,0)," ")</f>
        <v>PM/0131/0113/45990310207</v>
      </c>
      <c r="AB64" s="53" t="s">
        <v>138</v>
      </c>
      <c r="AC64" s="162" t="s">
        <v>204</v>
      </c>
    </row>
    <row r="65" spans="2:29" s="28" customFormat="1" ht="99" customHeight="1" x14ac:dyDescent="0.35">
      <c r="B65" s="77">
        <v>20250055</v>
      </c>
      <c r="C65" s="50" t="s">
        <v>208</v>
      </c>
      <c r="D65" s="158" t="s">
        <v>36</v>
      </c>
      <c r="E65" s="51" t="s">
        <v>378</v>
      </c>
      <c r="F65" s="158" t="s">
        <v>382</v>
      </c>
      <c r="G65" s="158" t="s">
        <v>155</v>
      </c>
      <c r="H65" s="97">
        <v>80111600</v>
      </c>
      <c r="I65" s="159">
        <v>2</v>
      </c>
      <c r="J65" s="159">
        <v>7</v>
      </c>
      <c r="K65" s="52">
        <v>0</v>
      </c>
      <c r="L65" s="153">
        <v>59500000</v>
      </c>
      <c r="M65" s="158" t="s">
        <v>473</v>
      </c>
      <c r="N65" s="53" t="s">
        <v>113</v>
      </c>
      <c r="O65" s="51" t="s">
        <v>211</v>
      </c>
      <c r="P65" s="160" t="str">
        <f>IFERROR(VLOOKUP(C65,TD!$B$32:$F$36,2,0)," ")</f>
        <v>O230117</v>
      </c>
      <c r="Q65" s="160" t="str">
        <f>IFERROR(VLOOKUP(C65,TD!$B$32:$F$36,3,0)," ")</f>
        <v>4599</v>
      </c>
      <c r="R65" s="160">
        <f>IFERROR(VLOOKUP(C65,TD!$B$32:$F$36,4,0)," ")</f>
        <v>20240207</v>
      </c>
      <c r="S65" s="51" t="s">
        <v>193</v>
      </c>
      <c r="T65" s="160" t="str">
        <f>IFERROR(VLOOKUP(S65,TD!$J$33:$K$43,2,0)," ")</f>
        <v>Servicios para la planeación y sistemas de gestión y comunicación estratégica</v>
      </c>
      <c r="U65" s="161" t="str">
        <f>CONCATENATE(S65,"-",T65)</f>
        <v>13-Servicios para la planeación y sistemas de gestión y comunicación estratégica</v>
      </c>
      <c r="V65" s="51" t="s">
        <v>241</v>
      </c>
      <c r="W65" s="160" t="str">
        <f>IFERROR(VLOOKUP(V65,TD!$N$33:$O$45,2,0)," ")</f>
        <v>Servicio de Implementación Sistemas de Gestión</v>
      </c>
      <c r="X65" s="161" t="str">
        <f>CONCATENATE(V65,"_",W65)</f>
        <v>023_Servicio de Implementación Sistemas de Gestión</v>
      </c>
      <c r="Y65" s="161" t="str">
        <f>CONCATENATE(U65," ",X65)</f>
        <v>13-Servicios para la planeación y sistemas de gestión y comunicación estratégica 023_Servicio de Implementación Sistemas de Gestión</v>
      </c>
      <c r="Z65" s="160" t="str">
        <f>CONCATENATE(P65,Q65,R65,S65,V65)</f>
        <v>O23011745992024020713023</v>
      </c>
      <c r="AA65" s="160" t="str">
        <f>IFERROR(VLOOKUP(Y65,TD!$K$46:$L$64,2,0)," ")</f>
        <v>PM/0131/0113/45990230207</v>
      </c>
      <c r="AB65" s="53" t="s">
        <v>138</v>
      </c>
      <c r="AC65" s="162" t="s">
        <v>204</v>
      </c>
    </row>
    <row r="66" spans="2:29" s="28" customFormat="1" ht="99" customHeight="1" x14ac:dyDescent="0.35">
      <c r="B66" s="77">
        <v>20250056</v>
      </c>
      <c r="C66" s="50" t="s">
        <v>208</v>
      </c>
      <c r="D66" s="158" t="s">
        <v>36</v>
      </c>
      <c r="E66" s="51" t="s">
        <v>378</v>
      </c>
      <c r="F66" s="158" t="s">
        <v>383</v>
      </c>
      <c r="G66" s="158" t="s">
        <v>155</v>
      </c>
      <c r="H66" s="97">
        <v>80111600</v>
      </c>
      <c r="I66" s="159">
        <v>2</v>
      </c>
      <c r="J66" s="159">
        <v>11</v>
      </c>
      <c r="K66" s="52">
        <v>0</v>
      </c>
      <c r="L66" s="153">
        <v>77000000</v>
      </c>
      <c r="M66" s="158" t="s">
        <v>473</v>
      </c>
      <c r="N66" s="53" t="s">
        <v>113</v>
      </c>
      <c r="O66" s="51" t="s">
        <v>211</v>
      </c>
      <c r="P66" s="160" t="str">
        <f>IFERROR(VLOOKUP(C66,TD!$B$32:$F$36,2,0)," ")</f>
        <v>O230117</v>
      </c>
      <c r="Q66" s="160" t="str">
        <f>IFERROR(VLOOKUP(C66,TD!$B$32:$F$36,3,0)," ")</f>
        <v>4599</v>
      </c>
      <c r="R66" s="160">
        <f>IFERROR(VLOOKUP(C66,TD!$B$32:$F$36,4,0)," ")</f>
        <v>20240207</v>
      </c>
      <c r="S66" s="51" t="s">
        <v>193</v>
      </c>
      <c r="T66" s="160" t="str">
        <f>IFERROR(VLOOKUP(S66,TD!$J$33:$K$43,2,0)," ")</f>
        <v>Servicios para la planeación y sistemas de gestión y comunicación estratégica</v>
      </c>
      <c r="U66" s="161" t="str">
        <f>CONCATENATE(S66,"-",T66)</f>
        <v>13-Servicios para la planeación y sistemas de gestión y comunicación estratégica</v>
      </c>
      <c r="V66" s="51" t="s">
        <v>240</v>
      </c>
      <c r="W66" s="160" t="str">
        <f>IFERROR(VLOOKUP(V66,TD!$N$33:$O$45,2,0)," ")</f>
        <v>Servicio de asistencia técnica</v>
      </c>
      <c r="X66" s="161" t="str">
        <f>CONCATENATE(V66,"_",W66)</f>
        <v>031_Servicio de asistencia técnica</v>
      </c>
      <c r="Y66" s="161" t="str">
        <f>CONCATENATE(U66," ",X66)</f>
        <v>13-Servicios para la planeación y sistemas de gestión y comunicación estratégica 031_Servicio de asistencia técnica</v>
      </c>
      <c r="Z66" s="160" t="str">
        <f>CONCATENATE(P66,Q66,R66,S66,V66)</f>
        <v>O23011745992024020713031</v>
      </c>
      <c r="AA66" s="160" t="str">
        <f>IFERROR(VLOOKUP(Y66,TD!$K$46:$L$64,2,0)," ")</f>
        <v>PM/0131/0113/45990310207</v>
      </c>
      <c r="AB66" s="53" t="s">
        <v>138</v>
      </c>
      <c r="AC66" s="162" t="s">
        <v>204</v>
      </c>
    </row>
    <row r="67" spans="2:29" s="28" customFormat="1" ht="99" customHeight="1" x14ac:dyDescent="0.35">
      <c r="B67" s="77">
        <v>20250057</v>
      </c>
      <c r="C67" s="50" t="s">
        <v>208</v>
      </c>
      <c r="D67" s="158" t="s">
        <v>36</v>
      </c>
      <c r="E67" s="51" t="s">
        <v>378</v>
      </c>
      <c r="F67" s="158" t="s">
        <v>484</v>
      </c>
      <c r="G67" s="158" t="s">
        <v>155</v>
      </c>
      <c r="H67" s="97">
        <v>80111600</v>
      </c>
      <c r="I67" s="159">
        <v>2</v>
      </c>
      <c r="J67" s="159">
        <v>9</v>
      </c>
      <c r="K67" s="52">
        <v>0</v>
      </c>
      <c r="L67" s="153">
        <v>58500000</v>
      </c>
      <c r="M67" s="158" t="s">
        <v>473</v>
      </c>
      <c r="N67" s="53" t="s">
        <v>113</v>
      </c>
      <c r="O67" s="51" t="s">
        <v>212</v>
      </c>
      <c r="P67" s="160" t="str">
        <f>IFERROR(VLOOKUP(C67,TD!$B$32:$F$36,2,0)," ")</f>
        <v>O230117</v>
      </c>
      <c r="Q67" s="160" t="str">
        <f>IFERROR(VLOOKUP(C67,TD!$B$32:$F$36,3,0)," ")</f>
        <v>4599</v>
      </c>
      <c r="R67" s="160">
        <f>IFERROR(VLOOKUP(C67,TD!$B$32:$F$36,4,0)," ")</f>
        <v>20240207</v>
      </c>
      <c r="S67" s="51" t="s">
        <v>193</v>
      </c>
      <c r="T67" s="160" t="str">
        <f>IFERROR(VLOOKUP(S67,TD!$J$33:$K$43,2,0)," ")</f>
        <v>Servicios para la planeación y sistemas de gestión y comunicación estratégica</v>
      </c>
      <c r="U67" s="161" t="str">
        <f>CONCATENATE(S67,"-",T67)</f>
        <v>13-Servicios para la planeación y sistemas de gestión y comunicación estratégica</v>
      </c>
      <c r="V67" s="51" t="s">
        <v>241</v>
      </c>
      <c r="W67" s="160" t="str">
        <f>IFERROR(VLOOKUP(V67,TD!$N$33:$O$45,2,0)," ")</f>
        <v>Servicio de Implementación Sistemas de Gestión</v>
      </c>
      <c r="X67" s="161" t="str">
        <f>CONCATENATE(V67,"_",W67)</f>
        <v>023_Servicio de Implementación Sistemas de Gestión</v>
      </c>
      <c r="Y67" s="161" t="str">
        <f>CONCATENATE(U67," ",X67)</f>
        <v>13-Servicios para la planeación y sistemas de gestión y comunicación estratégica 023_Servicio de Implementación Sistemas de Gestión</v>
      </c>
      <c r="Z67" s="160" t="str">
        <f>CONCATENATE(P67,Q67,R67,S67,V67)</f>
        <v>O23011745992024020713023</v>
      </c>
      <c r="AA67" s="160" t="str">
        <f>IFERROR(VLOOKUP(Y67,TD!$K$46:$L$64,2,0)," ")</f>
        <v>PM/0131/0113/45990230207</v>
      </c>
      <c r="AB67" s="53" t="s">
        <v>138</v>
      </c>
      <c r="AC67" s="162" t="s">
        <v>204</v>
      </c>
    </row>
    <row r="68" spans="2:29" s="28" customFormat="1" ht="99" customHeight="1" x14ac:dyDescent="0.35">
      <c r="B68" s="77">
        <v>20250058</v>
      </c>
      <c r="C68" s="50" t="s">
        <v>208</v>
      </c>
      <c r="D68" s="158" t="s">
        <v>36</v>
      </c>
      <c r="E68" s="51" t="s">
        <v>378</v>
      </c>
      <c r="F68" s="158" t="s">
        <v>384</v>
      </c>
      <c r="G68" s="158" t="s">
        <v>155</v>
      </c>
      <c r="H68" s="97">
        <v>80111600</v>
      </c>
      <c r="I68" s="159">
        <v>3</v>
      </c>
      <c r="J68" s="159">
        <v>7</v>
      </c>
      <c r="K68" s="52">
        <v>0</v>
      </c>
      <c r="L68" s="153">
        <v>45500000</v>
      </c>
      <c r="M68" s="158" t="s">
        <v>473</v>
      </c>
      <c r="N68" s="53" t="s">
        <v>113</v>
      </c>
      <c r="O68" s="51" t="s">
        <v>211</v>
      </c>
      <c r="P68" s="160" t="str">
        <f>IFERROR(VLOOKUP(C68,TD!$B$32:$F$36,2,0)," ")</f>
        <v>O230117</v>
      </c>
      <c r="Q68" s="160" t="str">
        <f>IFERROR(VLOOKUP(C68,TD!$B$32:$F$36,3,0)," ")</f>
        <v>4599</v>
      </c>
      <c r="R68" s="160">
        <f>IFERROR(VLOOKUP(C68,TD!$B$32:$F$36,4,0)," ")</f>
        <v>20240207</v>
      </c>
      <c r="S68" s="51" t="s">
        <v>193</v>
      </c>
      <c r="T68" s="160" t="str">
        <f>IFERROR(VLOOKUP(S68,TD!$J$33:$K$43,2,0)," ")</f>
        <v>Servicios para la planeación y sistemas de gestión y comunicación estratégica</v>
      </c>
      <c r="U68" s="161" t="str">
        <f>CONCATENATE(S68,"-",T68)</f>
        <v>13-Servicios para la planeación y sistemas de gestión y comunicación estratégica</v>
      </c>
      <c r="V68" s="51" t="s">
        <v>241</v>
      </c>
      <c r="W68" s="160" t="str">
        <f>IFERROR(VLOOKUP(V68,TD!$N$33:$O$45,2,0)," ")</f>
        <v>Servicio de Implementación Sistemas de Gestión</v>
      </c>
      <c r="X68" s="161" t="str">
        <f>CONCATENATE(V68,"_",W68)</f>
        <v>023_Servicio de Implementación Sistemas de Gestión</v>
      </c>
      <c r="Y68" s="161" t="str">
        <f>CONCATENATE(U68," ",X68)</f>
        <v>13-Servicios para la planeación y sistemas de gestión y comunicación estratégica 023_Servicio de Implementación Sistemas de Gestión</v>
      </c>
      <c r="Z68" s="160" t="str">
        <f>CONCATENATE(P68,Q68,R68,S68,V68)</f>
        <v>O23011745992024020713023</v>
      </c>
      <c r="AA68" s="160" t="str">
        <f>IFERROR(VLOOKUP(Y68,TD!$K$46:$L$64,2,0)," ")</f>
        <v>PM/0131/0113/45990230207</v>
      </c>
      <c r="AB68" s="53" t="s">
        <v>120</v>
      </c>
      <c r="AC68" s="162" t="s">
        <v>204</v>
      </c>
    </row>
    <row r="69" spans="2:29" s="28" customFormat="1" ht="99" customHeight="1" x14ac:dyDescent="0.35">
      <c r="B69" s="77">
        <v>20250059</v>
      </c>
      <c r="C69" s="50" t="s">
        <v>208</v>
      </c>
      <c r="D69" s="158" t="s">
        <v>36</v>
      </c>
      <c r="E69" s="51" t="s">
        <v>378</v>
      </c>
      <c r="F69" s="158" t="s">
        <v>385</v>
      </c>
      <c r="G69" s="158" t="s">
        <v>155</v>
      </c>
      <c r="H69" s="97">
        <v>80111600</v>
      </c>
      <c r="I69" s="159">
        <v>2</v>
      </c>
      <c r="J69" s="159">
        <v>11</v>
      </c>
      <c r="K69" s="52">
        <v>0</v>
      </c>
      <c r="L69" s="153">
        <v>104500000</v>
      </c>
      <c r="M69" s="158" t="s">
        <v>473</v>
      </c>
      <c r="N69" s="53" t="s">
        <v>113</v>
      </c>
      <c r="O69" s="51" t="s">
        <v>211</v>
      </c>
      <c r="P69" s="160" t="str">
        <f>IFERROR(VLOOKUP(C69,TD!$B$32:$F$36,2,0)," ")</f>
        <v>O230117</v>
      </c>
      <c r="Q69" s="160" t="str">
        <f>IFERROR(VLOOKUP(C69,TD!$B$32:$F$36,3,0)," ")</f>
        <v>4599</v>
      </c>
      <c r="R69" s="160">
        <f>IFERROR(VLOOKUP(C69,TD!$B$32:$F$36,4,0)," ")</f>
        <v>20240207</v>
      </c>
      <c r="S69" s="51" t="s">
        <v>193</v>
      </c>
      <c r="T69" s="160" t="str">
        <f>IFERROR(VLOOKUP(S69,TD!$J$33:$K$43,2,0)," ")</f>
        <v>Servicios para la planeación y sistemas de gestión y comunicación estratégica</v>
      </c>
      <c r="U69" s="161" t="str">
        <f>CONCATENATE(S69,"-",T69)</f>
        <v>13-Servicios para la planeación y sistemas de gestión y comunicación estratégica</v>
      </c>
      <c r="V69" s="51" t="s">
        <v>241</v>
      </c>
      <c r="W69" s="160" t="str">
        <f>IFERROR(VLOOKUP(V69,TD!$N$33:$O$45,2,0)," ")</f>
        <v>Servicio de Implementación Sistemas de Gestión</v>
      </c>
      <c r="X69" s="161" t="str">
        <f>CONCATENATE(V69,"_",W69)</f>
        <v>023_Servicio de Implementación Sistemas de Gestión</v>
      </c>
      <c r="Y69" s="161" t="str">
        <f>CONCATENATE(U69," ",X69)</f>
        <v>13-Servicios para la planeación y sistemas de gestión y comunicación estratégica 023_Servicio de Implementación Sistemas de Gestión</v>
      </c>
      <c r="Z69" s="160" t="str">
        <f>CONCATENATE(P69,Q69,R69,S69,V69)</f>
        <v>O23011745992024020713023</v>
      </c>
      <c r="AA69" s="160" t="str">
        <f>IFERROR(VLOOKUP(Y69,TD!$K$46:$L$64,2,0)," ")</f>
        <v>PM/0131/0113/45990230207</v>
      </c>
      <c r="AB69" s="53" t="s">
        <v>138</v>
      </c>
      <c r="AC69" s="162" t="s">
        <v>204</v>
      </c>
    </row>
    <row r="70" spans="2:29" s="28" customFormat="1" ht="99" customHeight="1" x14ac:dyDescent="0.35">
      <c r="B70" s="77">
        <v>20250060</v>
      </c>
      <c r="C70" s="50" t="s">
        <v>208</v>
      </c>
      <c r="D70" s="158" t="s">
        <v>36</v>
      </c>
      <c r="E70" s="51" t="s">
        <v>378</v>
      </c>
      <c r="F70" s="158" t="s">
        <v>485</v>
      </c>
      <c r="G70" s="158" t="s">
        <v>155</v>
      </c>
      <c r="H70" s="97">
        <v>80111600</v>
      </c>
      <c r="I70" s="159">
        <v>2</v>
      </c>
      <c r="J70" s="159">
        <v>8</v>
      </c>
      <c r="K70" s="52">
        <v>0</v>
      </c>
      <c r="L70" s="153">
        <v>53600000</v>
      </c>
      <c r="M70" s="158" t="s">
        <v>473</v>
      </c>
      <c r="N70" s="53" t="s">
        <v>113</v>
      </c>
      <c r="O70" s="51" t="s">
        <v>212</v>
      </c>
      <c r="P70" s="160" t="str">
        <f>IFERROR(VLOOKUP(C70,TD!$B$32:$F$36,2,0)," ")</f>
        <v>O230117</v>
      </c>
      <c r="Q70" s="160" t="str">
        <f>IFERROR(VLOOKUP(C70,TD!$B$32:$F$36,3,0)," ")</f>
        <v>4599</v>
      </c>
      <c r="R70" s="160">
        <f>IFERROR(VLOOKUP(C70,TD!$B$32:$F$36,4,0)," ")</f>
        <v>20240207</v>
      </c>
      <c r="S70" s="51" t="s">
        <v>193</v>
      </c>
      <c r="T70" s="160" t="str">
        <f>IFERROR(VLOOKUP(S70,TD!$J$33:$K$43,2,0)," ")</f>
        <v>Servicios para la planeación y sistemas de gestión y comunicación estratégica</v>
      </c>
      <c r="U70" s="161" t="str">
        <f>CONCATENATE(S70,"-",T70)</f>
        <v>13-Servicios para la planeación y sistemas de gestión y comunicación estratégica</v>
      </c>
      <c r="V70" s="51" t="s">
        <v>241</v>
      </c>
      <c r="W70" s="160" t="str">
        <f>IFERROR(VLOOKUP(V70,TD!$N$33:$O$45,2,0)," ")</f>
        <v>Servicio de Implementación Sistemas de Gestión</v>
      </c>
      <c r="X70" s="161" t="str">
        <f>CONCATENATE(V70,"_",W70)</f>
        <v>023_Servicio de Implementación Sistemas de Gestión</v>
      </c>
      <c r="Y70" s="161" t="str">
        <f>CONCATENATE(U70," ",X70)</f>
        <v>13-Servicios para la planeación y sistemas de gestión y comunicación estratégica 023_Servicio de Implementación Sistemas de Gestión</v>
      </c>
      <c r="Z70" s="160" t="str">
        <f>CONCATENATE(P70,Q70,R70,S70,V70)</f>
        <v>O23011745992024020713023</v>
      </c>
      <c r="AA70" s="160" t="str">
        <f>IFERROR(VLOOKUP(Y70,TD!$K$46:$L$64,2,0)," ")</f>
        <v>PM/0131/0113/45990230207</v>
      </c>
      <c r="AB70" s="53" t="s">
        <v>138</v>
      </c>
      <c r="AC70" s="162" t="s">
        <v>204</v>
      </c>
    </row>
    <row r="71" spans="2:29" s="28" customFormat="1" ht="99" customHeight="1" x14ac:dyDescent="0.35">
      <c r="B71" s="77">
        <v>20250061</v>
      </c>
      <c r="C71" s="50" t="s">
        <v>208</v>
      </c>
      <c r="D71" s="158" t="s">
        <v>36</v>
      </c>
      <c r="E71" s="51" t="s">
        <v>378</v>
      </c>
      <c r="F71" s="158" t="s">
        <v>486</v>
      </c>
      <c r="G71" s="158" t="s">
        <v>155</v>
      </c>
      <c r="H71" s="97">
        <v>80111600</v>
      </c>
      <c r="I71" s="159">
        <v>2</v>
      </c>
      <c r="J71" s="159">
        <v>7</v>
      </c>
      <c r="K71" s="52">
        <v>0</v>
      </c>
      <c r="L71" s="153">
        <v>45500000</v>
      </c>
      <c r="M71" s="158" t="s">
        <v>473</v>
      </c>
      <c r="N71" s="53" t="s">
        <v>113</v>
      </c>
      <c r="O71" s="51" t="s">
        <v>212</v>
      </c>
      <c r="P71" s="160" t="str">
        <f>IFERROR(VLOOKUP(C71,TD!$B$32:$F$36,2,0)," ")</f>
        <v>O230117</v>
      </c>
      <c r="Q71" s="160" t="str">
        <f>IFERROR(VLOOKUP(C71,TD!$B$32:$F$36,3,0)," ")</f>
        <v>4599</v>
      </c>
      <c r="R71" s="160">
        <f>IFERROR(VLOOKUP(C71,TD!$B$32:$F$36,4,0)," ")</f>
        <v>20240207</v>
      </c>
      <c r="S71" s="51" t="s">
        <v>193</v>
      </c>
      <c r="T71" s="160" t="str">
        <f>IFERROR(VLOOKUP(S71,TD!$J$33:$K$43,2,0)," ")</f>
        <v>Servicios para la planeación y sistemas de gestión y comunicación estratégica</v>
      </c>
      <c r="U71" s="161" t="str">
        <f>CONCATENATE(S71,"-",T71)</f>
        <v>13-Servicios para la planeación y sistemas de gestión y comunicación estratégica</v>
      </c>
      <c r="V71" s="51" t="s">
        <v>241</v>
      </c>
      <c r="W71" s="160" t="str">
        <f>IFERROR(VLOOKUP(V71,TD!$N$33:$O$45,2,0)," ")</f>
        <v>Servicio de Implementación Sistemas de Gestión</v>
      </c>
      <c r="X71" s="161" t="str">
        <f>CONCATENATE(V71,"_",W71)</f>
        <v>023_Servicio de Implementación Sistemas de Gestión</v>
      </c>
      <c r="Y71" s="161" t="str">
        <f>CONCATENATE(U71," ",X71)</f>
        <v>13-Servicios para la planeación y sistemas de gestión y comunicación estratégica 023_Servicio de Implementación Sistemas de Gestión</v>
      </c>
      <c r="Z71" s="160" t="str">
        <f>CONCATENATE(P71,Q71,R71,S71,V71)</f>
        <v>O23011745992024020713023</v>
      </c>
      <c r="AA71" s="160" t="str">
        <f>IFERROR(VLOOKUP(Y71,TD!$K$46:$L$64,2,0)," ")</f>
        <v>PM/0131/0113/45990230207</v>
      </c>
      <c r="AB71" s="53" t="s">
        <v>138</v>
      </c>
      <c r="AC71" s="162" t="s">
        <v>204</v>
      </c>
    </row>
    <row r="72" spans="2:29" s="28" customFormat="1" ht="99" customHeight="1" x14ac:dyDescent="0.35">
      <c r="B72" s="77">
        <v>20250062</v>
      </c>
      <c r="C72" s="50" t="s">
        <v>208</v>
      </c>
      <c r="D72" s="158" t="s">
        <v>36</v>
      </c>
      <c r="E72" s="51" t="s">
        <v>378</v>
      </c>
      <c r="F72" s="158" t="s">
        <v>487</v>
      </c>
      <c r="G72" s="158" t="s">
        <v>155</v>
      </c>
      <c r="H72" s="97">
        <v>80111600</v>
      </c>
      <c r="I72" s="159">
        <v>2</v>
      </c>
      <c r="J72" s="159">
        <v>11</v>
      </c>
      <c r="K72" s="52">
        <v>0</v>
      </c>
      <c r="L72" s="153">
        <v>93500000</v>
      </c>
      <c r="M72" s="158" t="s">
        <v>473</v>
      </c>
      <c r="N72" s="53" t="s">
        <v>113</v>
      </c>
      <c r="O72" s="51" t="s">
        <v>211</v>
      </c>
      <c r="P72" s="160" t="str">
        <f>IFERROR(VLOOKUP(C72,TD!$B$32:$F$36,2,0)," ")</f>
        <v>O230117</v>
      </c>
      <c r="Q72" s="160" t="str">
        <f>IFERROR(VLOOKUP(C72,TD!$B$32:$F$36,3,0)," ")</f>
        <v>4599</v>
      </c>
      <c r="R72" s="160">
        <f>IFERROR(VLOOKUP(C72,TD!$B$32:$F$36,4,0)," ")</f>
        <v>20240207</v>
      </c>
      <c r="S72" s="51" t="s">
        <v>193</v>
      </c>
      <c r="T72" s="160" t="str">
        <f>IFERROR(VLOOKUP(S72,TD!$J$33:$K$43,2,0)," ")</f>
        <v>Servicios para la planeación y sistemas de gestión y comunicación estratégica</v>
      </c>
      <c r="U72" s="161" t="str">
        <f>CONCATENATE(S72,"-",T72)</f>
        <v>13-Servicios para la planeación y sistemas de gestión y comunicación estratégica</v>
      </c>
      <c r="V72" s="51" t="s">
        <v>241</v>
      </c>
      <c r="W72" s="160" t="str">
        <f>IFERROR(VLOOKUP(V72,TD!$N$33:$O$45,2,0)," ")</f>
        <v>Servicio de Implementación Sistemas de Gestión</v>
      </c>
      <c r="X72" s="161" t="str">
        <f>CONCATENATE(V72,"_",W72)</f>
        <v>023_Servicio de Implementación Sistemas de Gestión</v>
      </c>
      <c r="Y72" s="161" t="str">
        <f>CONCATENATE(U72," ",X72)</f>
        <v>13-Servicios para la planeación y sistemas de gestión y comunicación estratégica 023_Servicio de Implementación Sistemas de Gestión</v>
      </c>
      <c r="Z72" s="160" t="str">
        <f>CONCATENATE(P72,Q72,R72,S72,V72)</f>
        <v>O23011745992024020713023</v>
      </c>
      <c r="AA72" s="160" t="str">
        <f>IFERROR(VLOOKUP(Y72,TD!$K$46:$L$64,2,0)," ")</f>
        <v>PM/0131/0113/45990230207</v>
      </c>
      <c r="AB72" s="53" t="s">
        <v>138</v>
      </c>
      <c r="AC72" s="162" t="s">
        <v>204</v>
      </c>
    </row>
    <row r="73" spans="2:29" s="28" customFormat="1" ht="99" customHeight="1" x14ac:dyDescent="0.35">
      <c r="B73" s="77">
        <v>20250063</v>
      </c>
      <c r="C73" s="50" t="s">
        <v>208</v>
      </c>
      <c r="D73" s="158" t="s">
        <v>36</v>
      </c>
      <c r="E73" s="51" t="s">
        <v>378</v>
      </c>
      <c r="F73" s="158" t="s">
        <v>453</v>
      </c>
      <c r="G73" s="158" t="s">
        <v>156</v>
      </c>
      <c r="H73" s="97">
        <v>80111600</v>
      </c>
      <c r="I73" s="159">
        <v>2</v>
      </c>
      <c r="J73" s="159">
        <v>11</v>
      </c>
      <c r="K73" s="52">
        <v>0</v>
      </c>
      <c r="L73" s="153">
        <v>41679000</v>
      </c>
      <c r="M73" s="158" t="s">
        <v>473</v>
      </c>
      <c r="N73" s="53" t="s">
        <v>113</v>
      </c>
      <c r="O73" s="51" t="s">
        <v>211</v>
      </c>
      <c r="P73" s="160" t="str">
        <f>IFERROR(VLOOKUP(C73,TD!$B$32:$F$36,2,0)," ")</f>
        <v>O230117</v>
      </c>
      <c r="Q73" s="160" t="str">
        <f>IFERROR(VLOOKUP(C73,TD!$B$32:$F$36,3,0)," ")</f>
        <v>4599</v>
      </c>
      <c r="R73" s="160">
        <f>IFERROR(VLOOKUP(C73,TD!$B$32:$F$36,4,0)," ")</f>
        <v>20240207</v>
      </c>
      <c r="S73" s="51" t="s">
        <v>193</v>
      </c>
      <c r="T73" s="160" t="str">
        <f>IFERROR(VLOOKUP(S73,TD!$J$33:$K$43,2,0)," ")</f>
        <v>Servicios para la planeación y sistemas de gestión y comunicación estratégica</v>
      </c>
      <c r="U73" s="161" t="str">
        <f>CONCATENATE(S73,"-",T73)</f>
        <v>13-Servicios para la planeación y sistemas de gestión y comunicación estratégica</v>
      </c>
      <c r="V73" s="51" t="s">
        <v>241</v>
      </c>
      <c r="W73" s="160" t="str">
        <f>IFERROR(VLOOKUP(V73,TD!$N$33:$O$45,2,0)," ")</f>
        <v>Servicio de Implementación Sistemas de Gestión</v>
      </c>
      <c r="X73" s="161" t="str">
        <f>CONCATENATE(V73,"_",W73)</f>
        <v>023_Servicio de Implementación Sistemas de Gestión</v>
      </c>
      <c r="Y73" s="161" t="str">
        <f>CONCATENATE(U73," ",X73)</f>
        <v>13-Servicios para la planeación y sistemas de gestión y comunicación estratégica 023_Servicio de Implementación Sistemas de Gestión</v>
      </c>
      <c r="Z73" s="160" t="str">
        <f>CONCATENATE(P73,Q73,R73,S73,V73)</f>
        <v>O23011745992024020713023</v>
      </c>
      <c r="AA73" s="160" t="str">
        <f>IFERROR(VLOOKUP(Y73,TD!$K$46:$L$64,2,0)," ")</f>
        <v>PM/0131/0113/45990230207</v>
      </c>
      <c r="AB73" s="53" t="s">
        <v>138</v>
      </c>
      <c r="AC73" s="162" t="s">
        <v>204</v>
      </c>
    </row>
    <row r="74" spans="2:29" s="28" customFormat="1" ht="99" customHeight="1" x14ac:dyDescent="0.35">
      <c r="B74" s="77">
        <v>20250064</v>
      </c>
      <c r="C74" s="50" t="s">
        <v>208</v>
      </c>
      <c r="D74" s="158" t="s">
        <v>36</v>
      </c>
      <c r="E74" s="51" t="s">
        <v>378</v>
      </c>
      <c r="F74" s="158" t="s">
        <v>488</v>
      </c>
      <c r="G74" s="158" t="s">
        <v>155</v>
      </c>
      <c r="H74" s="97">
        <v>80111600</v>
      </c>
      <c r="I74" s="159">
        <v>3</v>
      </c>
      <c r="J74" s="159">
        <v>10</v>
      </c>
      <c r="K74" s="52">
        <v>0</v>
      </c>
      <c r="L74" s="153">
        <v>65000000</v>
      </c>
      <c r="M74" s="158" t="s">
        <v>473</v>
      </c>
      <c r="N74" s="53" t="s">
        <v>113</v>
      </c>
      <c r="O74" s="51" t="s">
        <v>211</v>
      </c>
      <c r="P74" s="160" t="str">
        <f>IFERROR(VLOOKUP(C74,TD!$B$32:$F$36,2,0)," ")</f>
        <v>O230117</v>
      </c>
      <c r="Q74" s="160" t="str">
        <f>IFERROR(VLOOKUP(C74,TD!$B$32:$F$36,3,0)," ")</f>
        <v>4599</v>
      </c>
      <c r="R74" s="160">
        <f>IFERROR(VLOOKUP(C74,TD!$B$32:$F$36,4,0)," ")</f>
        <v>20240207</v>
      </c>
      <c r="S74" s="51" t="s">
        <v>193</v>
      </c>
      <c r="T74" s="160" t="str">
        <f>IFERROR(VLOOKUP(S74,TD!$J$33:$K$43,2,0)," ")</f>
        <v>Servicios para la planeación y sistemas de gestión y comunicación estratégica</v>
      </c>
      <c r="U74" s="161" t="str">
        <f>CONCATENATE(S74,"-",T74)</f>
        <v>13-Servicios para la planeación y sistemas de gestión y comunicación estratégica</v>
      </c>
      <c r="V74" s="51" t="s">
        <v>241</v>
      </c>
      <c r="W74" s="160" t="str">
        <f>IFERROR(VLOOKUP(V74,TD!$N$33:$O$45,2,0)," ")</f>
        <v>Servicio de Implementación Sistemas de Gestión</v>
      </c>
      <c r="X74" s="161" t="str">
        <f>CONCATENATE(V74,"_",W74)</f>
        <v>023_Servicio de Implementación Sistemas de Gestión</v>
      </c>
      <c r="Y74" s="161" t="str">
        <f>CONCATENATE(U74," ",X74)</f>
        <v>13-Servicios para la planeación y sistemas de gestión y comunicación estratégica 023_Servicio de Implementación Sistemas de Gestión</v>
      </c>
      <c r="Z74" s="160" t="str">
        <f>CONCATENATE(P74,Q74,R74,S74,V74)</f>
        <v>O23011745992024020713023</v>
      </c>
      <c r="AA74" s="160" t="str">
        <f>IFERROR(VLOOKUP(Y74,TD!$K$46:$L$64,2,0)," ")</f>
        <v>PM/0131/0113/45990230207</v>
      </c>
      <c r="AB74" s="53" t="s">
        <v>138</v>
      </c>
      <c r="AC74" s="162" t="s">
        <v>204</v>
      </c>
    </row>
    <row r="75" spans="2:29" s="28" customFormat="1" ht="99" customHeight="1" x14ac:dyDescent="0.35">
      <c r="B75" s="77">
        <v>20250065</v>
      </c>
      <c r="C75" s="50" t="s">
        <v>208</v>
      </c>
      <c r="D75" s="158" t="s">
        <v>36</v>
      </c>
      <c r="E75" s="51" t="s">
        <v>378</v>
      </c>
      <c r="F75" s="158" t="s">
        <v>489</v>
      </c>
      <c r="G75" s="158" t="s">
        <v>155</v>
      </c>
      <c r="H75" s="97">
        <v>80111600</v>
      </c>
      <c r="I75" s="159">
        <v>3</v>
      </c>
      <c r="J75" s="159">
        <v>6</v>
      </c>
      <c r="K75" s="52">
        <v>0</v>
      </c>
      <c r="L75" s="153">
        <v>42000000</v>
      </c>
      <c r="M75" s="158" t="s">
        <v>473</v>
      </c>
      <c r="N75" s="53" t="s">
        <v>113</v>
      </c>
      <c r="O75" s="51" t="s">
        <v>211</v>
      </c>
      <c r="P75" s="160" t="str">
        <f>IFERROR(VLOOKUP(C75,TD!$B$32:$F$36,2,0)," ")</f>
        <v>O230117</v>
      </c>
      <c r="Q75" s="160" t="str">
        <f>IFERROR(VLOOKUP(C75,TD!$B$32:$F$36,3,0)," ")</f>
        <v>4599</v>
      </c>
      <c r="R75" s="160">
        <f>IFERROR(VLOOKUP(C75,TD!$B$32:$F$36,4,0)," ")</f>
        <v>20240207</v>
      </c>
      <c r="S75" s="51" t="s">
        <v>193</v>
      </c>
      <c r="T75" s="160" t="str">
        <f>IFERROR(VLOOKUP(S75,TD!$J$33:$K$43,2,0)," ")</f>
        <v>Servicios para la planeación y sistemas de gestión y comunicación estratégica</v>
      </c>
      <c r="U75" s="161" t="str">
        <f>CONCATENATE(S75,"-",T75)</f>
        <v>13-Servicios para la planeación y sistemas de gestión y comunicación estratégica</v>
      </c>
      <c r="V75" s="51" t="s">
        <v>241</v>
      </c>
      <c r="W75" s="160" t="str">
        <f>IFERROR(VLOOKUP(V75,TD!$N$33:$O$45,2,0)," ")</f>
        <v>Servicio de Implementación Sistemas de Gestión</v>
      </c>
      <c r="X75" s="161" t="str">
        <f>CONCATENATE(V75,"_",W75)</f>
        <v>023_Servicio de Implementación Sistemas de Gestión</v>
      </c>
      <c r="Y75" s="161" t="str">
        <f>CONCATENATE(U75," ",X75)</f>
        <v>13-Servicios para la planeación y sistemas de gestión y comunicación estratégica 023_Servicio de Implementación Sistemas de Gestión</v>
      </c>
      <c r="Z75" s="160" t="str">
        <f>CONCATENATE(P75,Q75,R75,S75,V75)</f>
        <v>O23011745992024020713023</v>
      </c>
      <c r="AA75" s="160" t="str">
        <f>IFERROR(VLOOKUP(Y75,TD!$K$46:$L$64,2,0)," ")</f>
        <v>PM/0131/0113/45990230207</v>
      </c>
      <c r="AB75" s="53" t="s">
        <v>138</v>
      </c>
      <c r="AC75" s="162" t="s">
        <v>204</v>
      </c>
    </row>
    <row r="76" spans="2:29" s="28" customFormat="1" ht="99" customHeight="1" x14ac:dyDescent="0.35">
      <c r="B76" s="77">
        <v>20250066</v>
      </c>
      <c r="C76" s="50" t="s">
        <v>208</v>
      </c>
      <c r="D76" s="158" t="s">
        <v>36</v>
      </c>
      <c r="E76" s="51" t="s">
        <v>378</v>
      </c>
      <c r="F76" s="158" t="s">
        <v>490</v>
      </c>
      <c r="G76" s="158" t="s">
        <v>156</v>
      </c>
      <c r="H76" s="97">
        <v>80111600</v>
      </c>
      <c r="I76" s="159">
        <v>9</v>
      </c>
      <c r="J76" s="159">
        <v>2</v>
      </c>
      <c r="K76" s="52">
        <v>0</v>
      </c>
      <c r="L76" s="153">
        <v>26895522</v>
      </c>
      <c r="M76" s="158" t="s">
        <v>473</v>
      </c>
      <c r="N76" s="53" t="s">
        <v>113</v>
      </c>
      <c r="O76" s="51" t="s">
        <v>213</v>
      </c>
      <c r="P76" s="160" t="str">
        <f>IFERROR(VLOOKUP(C76,TD!$B$32:$F$36,2,0)," ")</f>
        <v>O230117</v>
      </c>
      <c r="Q76" s="160" t="str">
        <f>IFERROR(VLOOKUP(C76,TD!$B$32:$F$36,3,0)," ")</f>
        <v>4599</v>
      </c>
      <c r="R76" s="160">
        <f>IFERROR(VLOOKUP(C76,TD!$B$32:$F$36,4,0)," ")</f>
        <v>20240207</v>
      </c>
      <c r="S76" s="51" t="s">
        <v>193</v>
      </c>
      <c r="T76" s="160" t="str">
        <f>IFERROR(VLOOKUP(S76,TD!$J$33:$K$43,2,0)," ")</f>
        <v>Servicios para la planeación y sistemas de gestión y comunicación estratégica</v>
      </c>
      <c r="U76" s="161" t="str">
        <f>CONCATENATE(S76,"-",T76)</f>
        <v>13-Servicios para la planeación y sistemas de gestión y comunicación estratégica</v>
      </c>
      <c r="V76" s="51" t="s">
        <v>241</v>
      </c>
      <c r="W76" s="160" t="str">
        <f>IFERROR(VLOOKUP(V76,TD!$N$33:$O$45,2,0)," ")</f>
        <v>Servicio de Implementación Sistemas de Gestión</v>
      </c>
      <c r="X76" s="161" t="str">
        <f>CONCATENATE(V76,"_",W76)</f>
        <v>023_Servicio de Implementación Sistemas de Gestión</v>
      </c>
      <c r="Y76" s="161" t="str">
        <f>CONCATENATE(U76," ",X76)</f>
        <v>13-Servicios para la planeación y sistemas de gestión y comunicación estratégica 023_Servicio de Implementación Sistemas de Gestión</v>
      </c>
      <c r="Z76" s="160" t="str">
        <f>CONCATENATE(P76,Q76,R76,S76,V76)</f>
        <v>O23011745992024020713023</v>
      </c>
      <c r="AA76" s="160" t="str">
        <f>IFERROR(VLOOKUP(Y76,TD!$K$46:$L$64,2,0)," ")</f>
        <v>PM/0131/0113/45990230207</v>
      </c>
      <c r="AB76" s="53" t="s">
        <v>138</v>
      </c>
      <c r="AC76" s="162" t="s">
        <v>204</v>
      </c>
    </row>
    <row r="77" spans="2:29" s="28" customFormat="1" ht="99" customHeight="1" x14ac:dyDescent="0.35">
      <c r="B77" s="77">
        <v>20250067</v>
      </c>
      <c r="C77" s="50" t="s">
        <v>208</v>
      </c>
      <c r="D77" s="158" t="s">
        <v>45</v>
      </c>
      <c r="E77" s="51" t="s">
        <v>355</v>
      </c>
      <c r="F77" s="158" t="s">
        <v>357</v>
      </c>
      <c r="G77" s="158" t="s">
        <v>155</v>
      </c>
      <c r="H77" s="97">
        <v>80111600</v>
      </c>
      <c r="I77" s="159">
        <v>2</v>
      </c>
      <c r="J77" s="159">
        <v>11</v>
      </c>
      <c r="K77" s="52">
        <v>0</v>
      </c>
      <c r="L77" s="153">
        <v>57200000</v>
      </c>
      <c r="M77" s="158" t="s">
        <v>473</v>
      </c>
      <c r="N77" s="53" t="s">
        <v>113</v>
      </c>
      <c r="O77" s="51" t="s">
        <v>219</v>
      </c>
      <c r="P77" s="160" t="str">
        <f>IFERROR(VLOOKUP(C77,TD!$B$32:$F$36,2,0)," ")</f>
        <v>O230117</v>
      </c>
      <c r="Q77" s="160" t="str">
        <f>IFERROR(VLOOKUP(C77,TD!$B$32:$F$36,3,0)," ")</f>
        <v>4599</v>
      </c>
      <c r="R77" s="160">
        <f>IFERROR(VLOOKUP(C77,TD!$B$32:$F$36,4,0)," ")</f>
        <v>20240207</v>
      </c>
      <c r="S77" s="51" t="s">
        <v>185</v>
      </c>
      <c r="T77" s="160" t="str">
        <f>IFERROR(VLOOKUP(S77,TD!$J$33:$K$43,2,0)," ")</f>
        <v>Infraestructura física, mantenimiento y dotación (Sedes construidas, mantenidas reforzadas)</v>
      </c>
      <c r="U77" s="161" t="str">
        <f>CONCATENATE(S77,"-",T77)</f>
        <v>08-Infraestructura física, mantenimiento y dotación (Sedes construidas, mantenidas reforzadas)</v>
      </c>
      <c r="V77" s="51" t="s">
        <v>238</v>
      </c>
      <c r="W77" s="160" t="str">
        <f>IFERROR(VLOOKUP(V77,TD!$N$33:$O$45,2,0)," ")</f>
        <v>Sedes mantenidas</v>
      </c>
      <c r="X77" s="161" t="str">
        <f>CONCATENATE(V77,"_",W77)</f>
        <v>016_Sedes mantenidas</v>
      </c>
      <c r="Y77" s="161" t="str">
        <f>CONCATENATE(U77," ",X77)</f>
        <v>08-Infraestructura física, mantenimiento y dotación (Sedes construidas, mantenidas reforzadas) 016_Sedes mantenidas</v>
      </c>
      <c r="Z77" s="160" t="str">
        <f>CONCATENATE(P77,Q77,R77,S77,V77)</f>
        <v>O23011745992024020708016</v>
      </c>
      <c r="AA77" s="160" t="str">
        <f>IFERROR(VLOOKUP(Y77,TD!$K$46:$L$64,2,0)," ")</f>
        <v>PM/0131/0108/45990160207</v>
      </c>
      <c r="AB77" s="53" t="s">
        <v>120</v>
      </c>
      <c r="AC77" s="162" t="s">
        <v>204</v>
      </c>
    </row>
    <row r="78" spans="2:29" s="28" customFormat="1" ht="99" customHeight="1" x14ac:dyDescent="0.35">
      <c r="B78" s="77">
        <v>20250068</v>
      </c>
      <c r="C78" s="50" t="s">
        <v>208</v>
      </c>
      <c r="D78" s="158" t="s">
        <v>45</v>
      </c>
      <c r="E78" s="51" t="s">
        <v>355</v>
      </c>
      <c r="F78" s="158" t="s">
        <v>491</v>
      </c>
      <c r="G78" s="158" t="s">
        <v>155</v>
      </c>
      <c r="H78" s="97">
        <v>80111600</v>
      </c>
      <c r="I78" s="159">
        <v>2</v>
      </c>
      <c r="J78" s="159">
        <v>11</v>
      </c>
      <c r="K78" s="52">
        <v>0</v>
      </c>
      <c r="L78" s="153">
        <f>91300000</f>
        <v>91300000</v>
      </c>
      <c r="M78" s="158" t="s">
        <v>473</v>
      </c>
      <c r="N78" s="53" t="s">
        <v>113</v>
      </c>
      <c r="O78" s="51" t="s">
        <v>219</v>
      </c>
      <c r="P78" s="160" t="str">
        <f>IFERROR(VLOOKUP(C78,TD!$B$32:$F$36,2,0)," ")</f>
        <v>O230117</v>
      </c>
      <c r="Q78" s="160" t="str">
        <f>IFERROR(VLOOKUP(C78,TD!$B$32:$F$36,3,0)," ")</f>
        <v>4599</v>
      </c>
      <c r="R78" s="160">
        <f>IFERROR(VLOOKUP(C78,TD!$B$32:$F$36,4,0)," ")</f>
        <v>20240207</v>
      </c>
      <c r="S78" s="51" t="s">
        <v>185</v>
      </c>
      <c r="T78" s="160" t="str">
        <f>IFERROR(VLOOKUP(S78,TD!$J$33:$K$43,2,0)," ")</f>
        <v>Infraestructura física, mantenimiento y dotación (Sedes construidas, mantenidas reforzadas)</v>
      </c>
      <c r="U78" s="161" t="str">
        <f>CONCATENATE(S78,"-",T78)</f>
        <v>08-Infraestructura física, mantenimiento y dotación (Sedes construidas, mantenidas reforzadas)</v>
      </c>
      <c r="V78" s="51" t="s">
        <v>238</v>
      </c>
      <c r="W78" s="160" t="str">
        <f>IFERROR(VLOOKUP(V78,TD!$N$33:$O$45,2,0)," ")</f>
        <v>Sedes mantenidas</v>
      </c>
      <c r="X78" s="161" t="str">
        <f>CONCATENATE(V78,"_",W78)</f>
        <v>016_Sedes mantenidas</v>
      </c>
      <c r="Y78" s="161" t="str">
        <f>CONCATENATE(U78," ",X78)</f>
        <v>08-Infraestructura física, mantenimiento y dotación (Sedes construidas, mantenidas reforzadas) 016_Sedes mantenidas</v>
      </c>
      <c r="Z78" s="160" t="str">
        <f>CONCATENATE(P78,Q78,R78,S78,V78)</f>
        <v>O23011745992024020708016</v>
      </c>
      <c r="AA78" s="160" t="str">
        <f>IFERROR(VLOOKUP(Y78,TD!$K$46:$L$64,2,0)," ")</f>
        <v>PM/0131/0108/45990160207</v>
      </c>
      <c r="AB78" s="53" t="s">
        <v>138</v>
      </c>
      <c r="AC78" s="162" t="s">
        <v>204</v>
      </c>
    </row>
    <row r="79" spans="2:29" s="28" customFormat="1" ht="99" customHeight="1" x14ac:dyDescent="0.35">
      <c r="B79" s="77">
        <v>20250069</v>
      </c>
      <c r="C79" s="50" t="s">
        <v>208</v>
      </c>
      <c r="D79" s="158" t="s">
        <v>45</v>
      </c>
      <c r="E79" s="51" t="s">
        <v>355</v>
      </c>
      <c r="F79" s="158" t="s">
        <v>356</v>
      </c>
      <c r="G79" s="158" t="s">
        <v>155</v>
      </c>
      <c r="H79" s="97">
        <v>80111600</v>
      </c>
      <c r="I79" s="159">
        <v>2</v>
      </c>
      <c r="J79" s="159">
        <v>11</v>
      </c>
      <c r="K79" s="52">
        <v>0</v>
      </c>
      <c r="L79" s="153">
        <v>82500000</v>
      </c>
      <c r="M79" s="158" t="s">
        <v>473</v>
      </c>
      <c r="N79" s="53" t="s">
        <v>113</v>
      </c>
      <c r="O79" s="51" t="s">
        <v>219</v>
      </c>
      <c r="P79" s="160" t="str">
        <f>IFERROR(VLOOKUP(C79,TD!$B$32:$F$36,2,0)," ")</f>
        <v>O230117</v>
      </c>
      <c r="Q79" s="160" t="str">
        <f>IFERROR(VLOOKUP(C79,TD!$B$32:$F$36,3,0)," ")</f>
        <v>4599</v>
      </c>
      <c r="R79" s="160">
        <f>IFERROR(VLOOKUP(C79,TD!$B$32:$F$36,4,0)," ")</f>
        <v>20240207</v>
      </c>
      <c r="S79" s="51" t="s">
        <v>185</v>
      </c>
      <c r="T79" s="160" t="str">
        <f>IFERROR(VLOOKUP(S79,TD!$J$33:$K$43,2,0)," ")</f>
        <v>Infraestructura física, mantenimiento y dotación (Sedes construidas, mantenidas reforzadas)</v>
      </c>
      <c r="U79" s="161" t="str">
        <f>CONCATENATE(S79,"-",T79)</f>
        <v>08-Infraestructura física, mantenimiento y dotación (Sedes construidas, mantenidas reforzadas)</v>
      </c>
      <c r="V79" s="51" t="s">
        <v>238</v>
      </c>
      <c r="W79" s="160" t="str">
        <f>IFERROR(VLOOKUP(V79,TD!$N$33:$O$45,2,0)," ")</f>
        <v>Sedes mantenidas</v>
      </c>
      <c r="X79" s="161" t="str">
        <f>CONCATENATE(V79,"_",W79)</f>
        <v>016_Sedes mantenidas</v>
      </c>
      <c r="Y79" s="161" t="str">
        <f>CONCATENATE(U79," ",X79)</f>
        <v>08-Infraestructura física, mantenimiento y dotación (Sedes construidas, mantenidas reforzadas) 016_Sedes mantenidas</v>
      </c>
      <c r="Z79" s="160" t="str">
        <f>CONCATENATE(P79,Q79,R79,S79,V79)</f>
        <v>O23011745992024020708016</v>
      </c>
      <c r="AA79" s="160" t="str">
        <f>IFERROR(VLOOKUP(Y79,TD!$K$46:$L$64,2,0)," ")</f>
        <v>PM/0131/0108/45990160207</v>
      </c>
      <c r="AB79" s="53" t="s">
        <v>138</v>
      </c>
      <c r="AC79" s="162" t="s">
        <v>204</v>
      </c>
    </row>
    <row r="80" spans="2:29" s="28" customFormat="1" ht="99" customHeight="1" x14ac:dyDescent="0.35">
      <c r="B80" s="77">
        <v>20250070</v>
      </c>
      <c r="C80" s="50" t="s">
        <v>208</v>
      </c>
      <c r="D80" s="158" t="s">
        <v>45</v>
      </c>
      <c r="E80" s="51" t="s">
        <v>355</v>
      </c>
      <c r="F80" s="158" t="s">
        <v>492</v>
      </c>
      <c r="G80" s="158" t="s">
        <v>155</v>
      </c>
      <c r="H80" s="97">
        <v>80111600</v>
      </c>
      <c r="I80" s="159">
        <v>2</v>
      </c>
      <c r="J80" s="159">
        <v>11</v>
      </c>
      <c r="K80" s="52">
        <v>0</v>
      </c>
      <c r="L80" s="153">
        <v>107800000</v>
      </c>
      <c r="M80" s="158" t="s">
        <v>473</v>
      </c>
      <c r="N80" s="53" t="s">
        <v>113</v>
      </c>
      <c r="O80" s="51" t="s">
        <v>219</v>
      </c>
      <c r="P80" s="160" t="str">
        <f>IFERROR(VLOOKUP(C80,TD!$B$32:$F$36,2,0)," ")</f>
        <v>O230117</v>
      </c>
      <c r="Q80" s="160" t="str">
        <f>IFERROR(VLOOKUP(C80,TD!$B$32:$F$36,3,0)," ")</f>
        <v>4599</v>
      </c>
      <c r="R80" s="160">
        <f>IFERROR(VLOOKUP(C80,TD!$B$32:$F$36,4,0)," ")</f>
        <v>20240207</v>
      </c>
      <c r="S80" s="51" t="s">
        <v>185</v>
      </c>
      <c r="T80" s="160" t="str">
        <f>IFERROR(VLOOKUP(S80,TD!$J$33:$K$43,2,0)," ")</f>
        <v>Infraestructura física, mantenimiento y dotación (Sedes construidas, mantenidas reforzadas)</v>
      </c>
      <c r="U80" s="161" t="str">
        <f>CONCATENATE(S80,"-",T80)</f>
        <v>08-Infraestructura física, mantenimiento y dotación (Sedes construidas, mantenidas reforzadas)</v>
      </c>
      <c r="V80" s="51" t="s">
        <v>238</v>
      </c>
      <c r="W80" s="160" t="str">
        <f>IFERROR(VLOOKUP(V80,TD!$N$33:$O$45,2,0)," ")</f>
        <v>Sedes mantenidas</v>
      </c>
      <c r="X80" s="161" t="str">
        <f>CONCATENATE(V80,"_",W80)</f>
        <v>016_Sedes mantenidas</v>
      </c>
      <c r="Y80" s="161" t="str">
        <f>CONCATENATE(U80," ",X80)</f>
        <v>08-Infraestructura física, mantenimiento y dotación (Sedes construidas, mantenidas reforzadas) 016_Sedes mantenidas</v>
      </c>
      <c r="Z80" s="160" t="str">
        <f>CONCATENATE(P80,Q80,R80,S80,V80)</f>
        <v>O23011745992024020708016</v>
      </c>
      <c r="AA80" s="160" t="str">
        <f>IFERROR(VLOOKUP(Y80,TD!$K$46:$L$64,2,0)," ")</f>
        <v>PM/0131/0108/45990160207</v>
      </c>
      <c r="AB80" s="53" t="s">
        <v>138</v>
      </c>
      <c r="AC80" s="162" t="s">
        <v>204</v>
      </c>
    </row>
    <row r="81" spans="2:29" s="28" customFormat="1" ht="99" customHeight="1" x14ac:dyDescent="0.35">
      <c r="B81" s="77">
        <v>20250071</v>
      </c>
      <c r="C81" s="50" t="s">
        <v>208</v>
      </c>
      <c r="D81" s="158" t="s">
        <v>45</v>
      </c>
      <c r="E81" s="51" t="s">
        <v>355</v>
      </c>
      <c r="F81" s="158" t="s">
        <v>493</v>
      </c>
      <c r="G81" s="158" t="s">
        <v>155</v>
      </c>
      <c r="H81" s="97">
        <v>80111600</v>
      </c>
      <c r="I81" s="159">
        <v>2</v>
      </c>
      <c r="J81" s="159">
        <v>11</v>
      </c>
      <c r="K81" s="52">
        <v>0</v>
      </c>
      <c r="L81" s="153">
        <v>110000000</v>
      </c>
      <c r="M81" s="158" t="s">
        <v>473</v>
      </c>
      <c r="N81" s="53" t="s">
        <v>113</v>
      </c>
      <c r="O81" s="51" t="s">
        <v>219</v>
      </c>
      <c r="P81" s="160" t="str">
        <f>IFERROR(VLOOKUP(C81,TD!$B$32:$F$36,2,0)," ")</f>
        <v>O230117</v>
      </c>
      <c r="Q81" s="160" t="str">
        <f>IFERROR(VLOOKUP(C81,TD!$B$32:$F$36,3,0)," ")</f>
        <v>4599</v>
      </c>
      <c r="R81" s="160">
        <f>IFERROR(VLOOKUP(C81,TD!$B$32:$F$36,4,0)," ")</f>
        <v>20240207</v>
      </c>
      <c r="S81" s="51" t="s">
        <v>185</v>
      </c>
      <c r="T81" s="160" t="str">
        <f>IFERROR(VLOOKUP(S81,TD!$J$33:$K$43,2,0)," ")</f>
        <v>Infraestructura física, mantenimiento y dotación (Sedes construidas, mantenidas reforzadas)</v>
      </c>
      <c r="U81" s="161" t="str">
        <f>CONCATENATE(S81,"-",T81)</f>
        <v>08-Infraestructura física, mantenimiento y dotación (Sedes construidas, mantenidas reforzadas)</v>
      </c>
      <c r="V81" s="51" t="s">
        <v>238</v>
      </c>
      <c r="W81" s="160" t="str">
        <f>IFERROR(VLOOKUP(V81,TD!$N$33:$O$45,2,0)," ")</f>
        <v>Sedes mantenidas</v>
      </c>
      <c r="X81" s="161" t="str">
        <f>CONCATENATE(V81,"_",W81)</f>
        <v>016_Sedes mantenidas</v>
      </c>
      <c r="Y81" s="161" t="str">
        <f>CONCATENATE(U81," ",X81)</f>
        <v>08-Infraestructura física, mantenimiento y dotación (Sedes construidas, mantenidas reforzadas) 016_Sedes mantenidas</v>
      </c>
      <c r="Z81" s="160" t="str">
        <f>CONCATENATE(P81,Q81,R81,S81,V81)</f>
        <v>O23011745992024020708016</v>
      </c>
      <c r="AA81" s="160" t="str">
        <f>IFERROR(VLOOKUP(Y81,TD!$K$46:$L$64,2,0)," ")</f>
        <v>PM/0131/0108/45990160207</v>
      </c>
      <c r="AB81" s="53" t="s">
        <v>120</v>
      </c>
      <c r="AC81" s="162" t="s">
        <v>204</v>
      </c>
    </row>
    <row r="82" spans="2:29" s="28" customFormat="1" ht="99" customHeight="1" x14ac:dyDescent="0.35">
      <c r="B82" s="77">
        <v>20250072</v>
      </c>
      <c r="C82" s="50" t="s">
        <v>208</v>
      </c>
      <c r="D82" s="158" t="s">
        <v>45</v>
      </c>
      <c r="E82" s="51" t="s">
        <v>355</v>
      </c>
      <c r="F82" s="158" t="s">
        <v>358</v>
      </c>
      <c r="G82" s="158" t="s">
        <v>155</v>
      </c>
      <c r="H82" s="97">
        <v>80111600</v>
      </c>
      <c r="I82" s="159">
        <v>2</v>
      </c>
      <c r="J82" s="159">
        <v>11</v>
      </c>
      <c r="K82" s="52">
        <v>0</v>
      </c>
      <c r="L82" s="153">
        <v>57200000</v>
      </c>
      <c r="M82" s="158" t="s">
        <v>473</v>
      </c>
      <c r="N82" s="53" t="s">
        <v>113</v>
      </c>
      <c r="O82" s="51" t="s">
        <v>219</v>
      </c>
      <c r="P82" s="160" t="str">
        <f>IFERROR(VLOOKUP(C82,TD!$B$32:$F$36,2,0)," ")</f>
        <v>O230117</v>
      </c>
      <c r="Q82" s="160" t="str">
        <f>IFERROR(VLOOKUP(C82,TD!$B$32:$F$36,3,0)," ")</f>
        <v>4599</v>
      </c>
      <c r="R82" s="160">
        <f>IFERROR(VLOOKUP(C82,TD!$B$32:$F$36,4,0)," ")</f>
        <v>20240207</v>
      </c>
      <c r="S82" s="51" t="s">
        <v>185</v>
      </c>
      <c r="T82" s="160" t="str">
        <f>IFERROR(VLOOKUP(S82,TD!$J$33:$K$43,2,0)," ")</f>
        <v>Infraestructura física, mantenimiento y dotación (Sedes construidas, mantenidas reforzadas)</v>
      </c>
      <c r="U82" s="161" t="str">
        <f>CONCATENATE(S82,"-",T82)</f>
        <v>08-Infraestructura física, mantenimiento y dotación (Sedes construidas, mantenidas reforzadas)</v>
      </c>
      <c r="V82" s="51" t="s">
        <v>238</v>
      </c>
      <c r="W82" s="160" t="str">
        <f>IFERROR(VLOOKUP(V82,TD!$N$33:$O$45,2,0)," ")</f>
        <v>Sedes mantenidas</v>
      </c>
      <c r="X82" s="161" t="str">
        <f>CONCATENATE(V82,"_",W82)</f>
        <v>016_Sedes mantenidas</v>
      </c>
      <c r="Y82" s="161" t="str">
        <f>CONCATENATE(U82," ",X82)</f>
        <v>08-Infraestructura física, mantenimiento y dotación (Sedes construidas, mantenidas reforzadas) 016_Sedes mantenidas</v>
      </c>
      <c r="Z82" s="160" t="str">
        <f>CONCATENATE(P82,Q82,R82,S82,V82)</f>
        <v>O23011745992024020708016</v>
      </c>
      <c r="AA82" s="160" t="str">
        <f>IFERROR(VLOOKUP(Y82,TD!$K$46:$L$64,2,0)," ")</f>
        <v>PM/0131/0108/45990160207</v>
      </c>
      <c r="AB82" s="53" t="s">
        <v>138</v>
      </c>
      <c r="AC82" s="162" t="s">
        <v>204</v>
      </c>
    </row>
    <row r="83" spans="2:29" s="28" customFormat="1" ht="99" customHeight="1" x14ac:dyDescent="0.35">
      <c r="B83" s="77">
        <v>20250073</v>
      </c>
      <c r="C83" s="50" t="s">
        <v>208</v>
      </c>
      <c r="D83" s="158" t="s">
        <v>45</v>
      </c>
      <c r="E83" s="51" t="s">
        <v>355</v>
      </c>
      <c r="F83" s="158" t="s">
        <v>359</v>
      </c>
      <c r="G83" s="158" t="s">
        <v>156</v>
      </c>
      <c r="H83" s="97">
        <v>80111600</v>
      </c>
      <c r="I83" s="159">
        <v>2</v>
      </c>
      <c r="J83" s="159">
        <v>11</v>
      </c>
      <c r="K83" s="52">
        <v>0</v>
      </c>
      <c r="L83" s="153">
        <v>48400000</v>
      </c>
      <c r="M83" s="158" t="s">
        <v>473</v>
      </c>
      <c r="N83" s="53" t="s">
        <v>113</v>
      </c>
      <c r="O83" s="51" t="s">
        <v>219</v>
      </c>
      <c r="P83" s="160" t="str">
        <f>IFERROR(VLOOKUP(C83,TD!$B$32:$F$36,2,0)," ")</f>
        <v>O230117</v>
      </c>
      <c r="Q83" s="160" t="str">
        <f>IFERROR(VLOOKUP(C83,TD!$B$32:$F$36,3,0)," ")</f>
        <v>4599</v>
      </c>
      <c r="R83" s="160">
        <f>IFERROR(VLOOKUP(C83,TD!$B$32:$F$36,4,0)," ")</f>
        <v>20240207</v>
      </c>
      <c r="S83" s="51" t="s">
        <v>185</v>
      </c>
      <c r="T83" s="160" t="str">
        <f>IFERROR(VLOOKUP(S83,TD!$J$33:$K$43,2,0)," ")</f>
        <v>Infraestructura física, mantenimiento y dotación (Sedes construidas, mantenidas reforzadas)</v>
      </c>
      <c r="U83" s="161" t="str">
        <f>CONCATENATE(S83,"-",T83)</f>
        <v>08-Infraestructura física, mantenimiento y dotación (Sedes construidas, mantenidas reforzadas)</v>
      </c>
      <c r="V83" s="51" t="s">
        <v>238</v>
      </c>
      <c r="W83" s="160" t="str">
        <f>IFERROR(VLOOKUP(V83,TD!$N$33:$O$45,2,0)," ")</f>
        <v>Sedes mantenidas</v>
      </c>
      <c r="X83" s="161" t="str">
        <f>CONCATENATE(V83,"_",W83)</f>
        <v>016_Sedes mantenidas</v>
      </c>
      <c r="Y83" s="161" t="str">
        <f>CONCATENATE(U83," ",X83)</f>
        <v>08-Infraestructura física, mantenimiento y dotación (Sedes construidas, mantenidas reforzadas) 016_Sedes mantenidas</v>
      </c>
      <c r="Z83" s="160" t="str">
        <f>CONCATENATE(P83,Q83,R83,S83,V83)</f>
        <v>O23011745992024020708016</v>
      </c>
      <c r="AA83" s="160" t="str">
        <f>IFERROR(VLOOKUP(Y83,TD!$K$46:$L$64,2,0)," ")</f>
        <v>PM/0131/0108/45990160207</v>
      </c>
      <c r="AB83" s="53" t="s">
        <v>138</v>
      </c>
      <c r="AC83" s="162" t="s">
        <v>204</v>
      </c>
    </row>
    <row r="84" spans="2:29" s="28" customFormat="1" ht="99" customHeight="1" x14ac:dyDescent="0.35">
      <c r="B84" s="77">
        <v>20250074</v>
      </c>
      <c r="C84" s="50" t="s">
        <v>208</v>
      </c>
      <c r="D84" s="158" t="s">
        <v>45</v>
      </c>
      <c r="E84" s="51" t="s">
        <v>355</v>
      </c>
      <c r="F84" s="158" t="s">
        <v>494</v>
      </c>
      <c r="G84" s="158" t="s">
        <v>155</v>
      </c>
      <c r="H84" s="97">
        <v>80111600</v>
      </c>
      <c r="I84" s="159">
        <v>2</v>
      </c>
      <c r="J84" s="159">
        <v>6</v>
      </c>
      <c r="K84" s="52">
        <v>0</v>
      </c>
      <c r="L84" s="153">
        <f>98000000-39200000</f>
        <v>58800000</v>
      </c>
      <c r="M84" s="158" t="s">
        <v>473</v>
      </c>
      <c r="N84" s="53" t="s">
        <v>113</v>
      </c>
      <c r="O84" s="51" t="s">
        <v>219</v>
      </c>
      <c r="P84" s="160" t="str">
        <f>IFERROR(VLOOKUP(C84,TD!$B$32:$F$36,2,0)," ")</f>
        <v>O230117</v>
      </c>
      <c r="Q84" s="160" t="str">
        <f>IFERROR(VLOOKUP(C84,TD!$B$32:$F$36,3,0)," ")</f>
        <v>4599</v>
      </c>
      <c r="R84" s="160">
        <f>IFERROR(VLOOKUP(C84,TD!$B$32:$F$36,4,0)," ")</f>
        <v>20240207</v>
      </c>
      <c r="S84" s="51" t="s">
        <v>185</v>
      </c>
      <c r="T84" s="160" t="str">
        <f>IFERROR(VLOOKUP(S84,TD!$J$33:$K$43,2,0)," ")</f>
        <v>Infraestructura física, mantenimiento y dotación (Sedes construidas, mantenidas reforzadas)</v>
      </c>
      <c r="U84" s="161" t="str">
        <f>CONCATENATE(S84,"-",T84)</f>
        <v>08-Infraestructura física, mantenimiento y dotación (Sedes construidas, mantenidas reforzadas)</v>
      </c>
      <c r="V84" s="51" t="s">
        <v>238</v>
      </c>
      <c r="W84" s="160" t="str">
        <f>IFERROR(VLOOKUP(V84,TD!$N$33:$O$45,2,0)," ")</f>
        <v>Sedes mantenidas</v>
      </c>
      <c r="X84" s="161" t="str">
        <f>CONCATENATE(V84,"_",W84)</f>
        <v>016_Sedes mantenidas</v>
      </c>
      <c r="Y84" s="161" t="str">
        <f>CONCATENATE(U84," ",X84)</f>
        <v>08-Infraestructura física, mantenimiento y dotación (Sedes construidas, mantenidas reforzadas) 016_Sedes mantenidas</v>
      </c>
      <c r="Z84" s="160" t="str">
        <f>CONCATENATE(P84,Q84,R84,S84,V84)</f>
        <v>O23011745992024020708016</v>
      </c>
      <c r="AA84" s="160" t="str">
        <f>IFERROR(VLOOKUP(Y84,TD!$K$46:$L$64,2,0)," ")</f>
        <v>PM/0131/0108/45990160207</v>
      </c>
      <c r="AB84" s="53" t="s">
        <v>138</v>
      </c>
      <c r="AC84" s="162" t="s">
        <v>204</v>
      </c>
    </row>
    <row r="85" spans="2:29" s="28" customFormat="1" ht="99" customHeight="1" x14ac:dyDescent="0.35">
      <c r="B85" s="77">
        <v>20250075</v>
      </c>
      <c r="C85" s="50" t="s">
        <v>208</v>
      </c>
      <c r="D85" s="158" t="s">
        <v>45</v>
      </c>
      <c r="E85" s="51" t="s">
        <v>355</v>
      </c>
      <c r="F85" s="158" t="s">
        <v>434</v>
      </c>
      <c r="G85" s="158" t="s">
        <v>155</v>
      </c>
      <c r="H85" s="97">
        <v>80111600</v>
      </c>
      <c r="I85" s="159">
        <v>2</v>
      </c>
      <c r="J85" s="159">
        <v>6</v>
      </c>
      <c r="K85" s="52">
        <v>0</v>
      </c>
      <c r="L85" s="153">
        <f>98000000-39200000</f>
        <v>58800000</v>
      </c>
      <c r="M85" s="158" t="s">
        <v>473</v>
      </c>
      <c r="N85" s="53" t="s">
        <v>113</v>
      </c>
      <c r="O85" s="51" t="s">
        <v>219</v>
      </c>
      <c r="P85" s="160" t="str">
        <f>IFERROR(VLOOKUP(C85,TD!$B$32:$F$36,2,0)," ")</f>
        <v>O230117</v>
      </c>
      <c r="Q85" s="160" t="str">
        <f>IFERROR(VLOOKUP(C85,TD!$B$32:$F$36,3,0)," ")</f>
        <v>4599</v>
      </c>
      <c r="R85" s="160">
        <f>IFERROR(VLOOKUP(C85,TD!$B$32:$F$36,4,0)," ")</f>
        <v>20240207</v>
      </c>
      <c r="S85" s="51" t="s">
        <v>185</v>
      </c>
      <c r="T85" s="160" t="str">
        <f>IFERROR(VLOOKUP(S85,TD!$J$33:$K$43,2,0)," ")</f>
        <v>Infraestructura física, mantenimiento y dotación (Sedes construidas, mantenidas reforzadas)</v>
      </c>
      <c r="U85" s="161" t="str">
        <f>CONCATENATE(S85,"-",T85)</f>
        <v>08-Infraestructura física, mantenimiento y dotación (Sedes construidas, mantenidas reforzadas)</v>
      </c>
      <c r="V85" s="51" t="s">
        <v>238</v>
      </c>
      <c r="W85" s="160" t="str">
        <f>IFERROR(VLOOKUP(V85,TD!$N$33:$O$45,2,0)," ")</f>
        <v>Sedes mantenidas</v>
      </c>
      <c r="X85" s="161" t="str">
        <f>CONCATENATE(V85,"_",W85)</f>
        <v>016_Sedes mantenidas</v>
      </c>
      <c r="Y85" s="161" t="str">
        <f>CONCATENATE(U85," ",X85)</f>
        <v>08-Infraestructura física, mantenimiento y dotación (Sedes construidas, mantenidas reforzadas) 016_Sedes mantenidas</v>
      </c>
      <c r="Z85" s="160" t="str">
        <f>CONCATENATE(P85,Q85,R85,S85,V85)</f>
        <v>O23011745992024020708016</v>
      </c>
      <c r="AA85" s="160" t="str">
        <f>IFERROR(VLOOKUP(Y85,TD!$K$46:$L$64,2,0)," ")</f>
        <v>PM/0131/0108/45990160207</v>
      </c>
      <c r="AB85" s="53" t="s">
        <v>138</v>
      </c>
      <c r="AC85" s="162" t="s">
        <v>204</v>
      </c>
    </row>
    <row r="86" spans="2:29" s="28" customFormat="1" ht="99" customHeight="1" x14ac:dyDescent="0.35">
      <c r="B86" s="77">
        <v>20250076</v>
      </c>
      <c r="C86" s="50" t="s">
        <v>208</v>
      </c>
      <c r="D86" s="158" t="s">
        <v>161</v>
      </c>
      <c r="E86" s="51" t="s">
        <v>355</v>
      </c>
      <c r="F86" s="158" t="s">
        <v>360</v>
      </c>
      <c r="G86" s="158" t="s">
        <v>155</v>
      </c>
      <c r="H86" s="97">
        <v>80111600</v>
      </c>
      <c r="I86" s="159">
        <v>2</v>
      </c>
      <c r="J86" s="159">
        <v>11</v>
      </c>
      <c r="K86" s="52">
        <v>0</v>
      </c>
      <c r="L86" s="153">
        <v>115500000</v>
      </c>
      <c r="M86" s="158" t="s">
        <v>473</v>
      </c>
      <c r="N86" s="53" t="s">
        <v>113</v>
      </c>
      <c r="O86" s="51" t="s">
        <v>220</v>
      </c>
      <c r="P86" s="160" t="str">
        <f>IFERROR(VLOOKUP(C86,TD!$B$32:$F$36,2,0)," ")</f>
        <v>O230117</v>
      </c>
      <c r="Q86" s="160" t="str">
        <f>IFERROR(VLOOKUP(C86,TD!$B$32:$F$36,3,0)," ")</f>
        <v>4599</v>
      </c>
      <c r="R86" s="160">
        <f>IFERROR(VLOOKUP(C86,TD!$B$32:$F$36,4,0)," ")</f>
        <v>20240207</v>
      </c>
      <c r="S86" s="51" t="s">
        <v>193</v>
      </c>
      <c r="T86" s="160" t="str">
        <f>IFERROR(VLOOKUP(S86,TD!$J$33:$K$43,2,0)," ")</f>
        <v>Servicios para la planeación y sistemas de gestión y comunicación estratégica</v>
      </c>
      <c r="U86" s="161" t="str">
        <f>CONCATENATE(S86,"-",T86)</f>
        <v>13-Servicios para la planeación y sistemas de gestión y comunicación estratégica</v>
      </c>
      <c r="V86" s="51" t="s">
        <v>242</v>
      </c>
      <c r="W86" s="160" t="str">
        <f>IFERROR(VLOOKUP(V86,TD!$N$33:$O$45,2,0)," ")</f>
        <v>Documentos de planeación</v>
      </c>
      <c r="X86" s="161" t="str">
        <f>CONCATENATE(V86,"_",W86)</f>
        <v>019_Documentos de planeación</v>
      </c>
      <c r="Y86" s="161" t="str">
        <f>CONCATENATE(U86," ",X86)</f>
        <v>13-Servicios para la planeación y sistemas de gestión y comunicación estratégica 019_Documentos de planeación</v>
      </c>
      <c r="Z86" s="160" t="str">
        <f>CONCATENATE(P86,Q86,R86,S86,V86)</f>
        <v>O23011745992024020713019</v>
      </c>
      <c r="AA86" s="160" t="str">
        <f>IFERROR(VLOOKUP(Y86,TD!$K$46:$L$64,2,0)," ")</f>
        <v>PM/0131/0113/45990190207</v>
      </c>
      <c r="AB86" s="53" t="s">
        <v>138</v>
      </c>
      <c r="AC86" s="162" t="s">
        <v>204</v>
      </c>
    </row>
    <row r="87" spans="2:29" s="28" customFormat="1" ht="99" customHeight="1" x14ac:dyDescent="0.35">
      <c r="B87" s="77">
        <v>20250077</v>
      </c>
      <c r="C87" s="50" t="s">
        <v>208</v>
      </c>
      <c r="D87" s="158" t="s">
        <v>161</v>
      </c>
      <c r="E87" s="51" t="s">
        <v>355</v>
      </c>
      <c r="F87" s="158" t="s">
        <v>364</v>
      </c>
      <c r="G87" s="158" t="s">
        <v>155</v>
      </c>
      <c r="H87" s="97">
        <v>80111600</v>
      </c>
      <c r="I87" s="159">
        <v>2</v>
      </c>
      <c r="J87" s="159">
        <v>11</v>
      </c>
      <c r="K87" s="52">
        <v>0</v>
      </c>
      <c r="L87" s="153">
        <v>66000000</v>
      </c>
      <c r="M87" s="158" t="s">
        <v>473</v>
      </c>
      <c r="N87" s="53" t="s">
        <v>113</v>
      </c>
      <c r="O87" s="51" t="s">
        <v>220</v>
      </c>
      <c r="P87" s="160" t="str">
        <f>IFERROR(VLOOKUP(C87,TD!$B$32:$F$36,2,0)," ")</f>
        <v>O230117</v>
      </c>
      <c r="Q87" s="160" t="str">
        <f>IFERROR(VLOOKUP(C87,TD!$B$32:$F$36,3,0)," ")</f>
        <v>4599</v>
      </c>
      <c r="R87" s="160">
        <f>IFERROR(VLOOKUP(C87,TD!$B$32:$F$36,4,0)," ")</f>
        <v>20240207</v>
      </c>
      <c r="S87" s="51" t="s">
        <v>193</v>
      </c>
      <c r="T87" s="160" t="str">
        <f>IFERROR(VLOOKUP(S87,TD!$J$33:$K$43,2,0)," ")</f>
        <v>Servicios para la planeación y sistemas de gestión y comunicación estratégica</v>
      </c>
      <c r="U87" s="161" t="str">
        <f>CONCATENATE(S87,"-",T87)</f>
        <v>13-Servicios para la planeación y sistemas de gestión y comunicación estratégica</v>
      </c>
      <c r="V87" s="51" t="s">
        <v>242</v>
      </c>
      <c r="W87" s="160" t="str">
        <f>IFERROR(VLOOKUP(V87,TD!$N$33:$O$45,2,0)," ")</f>
        <v>Documentos de planeación</v>
      </c>
      <c r="X87" s="161" t="str">
        <f>CONCATENATE(V87,"_",W87)</f>
        <v>019_Documentos de planeación</v>
      </c>
      <c r="Y87" s="161" t="str">
        <f>CONCATENATE(U87," ",X87)</f>
        <v>13-Servicios para la planeación y sistemas de gestión y comunicación estratégica 019_Documentos de planeación</v>
      </c>
      <c r="Z87" s="160" t="str">
        <f>CONCATENATE(P87,Q87,R87,S87,V87)</f>
        <v>O23011745992024020713019</v>
      </c>
      <c r="AA87" s="160" t="str">
        <f>IFERROR(VLOOKUP(Y87,TD!$K$46:$L$64,2,0)," ")</f>
        <v>PM/0131/0113/45990190207</v>
      </c>
      <c r="AB87" s="53" t="s">
        <v>138</v>
      </c>
      <c r="AC87" s="162" t="s">
        <v>204</v>
      </c>
    </row>
    <row r="88" spans="2:29" s="28" customFormat="1" ht="99" customHeight="1" x14ac:dyDescent="0.35">
      <c r="B88" s="77">
        <v>20250078</v>
      </c>
      <c r="C88" s="50" t="s">
        <v>208</v>
      </c>
      <c r="D88" s="158" t="s">
        <v>161</v>
      </c>
      <c r="E88" s="51" t="s">
        <v>355</v>
      </c>
      <c r="F88" s="158" t="s">
        <v>366</v>
      </c>
      <c r="G88" s="158" t="s">
        <v>156</v>
      </c>
      <c r="H88" s="97">
        <v>80111600</v>
      </c>
      <c r="I88" s="159">
        <v>2</v>
      </c>
      <c r="J88" s="159">
        <v>11</v>
      </c>
      <c r="K88" s="52">
        <v>0</v>
      </c>
      <c r="L88" s="153">
        <f>44000000+4400000</f>
        <v>48400000</v>
      </c>
      <c r="M88" s="158" t="s">
        <v>473</v>
      </c>
      <c r="N88" s="53" t="s">
        <v>113</v>
      </c>
      <c r="O88" s="51" t="s">
        <v>220</v>
      </c>
      <c r="P88" s="160" t="str">
        <f>IFERROR(VLOOKUP(C88,TD!$B$32:$F$36,2,0)," ")</f>
        <v>O230117</v>
      </c>
      <c r="Q88" s="160" t="str">
        <f>IFERROR(VLOOKUP(C88,TD!$B$32:$F$36,3,0)," ")</f>
        <v>4599</v>
      </c>
      <c r="R88" s="160">
        <f>IFERROR(VLOOKUP(C88,TD!$B$32:$F$36,4,0)," ")</f>
        <v>20240207</v>
      </c>
      <c r="S88" s="51" t="s">
        <v>193</v>
      </c>
      <c r="T88" s="160" t="str">
        <f>IFERROR(VLOOKUP(S88,TD!$J$33:$K$43,2,0)," ")</f>
        <v>Servicios para la planeación y sistemas de gestión y comunicación estratégica</v>
      </c>
      <c r="U88" s="161" t="str">
        <f>CONCATENATE(S88,"-",T88)</f>
        <v>13-Servicios para la planeación y sistemas de gestión y comunicación estratégica</v>
      </c>
      <c r="V88" s="51" t="s">
        <v>242</v>
      </c>
      <c r="W88" s="160" t="str">
        <f>IFERROR(VLOOKUP(V88,TD!$N$33:$O$45,2,0)," ")</f>
        <v>Documentos de planeación</v>
      </c>
      <c r="X88" s="161" t="str">
        <f>CONCATENATE(V88,"_",W88)</f>
        <v>019_Documentos de planeación</v>
      </c>
      <c r="Y88" s="161" t="str">
        <f>CONCATENATE(U88," ",X88)</f>
        <v>13-Servicios para la planeación y sistemas de gestión y comunicación estratégica 019_Documentos de planeación</v>
      </c>
      <c r="Z88" s="160" t="str">
        <f>CONCATENATE(P88,Q88,R88,S88,V88)</f>
        <v>O23011745992024020713019</v>
      </c>
      <c r="AA88" s="160" t="str">
        <f>IFERROR(VLOOKUP(Y88,TD!$K$46:$L$64,2,0)," ")</f>
        <v>PM/0131/0113/45990190207</v>
      </c>
      <c r="AB88" s="53" t="s">
        <v>138</v>
      </c>
      <c r="AC88" s="162" t="s">
        <v>204</v>
      </c>
    </row>
    <row r="89" spans="2:29" s="28" customFormat="1" ht="99" customHeight="1" x14ac:dyDescent="0.35">
      <c r="B89" s="77">
        <v>20250079</v>
      </c>
      <c r="C89" s="50" t="s">
        <v>208</v>
      </c>
      <c r="D89" s="158" t="s">
        <v>161</v>
      </c>
      <c r="E89" s="51" t="s">
        <v>355</v>
      </c>
      <c r="F89" s="158" t="s">
        <v>363</v>
      </c>
      <c r="G89" s="158" t="s">
        <v>155</v>
      </c>
      <c r="H89" s="97">
        <v>80111600</v>
      </c>
      <c r="I89" s="159">
        <v>2</v>
      </c>
      <c r="J89" s="159">
        <v>11</v>
      </c>
      <c r="K89" s="52">
        <v>0</v>
      </c>
      <c r="L89" s="153">
        <v>66000000</v>
      </c>
      <c r="M89" s="158" t="s">
        <v>473</v>
      </c>
      <c r="N89" s="53" t="s">
        <v>113</v>
      </c>
      <c r="O89" s="51" t="s">
        <v>220</v>
      </c>
      <c r="P89" s="160" t="str">
        <f>IFERROR(VLOOKUP(C89,TD!$B$32:$F$36,2,0)," ")</f>
        <v>O230117</v>
      </c>
      <c r="Q89" s="160" t="str">
        <f>IFERROR(VLOOKUP(C89,TD!$B$32:$F$36,3,0)," ")</f>
        <v>4599</v>
      </c>
      <c r="R89" s="160">
        <f>IFERROR(VLOOKUP(C89,TD!$B$32:$F$36,4,0)," ")</f>
        <v>20240207</v>
      </c>
      <c r="S89" s="51" t="s">
        <v>193</v>
      </c>
      <c r="T89" s="160" t="str">
        <f>IFERROR(VLOOKUP(S89,TD!$J$33:$K$43,2,0)," ")</f>
        <v>Servicios para la planeación y sistemas de gestión y comunicación estratégica</v>
      </c>
      <c r="U89" s="161" t="str">
        <f>CONCATENATE(S89,"-",T89)</f>
        <v>13-Servicios para la planeación y sistemas de gestión y comunicación estratégica</v>
      </c>
      <c r="V89" s="51" t="s">
        <v>242</v>
      </c>
      <c r="W89" s="160" t="str">
        <f>IFERROR(VLOOKUP(V89,TD!$N$33:$O$45,2,0)," ")</f>
        <v>Documentos de planeación</v>
      </c>
      <c r="X89" s="161" t="str">
        <f>CONCATENATE(V89,"_",W89)</f>
        <v>019_Documentos de planeación</v>
      </c>
      <c r="Y89" s="161" t="str">
        <f>CONCATENATE(U89," ",X89)</f>
        <v>13-Servicios para la planeación y sistemas de gestión y comunicación estratégica 019_Documentos de planeación</v>
      </c>
      <c r="Z89" s="160" t="str">
        <f>CONCATENATE(P89,Q89,R89,S89,V89)</f>
        <v>O23011745992024020713019</v>
      </c>
      <c r="AA89" s="160" t="str">
        <f>IFERROR(VLOOKUP(Y89,TD!$K$46:$L$64,2,0)," ")</f>
        <v>PM/0131/0113/45990190207</v>
      </c>
      <c r="AB89" s="53" t="s">
        <v>138</v>
      </c>
      <c r="AC89" s="162" t="s">
        <v>204</v>
      </c>
    </row>
    <row r="90" spans="2:29" s="28" customFormat="1" ht="99" customHeight="1" x14ac:dyDescent="0.35">
      <c r="B90" s="77">
        <v>20250080</v>
      </c>
      <c r="C90" s="50" t="s">
        <v>208</v>
      </c>
      <c r="D90" s="158" t="s">
        <v>161</v>
      </c>
      <c r="E90" s="51" t="s">
        <v>355</v>
      </c>
      <c r="F90" s="158" t="s">
        <v>362</v>
      </c>
      <c r="G90" s="158" t="s">
        <v>155</v>
      </c>
      <c r="H90" s="97">
        <v>80111600</v>
      </c>
      <c r="I90" s="159">
        <v>2</v>
      </c>
      <c r="J90" s="159">
        <v>11</v>
      </c>
      <c r="K90" s="52">
        <v>0</v>
      </c>
      <c r="L90" s="153">
        <v>88000000</v>
      </c>
      <c r="M90" s="158" t="s">
        <v>473</v>
      </c>
      <c r="N90" s="53" t="s">
        <v>113</v>
      </c>
      <c r="O90" s="51" t="s">
        <v>220</v>
      </c>
      <c r="P90" s="160" t="str">
        <f>IFERROR(VLOOKUP(C90,TD!$B$32:$F$36,2,0)," ")</f>
        <v>O230117</v>
      </c>
      <c r="Q90" s="160" t="str">
        <f>IFERROR(VLOOKUP(C90,TD!$B$32:$F$36,3,0)," ")</f>
        <v>4599</v>
      </c>
      <c r="R90" s="160">
        <f>IFERROR(VLOOKUP(C90,TD!$B$32:$F$36,4,0)," ")</f>
        <v>20240207</v>
      </c>
      <c r="S90" s="51" t="s">
        <v>193</v>
      </c>
      <c r="T90" s="160" t="str">
        <f>IFERROR(VLOOKUP(S90,TD!$J$33:$K$43,2,0)," ")</f>
        <v>Servicios para la planeación y sistemas de gestión y comunicación estratégica</v>
      </c>
      <c r="U90" s="161" t="str">
        <f>CONCATENATE(S90,"-",T90)</f>
        <v>13-Servicios para la planeación y sistemas de gestión y comunicación estratégica</v>
      </c>
      <c r="V90" s="51" t="s">
        <v>242</v>
      </c>
      <c r="W90" s="160" t="str">
        <f>IFERROR(VLOOKUP(V90,TD!$N$33:$O$45,2,0)," ")</f>
        <v>Documentos de planeación</v>
      </c>
      <c r="X90" s="161" t="str">
        <f>CONCATENATE(V90,"_",W90)</f>
        <v>019_Documentos de planeación</v>
      </c>
      <c r="Y90" s="161" t="str">
        <f>CONCATENATE(U90," ",X90)</f>
        <v>13-Servicios para la planeación y sistemas de gestión y comunicación estratégica 019_Documentos de planeación</v>
      </c>
      <c r="Z90" s="160" t="str">
        <f>CONCATENATE(P90,Q90,R90,S90,V90)</f>
        <v>O23011745992024020713019</v>
      </c>
      <c r="AA90" s="160" t="str">
        <f>IFERROR(VLOOKUP(Y90,TD!$K$46:$L$64,2,0)," ")</f>
        <v>PM/0131/0113/45990190207</v>
      </c>
      <c r="AB90" s="53" t="s">
        <v>138</v>
      </c>
      <c r="AC90" s="162" t="s">
        <v>204</v>
      </c>
    </row>
    <row r="91" spans="2:29" s="28" customFormat="1" ht="99" customHeight="1" x14ac:dyDescent="0.35">
      <c r="B91" s="77">
        <v>20250081</v>
      </c>
      <c r="C91" s="50" t="s">
        <v>208</v>
      </c>
      <c r="D91" s="158" t="s">
        <v>161</v>
      </c>
      <c r="E91" s="51" t="s">
        <v>355</v>
      </c>
      <c r="F91" s="158" t="s">
        <v>365</v>
      </c>
      <c r="G91" s="158" t="s">
        <v>155</v>
      </c>
      <c r="H91" s="97">
        <v>80111600</v>
      </c>
      <c r="I91" s="159">
        <v>2</v>
      </c>
      <c r="J91" s="159">
        <v>11</v>
      </c>
      <c r="K91" s="52">
        <v>0</v>
      </c>
      <c r="L91" s="153">
        <v>66000000</v>
      </c>
      <c r="M91" s="158" t="s">
        <v>473</v>
      </c>
      <c r="N91" s="53" t="s">
        <v>113</v>
      </c>
      <c r="O91" s="51" t="s">
        <v>220</v>
      </c>
      <c r="P91" s="160" t="str">
        <f>IFERROR(VLOOKUP(C91,TD!$B$32:$F$36,2,0)," ")</f>
        <v>O230117</v>
      </c>
      <c r="Q91" s="160" t="str">
        <f>IFERROR(VLOOKUP(C91,TD!$B$32:$F$36,3,0)," ")</f>
        <v>4599</v>
      </c>
      <c r="R91" s="160">
        <f>IFERROR(VLOOKUP(C91,TD!$B$32:$F$36,4,0)," ")</f>
        <v>20240207</v>
      </c>
      <c r="S91" s="51" t="s">
        <v>193</v>
      </c>
      <c r="T91" s="160" t="str">
        <f>IFERROR(VLOOKUP(S91,TD!$J$33:$K$43,2,0)," ")</f>
        <v>Servicios para la planeación y sistemas de gestión y comunicación estratégica</v>
      </c>
      <c r="U91" s="161" t="str">
        <f>CONCATENATE(S91,"-",T91)</f>
        <v>13-Servicios para la planeación y sistemas de gestión y comunicación estratégica</v>
      </c>
      <c r="V91" s="51" t="s">
        <v>242</v>
      </c>
      <c r="W91" s="160" t="str">
        <f>IFERROR(VLOOKUP(V91,TD!$N$33:$O$45,2,0)," ")</f>
        <v>Documentos de planeación</v>
      </c>
      <c r="X91" s="161" t="str">
        <f>CONCATENATE(V91,"_",W91)</f>
        <v>019_Documentos de planeación</v>
      </c>
      <c r="Y91" s="161" t="str">
        <f>CONCATENATE(U91," ",X91)</f>
        <v>13-Servicios para la planeación y sistemas de gestión y comunicación estratégica 019_Documentos de planeación</v>
      </c>
      <c r="Z91" s="160" t="str">
        <f>CONCATENATE(P91,Q91,R91,S91,V91)</f>
        <v>O23011745992024020713019</v>
      </c>
      <c r="AA91" s="160" t="str">
        <f>IFERROR(VLOOKUP(Y91,TD!$K$46:$L$64,2,0)," ")</f>
        <v>PM/0131/0113/45990190207</v>
      </c>
      <c r="AB91" s="53" t="s">
        <v>138</v>
      </c>
      <c r="AC91" s="162" t="s">
        <v>204</v>
      </c>
    </row>
    <row r="92" spans="2:29" s="28" customFormat="1" ht="99" customHeight="1" x14ac:dyDescent="0.35">
      <c r="B92" s="77">
        <v>20250082</v>
      </c>
      <c r="C92" s="50" t="s">
        <v>208</v>
      </c>
      <c r="D92" s="158" t="s">
        <v>45</v>
      </c>
      <c r="E92" s="51" t="s">
        <v>355</v>
      </c>
      <c r="F92" s="158" t="s">
        <v>768</v>
      </c>
      <c r="G92" s="158" t="s">
        <v>155</v>
      </c>
      <c r="H92" s="97">
        <v>80111600</v>
      </c>
      <c r="I92" s="159">
        <v>2</v>
      </c>
      <c r="J92" s="159">
        <v>8</v>
      </c>
      <c r="K92" s="52">
        <v>0</v>
      </c>
      <c r="L92" s="153">
        <f>61723493-13723493+12000000</f>
        <v>60000000</v>
      </c>
      <c r="M92" s="158" t="s">
        <v>473</v>
      </c>
      <c r="N92" s="53" t="s">
        <v>113</v>
      </c>
      <c r="O92" s="51" t="s">
        <v>219</v>
      </c>
      <c r="P92" s="160" t="str">
        <f>IFERROR(VLOOKUP(C92,TD!$B$32:$F$36,2,0)," ")</f>
        <v>O230117</v>
      </c>
      <c r="Q92" s="160" t="str">
        <f>IFERROR(VLOOKUP(C92,TD!$B$32:$F$36,3,0)," ")</f>
        <v>4599</v>
      </c>
      <c r="R92" s="160">
        <f>IFERROR(VLOOKUP(C92,TD!$B$32:$F$36,4,0)," ")</f>
        <v>20240207</v>
      </c>
      <c r="S92" s="51" t="s">
        <v>185</v>
      </c>
      <c r="T92" s="160" t="str">
        <f>IFERROR(VLOOKUP(S92,TD!$J$33:$K$43,2,0)," ")</f>
        <v>Infraestructura física, mantenimiento y dotación (Sedes construidas, mantenidas reforzadas)</v>
      </c>
      <c r="U92" s="161" t="str">
        <f>CONCATENATE(S92,"-",T92)</f>
        <v>08-Infraestructura física, mantenimiento y dotación (Sedes construidas, mantenidas reforzadas)</v>
      </c>
      <c r="V92" s="51" t="s">
        <v>238</v>
      </c>
      <c r="W92" s="160" t="str">
        <f>IFERROR(VLOOKUP(V92,TD!$N$33:$O$45,2,0)," ")</f>
        <v>Sedes mantenidas</v>
      </c>
      <c r="X92" s="161" t="str">
        <f>CONCATENATE(V92,"_",W92)</f>
        <v>016_Sedes mantenidas</v>
      </c>
      <c r="Y92" s="161" t="str">
        <f>CONCATENATE(U92," ",X92)</f>
        <v>08-Infraestructura física, mantenimiento y dotación (Sedes construidas, mantenidas reforzadas) 016_Sedes mantenidas</v>
      </c>
      <c r="Z92" s="160" t="str">
        <f>CONCATENATE(P92,Q92,R92,S92,V92)</f>
        <v>O23011745992024020708016</v>
      </c>
      <c r="AA92" s="160" t="str">
        <f>IFERROR(VLOOKUP(Y92,TD!$K$46:$L$64,2,0)," ")</f>
        <v>PM/0131/0108/45990160207</v>
      </c>
      <c r="AB92" s="53" t="s">
        <v>138</v>
      </c>
      <c r="AC92" s="162" t="s">
        <v>204</v>
      </c>
    </row>
    <row r="93" spans="2:29" s="28" customFormat="1" ht="99" customHeight="1" x14ac:dyDescent="0.35">
      <c r="B93" s="186">
        <v>20250083</v>
      </c>
      <c r="C93" s="187" t="s">
        <v>208</v>
      </c>
      <c r="D93" s="188" t="s">
        <v>161</v>
      </c>
      <c r="E93" s="189" t="s">
        <v>355</v>
      </c>
      <c r="F93" s="188" t="s">
        <v>876</v>
      </c>
      <c r="G93" s="188" t="s">
        <v>155</v>
      </c>
      <c r="H93" s="190">
        <v>80111600</v>
      </c>
      <c r="I93" s="191">
        <v>2</v>
      </c>
      <c r="J93" s="191">
        <v>10</v>
      </c>
      <c r="K93" s="192">
        <v>0</v>
      </c>
      <c r="L93" s="193">
        <v>52000000</v>
      </c>
      <c r="M93" s="188" t="s">
        <v>473</v>
      </c>
      <c r="N93" s="194" t="s">
        <v>113</v>
      </c>
      <c r="O93" s="189" t="s">
        <v>220</v>
      </c>
      <c r="P93" s="195" t="str">
        <f>IFERROR(VLOOKUP(C93,TD!$B$32:$F$36,2,0)," ")</f>
        <v>O230117</v>
      </c>
      <c r="Q93" s="195" t="str">
        <f>IFERROR(VLOOKUP(C93,TD!$B$32:$F$36,3,0)," ")</f>
        <v>4599</v>
      </c>
      <c r="R93" s="195">
        <f>IFERROR(VLOOKUP(C93,TD!$B$32:$F$36,4,0)," ")</f>
        <v>20240207</v>
      </c>
      <c r="S93" s="189" t="s">
        <v>193</v>
      </c>
      <c r="T93" s="195" t="str">
        <f>IFERROR(VLOOKUP(S93,TD!$J$33:$K$43,2,0)," ")</f>
        <v>Servicios para la planeación y sistemas de gestión y comunicación estratégica</v>
      </c>
      <c r="U93" s="161" t="str">
        <f>CONCATENATE(S93,"-",T93)</f>
        <v>13-Servicios para la planeación y sistemas de gestión y comunicación estratégica</v>
      </c>
      <c r="V93" s="189" t="s">
        <v>242</v>
      </c>
      <c r="W93" s="195" t="str">
        <f>IFERROR(VLOOKUP(V93,TD!$N$33:$O$45,2,0)," ")</f>
        <v>Documentos de planeación</v>
      </c>
      <c r="X93" s="161" t="str">
        <f>CONCATENATE(V93,"_",W93)</f>
        <v>019_Documentos de planeación</v>
      </c>
      <c r="Y93" s="161" t="str">
        <f>CONCATENATE(U93," ",X93)</f>
        <v>13-Servicios para la planeación y sistemas de gestión y comunicación estratégica 019_Documentos de planeación</v>
      </c>
      <c r="Z93" s="195" t="str">
        <f>CONCATENATE(P93,Q93,R93,S93,V93)</f>
        <v>O23011745992024020713019</v>
      </c>
      <c r="AA93" s="195" t="str">
        <f>IFERROR(VLOOKUP(Y93,TD!$K$46:$L$64,2,0)," ")</f>
        <v>PM/0131/0113/45990190207</v>
      </c>
      <c r="AB93" s="194" t="s">
        <v>138</v>
      </c>
      <c r="AC93" s="196" t="s">
        <v>204</v>
      </c>
    </row>
    <row r="94" spans="2:29" s="28" customFormat="1" ht="99" customHeight="1" x14ac:dyDescent="0.35">
      <c r="B94" s="77">
        <v>20250084</v>
      </c>
      <c r="C94" s="50" t="s">
        <v>208</v>
      </c>
      <c r="D94" s="158" t="s">
        <v>161</v>
      </c>
      <c r="E94" s="51" t="s">
        <v>355</v>
      </c>
      <c r="F94" s="158" t="s">
        <v>361</v>
      </c>
      <c r="G94" s="158" t="s">
        <v>155</v>
      </c>
      <c r="H94" s="97">
        <v>80111600</v>
      </c>
      <c r="I94" s="159">
        <v>2</v>
      </c>
      <c r="J94" s="159">
        <v>11</v>
      </c>
      <c r="K94" s="52">
        <v>0</v>
      </c>
      <c r="L94" s="153">
        <v>66000000</v>
      </c>
      <c r="M94" s="158" t="s">
        <v>473</v>
      </c>
      <c r="N94" s="53" t="s">
        <v>113</v>
      </c>
      <c r="O94" s="51" t="s">
        <v>220</v>
      </c>
      <c r="P94" s="160" t="str">
        <f>IFERROR(VLOOKUP(C94,TD!$B$32:$F$36,2,0)," ")</f>
        <v>O230117</v>
      </c>
      <c r="Q94" s="160" t="str">
        <f>IFERROR(VLOOKUP(C94,TD!$B$32:$F$36,3,0)," ")</f>
        <v>4599</v>
      </c>
      <c r="R94" s="160">
        <f>IFERROR(VLOOKUP(C94,TD!$B$32:$F$36,4,0)," ")</f>
        <v>20240207</v>
      </c>
      <c r="S94" s="51" t="s">
        <v>193</v>
      </c>
      <c r="T94" s="160" t="str">
        <f>IFERROR(VLOOKUP(S94,TD!$J$33:$K$43,2,0)," ")</f>
        <v>Servicios para la planeación y sistemas de gestión y comunicación estratégica</v>
      </c>
      <c r="U94" s="161" t="str">
        <f>CONCATENATE(S94,"-",T94)</f>
        <v>13-Servicios para la planeación y sistemas de gestión y comunicación estratégica</v>
      </c>
      <c r="V94" s="51" t="s">
        <v>242</v>
      </c>
      <c r="W94" s="160" t="str">
        <f>IFERROR(VLOOKUP(V94,TD!$N$33:$O$45,2,0)," ")</f>
        <v>Documentos de planeación</v>
      </c>
      <c r="X94" s="161" t="str">
        <f>CONCATENATE(V94,"_",W94)</f>
        <v>019_Documentos de planeación</v>
      </c>
      <c r="Y94" s="161" t="str">
        <f>CONCATENATE(U94," ",X94)</f>
        <v>13-Servicios para la planeación y sistemas de gestión y comunicación estratégica 019_Documentos de planeación</v>
      </c>
      <c r="Z94" s="160" t="str">
        <f>CONCATENATE(P94,Q94,R94,S94,V94)</f>
        <v>O23011745992024020713019</v>
      </c>
      <c r="AA94" s="160" t="str">
        <f>IFERROR(VLOOKUP(Y94,TD!$K$46:$L$64,2,0)," ")</f>
        <v>PM/0131/0113/45990190207</v>
      </c>
      <c r="AB94" s="53" t="s">
        <v>138</v>
      </c>
      <c r="AC94" s="162" t="s">
        <v>204</v>
      </c>
    </row>
    <row r="95" spans="2:29" s="28" customFormat="1" ht="99" customHeight="1" x14ac:dyDescent="0.35">
      <c r="B95" s="186">
        <v>20250085</v>
      </c>
      <c r="C95" s="187" t="s">
        <v>208</v>
      </c>
      <c r="D95" s="188" t="s">
        <v>161</v>
      </c>
      <c r="E95" s="189" t="s">
        <v>355</v>
      </c>
      <c r="F95" s="188" t="s">
        <v>367</v>
      </c>
      <c r="G95" s="188" t="s">
        <v>156</v>
      </c>
      <c r="H95" s="190">
        <v>80111600</v>
      </c>
      <c r="I95" s="191">
        <v>3</v>
      </c>
      <c r="J95" s="191">
        <v>10</v>
      </c>
      <c r="K95" s="192">
        <v>0</v>
      </c>
      <c r="L95" s="193">
        <f>44000000+4400000-4400000</f>
        <v>44000000</v>
      </c>
      <c r="M95" s="188" t="s">
        <v>473</v>
      </c>
      <c r="N95" s="194" t="s">
        <v>113</v>
      </c>
      <c r="O95" s="189" t="s">
        <v>220</v>
      </c>
      <c r="P95" s="195" t="str">
        <f>IFERROR(VLOOKUP(C95,TD!$B$32:$F$36,2,0)," ")</f>
        <v>O230117</v>
      </c>
      <c r="Q95" s="195" t="str">
        <f>IFERROR(VLOOKUP(C95,TD!$B$32:$F$36,3,0)," ")</f>
        <v>4599</v>
      </c>
      <c r="R95" s="195">
        <f>IFERROR(VLOOKUP(C95,TD!$B$32:$F$36,4,0)," ")</f>
        <v>20240207</v>
      </c>
      <c r="S95" s="189" t="s">
        <v>193</v>
      </c>
      <c r="T95" s="195" t="str">
        <f>IFERROR(VLOOKUP(S95,TD!$J$33:$K$43,2,0)," ")</f>
        <v>Servicios para la planeación y sistemas de gestión y comunicación estratégica</v>
      </c>
      <c r="U95" s="161" t="str">
        <f>CONCATENATE(S95,"-",T95)</f>
        <v>13-Servicios para la planeación y sistemas de gestión y comunicación estratégica</v>
      </c>
      <c r="V95" s="189" t="s">
        <v>242</v>
      </c>
      <c r="W95" s="195" t="str">
        <f>IFERROR(VLOOKUP(V95,TD!$N$33:$O$45,2,0)," ")</f>
        <v>Documentos de planeación</v>
      </c>
      <c r="X95" s="161" t="str">
        <f>CONCATENATE(V95,"_",W95)</f>
        <v>019_Documentos de planeación</v>
      </c>
      <c r="Y95" s="161" t="str">
        <f>CONCATENATE(U95," ",X95)</f>
        <v>13-Servicios para la planeación y sistemas de gestión y comunicación estratégica 019_Documentos de planeación</v>
      </c>
      <c r="Z95" s="195" t="str">
        <f>CONCATENATE(P95,Q95,R95,S95,V95)</f>
        <v>O23011745992024020713019</v>
      </c>
      <c r="AA95" s="195" t="str">
        <f>IFERROR(VLOOKUP(Y95,TD!$K$46:$L$64,2,0)," ")</f>
        <v>PM/0131/0113/45990190207</v>
      </c>
      <c r="AB95" s="194" t="s">
        <v>138</v>
      </c>
      <c r="AC95" s="196" t="s">
        <v>204</v>
      </c>
    </row>
    <row r="96" spans="2:29" s="28" customFormat="1" ht="99" customHeight="1" x14ac:dyDescent="0.35">
      <c r="B96" s="77">
        <v>20250086</v>
      </c>
      <c r="C96" s="50" t="s">
        <v>208</v>
      </c>
      <c r="D96" s="158" t="s">
        <v>161</v>
      </c>
      <c r="E96" s="51" t="s">
        <v>355</v>
      </c>
      <c r="F96" s="158" t="s">
        <v>435</v>
      </c>
      <c r="G96" s="158" t="s">
        <v>155</v>
      </c>
      <c r="H96" s="97">
        <v>80111600</v>
      </c>
      <c r="I96" s="159">
        <v>2</v>
      </c>
      <c r="J96" s="159">
        <v>11</v>
      </c>
      <c r="K96" s="52">
        <v>0</v>
      </c>
      <c r="L96" s="153">
        <v>107800000</v>
      </c>
      <c r="M96" s="158" t="s">
        <v>473</v>
      </c>
      <c r="N96" s="53" t="s">
        <v>113</v>
      </c>
      <c r="O96" s="51" t="s">
        <v>220</v>
      </c>
      <c r="P96" s="160" t="str">
        <f>IFERROR(VLOOKUP(C96,TD!$B$32:$F$36,2,0)," ")</f>
        <v>O230117</v>
      </c>
      <c r="Q96" s="160" t="str">
        <f>IFERROR(VLOOKUP(C96,TD!$B$32:$F$36,3,0)," ")</f>
        <v>4599</v>
      </c>
      <c r="R96" s="160">
        <f>IFERROR(VLOOKUP(C96,TD!$B$32:$F$36,4,0)," ")</f>
        <v>20240207</v>
      </c>
      <c r="S96" s="51" t="s">
        <v>193</v>
      </c>
      <c r="T96" s="160" t="str">
        <f>IFERROR(VLOOKUP(S96,TD!$J$33:$K$43,2,0)," ")</f>
        <v>Servicios para la planeación y sistemas de gestión y comunicación estratégica</v>
      </c>
      <c r="U96" s="161" t="str">
        <f>CONCATENATE(S96,"-",T96)</f>
        <v>13-Servicios para la planeación y sistemas de gestión y comunicación estratégica</v>
      </c>
      <c r="V96" s="51" t="s">
        <v>242</v>
      </c>
      <c r="W96" s="160" t="str">
        <f>IFERROR(VLOOKUP(V96,TD!$N$33:$O$45,2,0)," ")</f>
        <v>Documentos de planeación</v>
      </c>
      <c r="X96" s="161" t="str">
        <f>CONCATENATE(V96,"_",W96)</f>
        <v>019_Documentos de planeación</v>
      </c>
      <c r="Y96" s="161" t="str">
        <f>CONCATENATE(U96," ",X96)</f>
        <v>13-Servicios para la planeación y sistemas de gestión y comunicación estratégica 019_Documentos de planeación</v>
      </c>
      <c r="Z96" s="160" t="str">
        <f>CONCATENATE(P96,Q96,R96,S96,V96)</f>
        <v>O23011745992024020713019</v>
      </c>
      <c r="AA96" s="160" t="str">
        <f>IFERROR(VLOOKUP(Y96,TD!$K$46:$L$64,2,0)," ")</f>
        <v>PM/0131/0113/45990190207</v>
      </c>
      <c r="AB96" s="53" t="s">
        <v>138</v>
      </c>
      <c r="AC96" s="162" t="s">
        <v>204</v>
      </c>
    </row>
    <row r="97" spans="2:29" s="28" customFormat="1" ht="99" customHeight="1" x14ac:dyDescent="0.35">
      <c r="B97" s="77">
        <v>20250087</v>
      </c>
      <c r="C97" s="50" t="s">
        <v>208</v>
      </c>
      <c r="D97" s="158" t="s">
        <v>161</v>
      </c>
      <c r="E97" s="51" t="s">
        <v>355</v>
      </c>
      <c r="F97" s="158" t="s">
        <v>440</v>
      </c>
      <c r="G97" s="158" t="s">
        <v>155</v>
      </c>
      <c r="H97" s="97">
        <v>80111600</v>
      </c>
      <c r="I97" s="159">
        <v>2</v>
      </c>
      <c r="J97" s="159">
        <v>6</v>
      </c>
      <c r="K97" s="52">
        <v>0</v>
      </c>
      <c r="L97" s="153">
        <f>57200000-26000000</f>
        <v>31200000</v>
      </c>
      <c r="M97" s="158" t="s">
        <v>473</v>
      </c>
      <c r="N97" s="53" t="s">
        <v>113</v>
      </c>
      <c r="O97" s="51" t="s">
        <v>220</v>
      </c>
      <c r="P97" s="160" t="str">
        <f>IFERROR(VLOOKUP(C97,TD!$B$32:$F$36,2,0)," ")</f>
        <v>O230117</v>
      </c>
      <c r="Q97" s="160" t="str">
        <f>IFERROR(VLOOKUP(C97,TD!$B$32:$F$36,3,0)," ")</f>
        <v>4599</v>
      </c>
      <c r="R97" s="160">
        <f>IFERROR(VLOOKUP(C97,TD!$B$32:$F$36,4,0)," ")</f>
        <v>20240207</v>
      </c>
      <c r="S97" s="51" t="s">
        <v>193</v>
      </c>
      <c r="T97" s="160" t="str">
        <f>IFERROR(VLOOKUP(S97,TD!$J$33:$K$43,2,0)," ")</f>
        <v>Servicios para la planeación y sistemas de gestión y comunicación estratégica</v>
      </c>
      <c r="U97" s="161" t="str">
        <f>CONCATENATE(S97,"-",T97)</f>
        <v>13-Servicios para la planeación y sistemas de gestión y comunicación estratégica</v>
      </c>
      <c r="V97" s="51" t="s">
        <v>242</v>
      </c>
      <c r="W97" s="160" t="str">
        <f>IFERROR(VLOOKUP(V97,TD!$N$33:$O$45,2,0)," ")</f>
        <v>Documentos de planeación</v>
      </c>
      <c r="X97" s="161" t="str">
        <f>CONCATENATE(V97,"_",W97)</f>
        <v>019_Documentos de planeación</v>
      </c>
      <c r="Y97" s="161" t="str">
        <f>CONCATENATE(U97," ",X97)</f>
        <v>13-Servicios para la planeación y sistemas de gestión y comunicación estratégica 019_Documentos de planeación</v>
      </c>
      <c r="Z97" s="160" t="str">
        <f>CONCATENATE(P97,Q97,R97,S97,V97)</f>
        <v>O23011745992024020713019</v>
      </c>
      <c r="AA97" s="160" t="str">
        <f>IFERROR(VLOOKUP(Y97,TD!$K$46:$L$64,2,0)," ")</f>
        <v>PM/0131/0113/45990190207</v>
      </c>
      <c r="AB97" s="53" t="s">
        <v>138</v>
      </c>
      <c r="AC97" s="162" t="s">
        <v>204</v>
      </c>
    </row>
    <row r="98" spans="2:29" s="28" customFormat="1" ht="99" customHeight="1" x14ac:dyDescent="0.35">
      <c r="B98" s="186">
        <v>20250088</v>
      </c>
      <c r="C98" s="187" t="s">
        <v>208</v>
      </c>
      <c r="D98" s="188" t="s">
        <v>161</v>
      </c>
      <c r="E98" s="189" t="s">
        <v>355</v>
      </c>
      <c r="F98" s="188" t="s">
        <v>442</v>
      </c>
      <c r="G98" s="188" t="s">
        <v>155</v>
      </c>
      <c r="H98" s="190">
        <v>80111600</v>
      </c>
      <c r="I98" s="191">
        <v>3</v>
      </c>
      <c r="J98" s="191">
        <v>10</v>
      </c>
      <c r="K98" s="192">
        <v>0</v>
      </c>
      <c r="L98" s="193">
        <f>57200000-5200000</f>
        <v>52000000</v>
      </c>
      <c r="M98" s="188" t="s">
        <v>473</v>
      </c>
      <c r="N98" s="194" t="s">
        <v>113</v>
      </c>
      <c r="O98" s="189" t="s">
        <v>220</v>
      </c>
      <c r="P98" s="195" t="str">
        <f>IFERROR(VLOOKUP(C98,TD!$B$32:$F$36,2,0)," ")</f>
        <v>O230117</v>
      </c>
      <c r="Q98" s="195" t="str">
        <f>IFERROR(VLOOKUP(C98,TD!$B$32:$F$36,3,0)," ")</f>
        <v>4599</v>
      </c>
      <c r="R98" s="195">
        <f>IFERROR(VLOOKUP(C98,TD!$B$32:$F$36,4,0)," ")</f>
        <v>20240207</v>
      </c>
      <c r="S98" s="189" t="s">
        <v>193</v>
      </c>
      <c r="T98" s="195" t="str">
        <f>IFERROR(VLOOKUP(S98,TD!$J$33:$K$43,2,0)," ")</f>
        <v>Servicios para la planeación y sistemas de gestión y comunicación estratégica</v>
      </c>
      <c r="U98" s="161" t="str">
        <f>CONCATENATE(S98,"-",T98)</f>
        <v>13-Servicios para la planeación y sistemas de gestión y comunicación estratégica</v>
      </c>
      <c r="V98" s="189" t="s">
        <v>242</v>
      </c>
      <c r="W98" s="195" t="str">
        <f>IFERROR(VLOOKUP(V98,TD!$N$33:$O$45,2,0)," ")</f>
        <v>Documentos de planeación</v>
      </c>
      <c r="X98" s="161" t="str">
        <f>CONCATENATE(V98,"_",W98)</f>
        <v>019_Documentos de planeación</v>
      </c>
      <c r="Y98" s="161" t="str">
        <f>CONCATENATE(U98," ",X98)</f>
        <v>13-Servicios para la planeación y sistemas de gestión y comunicación estratégica 019_Documentos de planeación</v>
      </c>
      <c r="Z98" s="195" t="str">
        <f>CONCATENATE(P98,Q98,R98,S98,V98)</f>
        <v>O23011745992024020713019</v>
      </c>
      <c r="AA98" s="195" t="str">
        <f>IFERROR(VLOOKUP(Y98,TD!$K$46:$L$64,2,0)," ")</f>
        <v>PM/0131/0113/45990190207</v>
      </c>
      <c r="AB98" s="194" t="s">
        <v>138</v>
      </c>
      <c r="AC98" s="196" t="s">
        <v>204</v>
      </c>
    </row>
    <row r="99" spans="2:29" s="28" customFormat="1" ht="99" customHeight="1" x14ac:dyDescent="0.35">
      <c r="B99" s="186">
        <v>20250089</v>
      </c>
      <c r="C99" s="187" t="s">
        <v>208</v>
      </c>
      <c r="D99" s="188" t="s">
        <v>161</v>
      </c>
      <c r="E99" s="189" t="s">
        <v>355</v>
      </c>
      <c r="F99" s="188" t="s">
        <v>754</v>
      </c>
      <c r="G99" s="188" t="s">
        <v>155</v>
      </c>
      <c r="H99" s="190">
        <v>80111600</v>
      </c>
      <c r="I99" s="191">
        <v>3</v>
      </c>
      <c r="J99" s="191">
        <v>6</v>
      </c>
      <c r="K99" s="192">
        <v>0</v>
      </c>
      <c r="L99" s="193">
        <f>24000000+24000000-7200000</f>
        <v>40800000</v>
      </c>
      <c r="M99" s="188" t="s">
        <v>473</v>
      </c>
      <c r="N99" s="194" t="s">
        <v>113</v>
      </c>
      <c r="O99" s="189" t="s">
        <v>220</v>
      </c>
      <c r="P99" s="195" t="str">
        <f>IFERROR(VLOOKUP(C99,TD!$B$32:$F$36,2,0)," ")</f>
        <v>O230117</v>
      </c>
      <c r="Q99" s="195" t="str">
        <f>IFERROR(VLOOKUP(C99,TD!$B$32:$F$36,3,0)," ")</f>
        <v>4599</v>
      </c>
      <c r="R99" s="195">
        <f>IFERROR(VLOOKUP(C99,TD!$B$32:$F$36,4,0)," ")</f>
        <v>20240207</v>
      </c>
      <c r="S99" s="189" t="s">
        <v>193</v>
      </c>
      <c r="T99" s="195" t="str">
        <f>IFERROR(VLOOKUP(S99,TD!$J$33:$K$43,2,0)," ")</f>
        <v>Servicios para la planeación y sistemas de gestión y comunicación estratégica</v>
      </c>
      <c r="U99" s="161" t="str">
        <f>CONCATENATE(S99,"-",T99)</f>
        <v>13-Servicios para la planeación y sistemas de gestión y comunicación estratégica</v>
      </c>
      <c r="V99" s="189" t="s">
        <v>242</v>
      </c>
      <c r="W99" s="195" t="str">
        <f>IFERROR(VLOOKUP(V99,TD!$N$33:$O$45,2,0)," ")</f>
        <v>Documentos de planeación</v>
      </c>
      <c r="X99" s="161" t="str">
        <f>CONCATENATE(V99,"_",W99)</f>
        <v>019_Documentos de planeación</v>
      </c>
      <c r="Y99" s="161" t="str">
        <f>CONCATENATE(U99," ",X99)</f>
        <v>13-Servicios para la planeación y sistemas de gestión y comunicación estratégica 019_Documentos de planeación</v>
      </c>
      <c r="Z99" s="195" t="str">
        <f>CONCATENATE(P99,Q99,R99,S99,V99)</f>
        <v>O23011745992024020713019</v>
      </c>
      <c r="AA99" s="195" t="str">
        <f>IFERROR(VLOOKUP(Y99,TD!$K$46:$L$64,2,0)," ")</f>
        <v>PM/0131/0113/45990190207</v>
      </c>
      <c r="AB99" s="194" t="s">
        <v>138</v>
      </c>
      <c r="AC99" s="196" t="s">
        <v>204</v>
      </c>
    </row>
    <row r="100" spans="2:29" s="28" customFormat="1" ht="99" customHeight="1" x14ac:dyDescent="0.35">
      <c r="B100" s="77">
        <v>20250090</v>
      </c>
      <c r="C100" s="50" t="s">
        <v>208</v>
      </c>
      <c r="D100" s="158" t="s">
        <v>161</v>
      </c>
      <c r="E100" s="51" t="s">
        <v>355</v>
      </c>
      <c r="F100" s="158" t="s">
        <v>443</v>
      </c>
      <c r="G100" s="158" t="s">
        <v>156</v>
      </c>
      <c r="H100" s="97">
        <v>80111600</v>
      </c>
      <c r="I100" s="159">
        <v>2</v>
      </c>
      <c r="J100" s="159">
        <v>11</v>
      </c>
      <c r="K100" s="52">
        <v>0</v>
      </c>
      <c r="L100" s="153">
        <v>38500000</v>
      </c>
      <c r="M100" s="158" t="s">
        <v>473</v>
      </c>
      <c r="N100" s="53" t="s">
        <v>113</v>
      </c>
      <c r="O100" s="51" t="s">
        <v>220</v>
      </c>
      <c r="P100" s="160" t="str">
        <f>IFERROR(VLOOKUP(C100,TD!$B$32:$F$36,2,0)," ")</f>
        <v>O230117</v>
      </c>
      <c r="Q100" s="160" t="str">
        <f>IFERROR(VLOOKUP(C100,TD!$B$32:$F$36,3,0)," ")</f>
        <v>4599</v>
      </c>
      <c r="R100" s="160">
        <f>IFERROR(VLOOKUP(C100,TD!$B$32:$F$36,4,0)," ")</f>
        <v>20240207</v>
      </c>
      <c r="S100" s="51" t="s">
        <v>193</v>
      </c>
      <c r="T100" s="160" t="str">
        <f>IFERROR(VLOOKUP(S100,TD!$J$33:$K$43,2,0)," ")</f>
        <v>Servicios para la planeación y sistemas de gestión y comunicación estratégica</v>
      </c>
      <c r="U100" s="161" t="str">
        <f>CONCATENATE(S100,"-",T100)</f>
        <v>13-Servicios para la planeación y sistemas de gestión y comunicación estratégica</v>
      </c>
      <c r="V100" s="51" t="s">
        <v>242</v>
      </c>
      <c r="W100" s="160" t="str">
        <f>IFERROR(VLOOKUP(V100,TD!$N$33:$O$45,2,0)," ")</f>
        <v>Documentos de planeación</v>
      </c>
      <c r="X100" s="161" t="str">
        <f>CONCATENATE(V100,"_",W100)</f>
        <v>019_Documentos de planeación</v>
      </c>
      <c r="Y100" s="161" t="str">
        <f>CONCATENATE(U100," ",X100)</f>
        <v>13-Servicios para la planeación y sistemas de gestión y comunicación estratégica 019_Documentos de planeación</v>
      </c>
      <c r="Z100" s="160" t="str">
        <f>CONCATENATE(P100,Q100,R100,S100,V100)</f>
        <v>O23011745992024020713019</v>
      </c>
      <c r="AA100" s="160" t="str">
        <f>IFERROR(VLOOKUP(Y100,TD!$K$46:$L$64,2,0)," ")</f>
        <v>PM/0131/0113/45990190207</v>
      </c>
      <c r="AB100" s="53" t="s">
        <v>138</v>
      </c>
      <c r="AC100" s="162" t="s">
        <v>204</v>
      </c>
    </row>
    <row r="101" spans="2:29" s="28" customFormat="1" ht="99" customHeight="1" x14ac:dyDescent="0.35">
      <c r="B101" s="77">
        <v>20250091</v>
      </c>
      <c r="C101" s="50" t="s">
        <v>208</v>
      </c>
      <c r="D101" s="158" t="s">
        <v>161</v>
      </c>
      <c r="E101" s="51" t="s">
        <v>355</v>
      </c>
      <c r="F101" s="158" t="s">
        <v>441</v>
      </c>
      <c r="G101" s="158" t="s">
        <v>155</v>
      </c>
      <c r="H101" s="97">
        <v>80111600</v>
      </c>
      <c r="I101" s="159">
        <v>2</v>
      </c>
      <c r="J101" s="159">
        <v>6</v>
      </c>
      <c r="K101" s="52">
        <v>0</v>
      </c>
      <c r="L101" s="153">
        <f>57200000-26000000</f>
        <v>31200000</v>
      </c>
      <c r="M101" s="158" t="s">
        <v>473</v>
      </c>
      <c r="N101" s="53" t="s">
        <v>113</v>
      </c>
      <c r="O101" s="51" t="s">
        <v>220</v>
      </c>
      <c r="P101" s="160" t="str">
        <f>IFERROR(VLOOKUP(C101,TD!$B$32:$F$36,2,0)," ")</f>
        <v>O230117</v>
      </c>
      <c r="Q101" s="160" t="str">
        <f>IFERROR(VLOOKUP(C101,TD!$B$32:$F$36,3,0)," ")</f>
        <v>4599</v>
      </c>
      <c r="R101" s="160">
        <f>IFERROR(VLOOKUP(C101,TD!$B$32:$F$36,4,0)," ")</f>
        <v>20240207</v>
      </c>
      <c r="S101" s="51" t="s">
        <v>193</v>
      </c>
      <c r="T101" s="160" t="str">
        <f>IFERROR(VLOOKUP(S101,TD!$J$33:$K$43,2,0)," ")</f>
        <v>Servicios para la planeación y sistemas de gestión y comunicación estratégica</v>
      </c>
      <c r="U101" s="161" t="str">
        <f>CONCATENATE(S101,"-",T101)</f>
        <v>13-Servicios para la planeación y sistemas de gestión y comunicación estratégica</v>
      </c>
      <c r="V101" s="51" t="s">
        <v>242</v>
      </c>
      <c r="W101" s="160" t="str">
        <f>IFERROR(VLOOKUP(V101,TD!$N$33:$O$45,2,0)," ")</f>
        <v>Documentos de planeación</v>
      </c>
      <c r="X101" s="161" t="str">
        <f>CONCATENATE(V101,"_",W101)</f>
        <v>019_Documentos de planeación</v>
      </c>
      <c r="Y101" s="161" t="str">
        <f>CONCATENATE(U101," ",X101)</f>
        <v>13-Servicios para la planeación y sistemas de gestión y comunicación estratégica 019_Documentos de planeación</v>
      </c>
      <c r="Z101" s="160" t="str">
        <f>CONCATENATE(P101,Q101,R101,S101,V101)</f>
        <v>O23011745992024020713019</v>
      </c>
      <c r="AA101" s="160" t="str">
        <f>IFERROR(VLOOKUP(Y101,TD!$K$46:$L$64,2,0)," ")</f>
        <v>PM/0131/0113/45990190207</v>
      </c>
      <c r="AB101" s="53" t="s">
        <v>138</v>
      </c>
      <c r="AC101" s="162" t="s">
        <v>204</v>
      </c>
    </row>
    <row r="102" spans="2:29" s="28" customFormat="1" ht="99" customHeight="1" x14ac:dyDescent="0.35">
      <c r="B102" s="186">
        <v>20250092</v>
      </c>
      <c r="C102" s="187" t="s">
        <v>208</v>
      </c>
      <c r="D102" s="188" t="s">
        <v>161</v>
      </c>
      <c r="E102" s="189" t="s">
        <v>355</v>
      </c>
      <c r="F102" s="188" t="s">
        <v>444</v>
      </c>
      <c r="G102" s="188" t="s">
        <v>155</v>
      </c>
      <c r="H102" s="190">
        <v>80111600</v>
      </c>
      <c r="I102" s="191">
        <v>3</v>
      </c>
      <c r="J102" s="191">
        <v>6</v>
      </c>
      <c r="K102" s="192">
        <v>0</v>
      </c>
      <c r="L102" s="193">
        <v>55200000</v>
      </c>
      <c r="M102" s="188" t="s">
        <v>473</v>
      </c>
      <c r="N102" s="194" t="s">
        <v>113</v>
      </c>
      <c r="O102" s="189" t="s">
        <v>220</v>
      </c>
      <c r="P102" s="195" t="str">
        <f>IFERROR(VLOOKUP(C102,TD!$B$32:$F$36,2,0)," ")</f>
        <v>O230117</v>
      </c>
      <c r="Q102" s="195" t="str">
        <f>IFERROR(VLOOKUP(C102,TD!$B$32:$F$36,3,0)," ")</f>
        <v>4599</v>
      </c>
      <c r="R102" s="195">
        <f>IFERROR(VLOOKUP(C102,TD!$B$32:$F$36,4,0)," ")</f>
        <v>20240207</v>
      </c>
      <c r="S102" s="189" t="s">
        <v>193</v>
      </c>
      <c r="T102" s="195" t="str">
        <f>IFERROR(VLOOKUP(S102,TD!$J$33:$K$43,2,0)," ")</f>
        <v>Servicios para la planeación y sistemas de gestión y comunicación estratégica</v>
      </c>
      <c r="U102" s="208" t="str">
        <f>CONCATENATE(S102,"-",T102)</f>
        <v>13-Servicios para la planeación y sistemas de gestión y comunicación estratégica</v>
      </c>
      <c r="V102" s="189" t="s">
        <v>242</v>
      </c>
      <c r="W102" s="195" t="str">
        <f>IFERROR(VLOOKUP(V102,TD!$N$33:$O$45,2,0)," ")</f>
        <v>Documentos de planeación</v>
      </c>
      <c r="X102" s="208" t="str">
        <f>CONCATENATE(V102,"_",W102)</f>
        <v>019_Documentos de planeación</v>
      </c>
      <c r="Y102" s="208" t="str">
        <f>CONCATENATE(U102," ",X102)</f>
        <v>13-Servicios para la planeación y sistemas de gestión y comunicación estratégica 019_Documentos de planeación</v>
      </c>
      <c r="Z102" s="195" t="str">
        <f>CONCATENATE(P102,Q102,R102,S102,V102)</f>
        <v>O23011745992024020713019</v>
      </c>
      <c r="AA102" s="195" t="str">
        <f>IFERROR(VLOOKUP(Y102,TD!$K$46:$L$64,2,0)," ")</f>
        <v>PM/0131/0113/45990190207</v>
      </c>
      <c r="AB102" s="194" t="s">
        <v>138</v>
      </c>
      <c r="AC102" s="196" t="s">
        <v>204</v>
      </c>
    </row>
    <row r="103" spans="2:29" s="28" customFormat="1" ht="99" customHeight="1" x14ac:dyDescent="0.35">
      <c r="B103" s="77">
        <v>20250093</v>
      </c>
      <c r="C103" s="50" t="s">
        <v>208</v>
      </c>
      <c r="D103" s="158" t="s">
        <v>161</v>
      </c>
      <c r="E103" s="51" t="s">
        <v>355</v>
      </c>
      <c r="F103" s="158" t="s">
        <v>445</v>
      </c>
      <c r="G103" s="158" t="s">
        <v>155</v>
      </c>
      <c r="H103" s="97">
        <v>80111600</v>
      </c>
      <c r="I103" s="159">
        <v>2</v>
      </c>
      <c r="J103" s="159">
        <v>6</v>
      </c>
      <c r="K103" s="52">
        <v>0</v>
      </c>
      <c r="L103" s="153">
        <f>57200000-26000000</f>
        <v>31200000</v>
      </c>
      <c r="M103" s="158" t="s">
        <v>473</v>
      </c>
      <c r="N103" s="53" t="s">
        <v>113</v>
      </c>
      <c r="O103" s="51" t="s">
        <v>220</v>
      </c>
      <c r="P103" s="160" t="str">
        <f>IFERROR(VLOOKUP(C103,TD!$B$32:$F$36,2,0)," ")</f>
        <v>O230117</v>
      </c>
      <c r="Q103" s="160" t="str">
        <f>IFERROR(VLOOKUP(C103,TD!$B$32:$F$36,3,0)," ")</f>
        <v>4599</v>
      </c>
      <c r="R103" s="160">
        <f>IFERROR(VLOOKUP(C103,TD!$B$32:$F$36,4,0)," ")</f>
        <v>20240207</v>
      </c>
      <c r="S103" s="51" t="s">
        <v>193</v>
      </c>
      <c r="T103" s="160" t="str">
        <f>IFERROR(VLOOKUP(S103,TD!$J$33:$K$43,2,0)," ")</f>
        <v>Servicios para la planeación y sistemas de gestión y comunicación estratégica</v>
      </c>
      <c r="U103" s="161" t="str">
        <f>CONCATENATE(S103,"-",T103)</f>
        <v>13-Servicios para la planeación y sistemas de gestión y comunicación estratégica</v>
      </c>
      <c r="V103" s="51" t="s">
        <v>242</v>
      </c>
      <c r="W103" s="160" t="str">
        <f>IFERROR(VLOOKUP(V103,TD!$N$33:$O$45,2,0)," ")</f>
        <v>Documentos de planeación</v>
      </c>
      <c r="X103" s="161" t="str">
        <f>CONCATENATE(V103,"_",W103)</f>
        <v>019_Documentos de planeación</v>
      </c>
      <c r="Y103" s="161" t="str">
        <f>CONCATENATE(U103," ",X103)</f>
        <v>13-Servicios para la planeación y sistemas de gestión y comunicación estratégica 019_Documentos de planeación</v>
      </c>
      <c r="Z103" s="160" t="str">
        <f>CONCATENATE(P103,Q103,R103,S103,V103)</f>
        <v>O23011745992024020713019</v>
      </c>
      <c r="AA103" s="160" t="str">
        <f>IFERROR(VLOOKUP(Y103,TD!$K$46:$L$64,2,0)," ")</f>
        <v>PM/0131/0113/45990190207</v>
      </c>
      <c r="AB103" s="53" t="s">
        <v>138</v>
      </c>
      <c r="AC103" s="162" t="s">
        <v>204</v>
      </c>
    </row>
    <row r="104" spans="2:29" s="28" customFormat="1" ht="99" customHeight="1" x14ac:dyDescent="0.35">
      <c r="B104" s="77">
        <v>20250094</v>
      </c>
      <c r="C104" s="50" t="s">
        <v>208</v>
      </c>
      <c r="D104" s="158" t="s">
        <v>161</v>
      </c>
      <c r="E104" s="51" t="s">
        <v>355</v>
      </c>
      <c r="F104" s="158" t="s">
        <v>728</v>
      </c>
      <c r="G104" s="158" t="s">
        <v>155</v>
      </c>
      <c r="H104" s="97">
        <v>80111600</v>
      </c>
      <c r="I104" s="159">
        <v>2</v>
      </c>
      <c r="J104" s="159">
        <v>6</v>
      </c>
      <c r="K104" s="52">
        <v>0</v>
      </c>
      <c r="L104" s="153">
        <f>29700000+300000</f>
        <v>30000000</v>
      </c>
      <c r="M104" s="158" t="s">
        <v>473</v>
      </c>
      <c r="N104" s="53" t="s">
        <v>113</v>
      </c>
      <c r="O104" s="51" t="s">
        <v>220</v>
      </c>
      <c r="P104" s="160" t="str">
        <f>IFERROR(VLOOKUP(C104,TD!$B$32:$F$36,2,0)," ")</f>
        <v>O230117</v>
      </c>
      <c r="Q104" s="160" t="str">
        <f>IFERROR(VLOOKUP(C104,TD!$B$32:$F$36,3,0)," ")</f>
        <v>4599</v>
      </c>
      <c r="R104" s="160">
        <f>IFERROR(VLOOKUP(C104,TD!$B$32:$F$36,4,0)," ")</f>
        <v>20240207</v>
      </c>
      <c r="S104" s="51" t="s">
        <v>193</v>
      </c>
      <c r="T104" s="160" t="str">
        <f>IFERROR(VLOOKUP(S104,TD!$J$33:$K$43,2,0)," ")</f>
        <v>Servicios para la planeación y sistemas de gestión y comunicación estratégica</v>
      </c>
      <c r="U104" s="161" t="str">
        <f>CONCATENATE(S104,"-",T104)</f>
        <v>13-Servicios para la planeación y sistemas de gestión y comunicación estratégica</v>
      </c>
      <c r="V104" s="51" t="s">
        <v>242</v>
      </c>
      <c r="W104" s="160" t="str">
        <f>IFERROR(VLOOKUP(V104,TD!$N$33:$O$45,2,0)," ")</f>
        <v>Documentos de planeación</v>
      </c>
      <c r="X104" s="161" t="str">
        <f>CONCATENATE(V104,"_",W104)</f>
        <v>019_Documentos de planeación</v>
      </c>
      <c r="Y104" s="161" t="str">
        <f>CONCATENATE(U104," ",X104)</f>
        <v>13-Servicios para la planeación y sistemas de gestión y comunicación estratégica 019_Documentos de planeación</v>
      </c>
      <c r="Z104" s="160" t="str">
        <f>CONCATENATE(P104,Q104,R104,S104,V104)</f>
        <v>O23011745992024020713019</v>
      </c>
      <c r="AA104" s="160" t="str">
        <f>IFERROR(VLOOKUP(Y104,TD!$K$46:$L$64,2,0)," ")</f>
        <v>PM/0131/0113/45990190207</v>
      </c>
      <c r="AB104" s="53" t="s">
        <v>138</v>
      </c>
      <c r="AC104" s="162" t="s">
        <v>204</v>
      </c>
    </row>
    <row r="105" spans="2:29" s="28" customFormat="1" ht="99" customHeight="1" x14ac:dyDescent="0.35">
      <c r="B105" s="77">
        <v>20250095</v>
      </c>
      <c r="C105" s="50" t="s">
        <v>208</v>
      </c>
      <c r="D105" s="158" t="s">
        <v>45</v>
      </c>
      <c r="E105" s="51" t="s">
        <v>355</v>
      </c>
      <c r="F105" s="158" t="s">
        <v>756</v>
      </c>
      <c r="G105" s="158" t="s">
        <v>155</v>
      </c>
      <c r="H105" s="97">
        <v>80111600</v>
      </c>
      <c r="I105" s="159">
        <v>2</v>
      </c>
      <c r="J105" s="159">
        <v>9</v>
      </c>
      <c r="K105" s="52">
        <v>0</v>
      </c>
      <c r="L105" s="153">
        <f>197876507-107876507</f>
        <v>90000000</v>
      </c>
      <c r="M105" s="158" t="s">
        <v>473</v>
      </c>
      <c r="N105" s="53" t="s">
        <v>113</v>
      </c>
      <c r="O105" s="51" t="s">
        <v>219</v>
      </c>
      <c r="P105" s="160" t="str">
        <f>IFERROR(VLOOKUP(C105,TD!$B$32:$F$36,2,0)," ")</f>
        <v>O230117</v>
      </c>
      <c r="Q105" s="160" t="str">
        <f>IFERROR(VLOOKUP(C105,TD!$B$32:$F$36,3,0)," ")</f>
        <v>4599</v>
      </c>
      <c r="R105" s="160">
        <f>IFERROR(VLOOKUP(C105,TD!$B$32:$F$36,4,0)," ")</f>
        <v>20240207</v>
      </c>
      <c r="S105" s="51" t="s">
        <v>185</v>
      </c>
      <c r="T105" s="160" t="str">
        <f>IFERROR(VLOOKUP(S105,TD!$J$33:$K$43,2,0)," ")</f>
        <v>Infraestructura física, mantenimiento y dotación (Sedes construidas, mantenidas reforzadas)</v>
      </c>
      <c r="U105" s="161" t="str">
        <f>CONCATENATE(S105,"-",T105)</f>
        <v>08-Infraestructura física, mantenimiento y dotación (Sedes construidas, mantenidas reforzadas)</v>
      </c>
      <c r="V105" s="51" t="s">
        <v>238</v>
      </c>
      <c r="W105" s="160" t="str">
        <f>IFERROR(VLOOKUP(V105,TD!$N$33:$O$45,2,0)," ")</f>
        <v>Sedes mantenidas</v>
      </c>
      <c r="X105" s="161" t="str">
        <f>CONCATENATE(V105,"_",W105)</f>
        <v>016_Sedes mantenidas</v>
      </c>
      <c r="Y105" s="161" t="str">
        <f>CONCATENATE(U105," ",X105)</f>
        <v>08-Infraestructura física, mantenimiento y dotación (Sedes construidas, mantenidas reforzadas) 016_Sedes mantenidas</v>
      </c>
      <c r="Z105" s="160" t="str">
        <f>CONCATENATE(P105,Q105,R105,S105,V105)</f>
        <v>O23011745992024020708016</v>
      </c>
      <c r="AA105" s="160" t="str">
        <f>IFERROR(VLOOKUP(Y105,TD!$K$46:$L$64,2,0)," ")</f>
        <v>PM/0131/0108/45990160207</v>
      </c>
      <c r="AB105" s="53" t="s">
        <v>138</v>
      </c>
      <c r="AC105" s="162" t="s">
        <v>204</v>
      </c>
    </row>
    <row r="106" spans="2:29" s="28" customFormat="1" ht="99" customHeight="1" x14ac:dyDescent="0.35">
      <c r="B106" s="186">
        <v>20250096</v>
      </c>
      <c r="C106" s="187" t="s">
        <v>208</v>
      </c>
      <c r="D106" s="188" t="s">
        <v>45</v>
      </c>
      <c r="E106" s="189" t="s">
        <v>355</v>
      </c>
      <c r="F106" s="188" t="s">
        <v>932</v>
      </c>
      <c r="G106" s="188" t="s">
        <v>155</v>
      </c>
      <c r="H106" s="190">
        <v>80111600</v>
      </c>
      <c r="I106" s="191">
        <v>2</v>
      </c>
      <c r="J106" s="191">
        <v>6</v>
      </c>
      <c r="K106" s="192">
        <v>0</v>
      </c>
      <c r="L106" s="193">
        <f>167500000-112300000</f>
        <v>55200000</v>
      </c>
      <c r="M106" s="188" t="s">
        <v>473</v>
      </c>
      <c r="N106" s="194" t="s">
        <v>113</v>
      </c>
      <c r="O106" s="189" t="s">
        <v>219</v>
      </c>
      <c r="P106" s="195" t="str">
        <f>IFERROR(VLOOKUP(C106,TD!$B$32:$F$36,2,0)," ")</f>
        <v>O230117</v>
      </c>
      <c r="Q106" s="195" t="str">
        <f>IFERROR(VLOOKUP(C106,TD!$B$32:$F$36,3,0)," ")</f>
        <v>4599</v>
      </c>
      <c r="R106" s="195">
        <f>IFERROR(VLOOKUP(C106,TD!$B$32:$F$36,4,0)," ")</f>
        <v>20240207</v>
      </c>
      <c r="S106" s="189" t="s">
        <v>185</v>
      </c>
      <c r="T106" s="195" t="str">
        <f>IFERROR(VLOOKUP(S106,TD!$J$33:$K$43,2,0)," ")</f>
        <v>Infraestructura física, mantenimiento y dotación (Sedes construidas, mantenidas reforzadas)</v>
      </c>
      <c r="U106" s="161" t="str">
        <f>CONCATENATE(S106,"-",T106)</f>
        <v>08-Infraestructura física, mantenimiento y dotación (Sedes construidas, mantenidas reforzadas)</v>
      </c>
      <c r="V106" s="189" t="s">
        <v>238</v>
      </c>
      <c r="W106" s="195" t="str">
        <f>IFERROR(VLOOKUP(V106,TD!$N$33:$O$45,2,0)," ")</f>
        <v>Sedes mantenidas</v>
      </c>
      <c r="X106" s="161" t="str">
        <f>CONCATENATE(V106,"_",W106)</f>
        <v>016_Sedes mantenidas</v>
      </c>
      <c r="Y106" s="161" t="str">
        <f>CONCATENATE(U106," ",X106)</f>
        <v>08-Infraestructura física, mantenimiento y dotación (Sedes construidas, mantenidas reforzadas) 016_Sedes mantenidas</v>
      </c>
      <c r="Z106" s="195" t="str">
        <f>CONCATENATE(P106,Q106,R106,S106,V106)</f>
        <v>O23011745992024020708016</v>
      </c>
      <c r="AA106" s="195" t="str">
        <f>IFERROR(VLOOKUP(Y106,TD!$K$46:$L$64,2,0)," ")</f>
        <v>PM/0131/0108/45990160207</v>
      </c>
      <c r="AB106" s="194" t="s">
        <v>120</v>
      </c>
      <c r="AC106" s="196" t="s">
        <v>204</v>
      </c>
    </row>
    <row r="107" spans="2:29" s="28" customFormat="1" ht="99" customHeight="1" x14ac:dyDescent="0.35">
      <c r="B107" s="77">
        <v>20250097</v>
      </c>
      <c r="C107" s="50" t="s">
        <v>209</v>
      </c>
      <c r="D107" s="158" t="s">
        <v>165</v>
      </c>
      <c r="E107" s="51" t="s">
        <v>495</v>
      </c>
      <c r="F107" s="158" t="s">
        <v>764</v>
      </c>
      <c r="G107" s="158" t="s">
        <v>155</v>
      </c>
      <c r="H107" s="97">
        <v>80111600</v>
      </c>
      <c r="I107" s="159">
        <v>1</v>
      </c>
      <c r="J107" s="159">
        <v>11</v>
      </c>
      <c r="K107" s="52">
        <v>0</v>
      </c>
      <c r="L107" s="153">
        <f>87004500-20067000</f>
        <v>66937500</v>
      </c>
      <c r="M107" s="158" t="s">
        <v>473</v>
      </c>
      <c r="N107" s="53" t="s">
        <v>113</v>
      </c>
      <c r="O107" s="51" t="s">
        <v>229</v>
      </c>
      <c r="P107" s="160" t="str">
        <f>IFERROR(VLOOKUP(C107,TD!$B$32:$F$36,2,0)," ")</f>
        <v>O230117</v>
      </c>
      <c r="Q107" s="160" t="str">
        <f>IFERROR(VLOOKUP(C107,TD!$B$32:$F$36,3,0)," ")</f>
        <v>4503</v>
      </c>
      <c r="R107" s="160">
        <f>IFERROR(VLOOKUP(C107,TD!$B$32:$F$36,4,0)," ")</f>
        <v>20240255</v>
      </c>
      <c r="S107" s="51" t="s">
        <v>183</v>
      </c>
      <c r="T107" s="160" t="str">
        <f>IFERROR(VLOOKUP(S107,TD!$J$33:$K$43,2,0)," ")</f>
        <v>Servicio de formación en gestión del riesgo de incendios para el personal UAECOB</v>
      </c>
      <c r="U107" s="161" t="str">
        <f>CONCATENATE(S107,"-",T107)</f>
        <v>07-Servicio de formación en gestión del riesgo de incendios para el personal UAECOB</v>
      </c>
      <c r="V107" s="51" t="s">
        <v>233</v>
      </c>
      <c r="W107" s="160" t="str">
        <f>IFERROR(VLOOKUP(V107,TD!$N$33:$O$45,2,0)," ")</f>
        <v>Servicio de educación informal</v>
      </c>
      <c r="X107" s="161" t="str">
        <f>CONCATENATE(V107,"_",W107)</f>
        <v>002_Servicio de educación informal</v>
      </c>
      <c r="Y107" s="161" t="str">
        <f>CONCATENATE(U107," ",X107)</f>
        <v>07-Servicio de formación en gestión del riesgo de incendios para el personal UAECOB 002_Servicio de educación informal</v>
      </c>
      <c r="Z107" s="160" t="str">
        <f>CONCATENATE(P107,Q107,R107,S107,V107)</f>
        <v>O23011745032024025507002</v>
      </c>
      <c r="AA107" s="160" t="str">
        <f>IFERROR(VLOOKUP(Y107,TD!$K$46:$L$64,2,0)," ")</f>
        <v>PM/0131/0107/45030020255</v>
      </c>
      <c r="AB107" s="150" t="s">
        <v>138</v>
      </c>
      <c r="AC107" s="162" t="s">
        <v>204</v>
      </c>
    </row>
    <row r="108" spans="2:29" s="28" customFormat="1" ht="99" customHeight="1" x14ac:dyDescent="0.35">
      <c r="B108" s="77">
        <v>20250098</v>
      </c>
      <c r="C108" s="50" t="s">
        <v>209</v>
      </c>
      <c r="D108" s="158" t="s">
        <v>165</v>
      </c>
      <c r="E108" s="51" t="s">
        <v>495</v>
      </c>
      <c r="F108" s="158" t="s">
        <v>749</v>
      </c>
      <c r="G108" s="158" t="s">
        <v>155</v>
      </c>
      <c r="H108" s="97">
        <v>80111600</v>
      </c>
      <c r="I108" s="159">
        <v>1</v>
      </c>
      <c r="J108" s="159">
        <v>11</v>
      </c>
      <c r="K108" s="52">
        <v>0</v>
      </c>
      <c r="L108" s="153">
        <f>87004500-20067000</f>
        <v>66937500</v>
      </c>
      <c r="M108" s="158" t="s">
        <v>473</v>
      </c>
      <c r="N108" s="53" t="s">
        <v>113</v>
      </c>
      <c r="O108" s="51" t="s">
        <v>229</v>
      </c>
      <c r="P108" s="160" t="str">
        <f>IFERROR(VLOOKUP(C108,TD!$B$32:$F$36,2,0)," ")</f>
        <v>O230117</v>
      </c>
      <c r="Q108" s="160" t="str">
        <f>IFERROR(VLOOKUP(C108,TD!$B$32:$F$36,3,0)," ")</f>
        <v>4503</v>
      </c>
      <c r="R108" s="160">
        <f>IFERROR(VLOOKUP(C108,TD!$B$32:$F$36,4,0)," ")</f>
        <v>20240255</v>
      </c>
      <c r="S108" s="51" t="s">
        <v>183</v>
      </c>
      <c r="T108" s="160" t="str">
        <f>IFERROR(VLOOKUP(S108,TD!$J$33:$K$43,2,0)," ")</f>
        <v>Servicio de formación en gestión del riesgo de incendios para el personal UAECOB</v>
      </c>
      <c r="U108" s="161" t="str">
        <f>CONCATENATE(S108,"-",T108)</f>
        <v>07-Servicio de formación en gestión del riesgo de incendios para el personal UAECOB</v>
      </c>
      <c r="V108" s="51" t="s">
        <v>233</v>
      </c>
      <c r="W108" s="160" t="str">
        <f>IFERROR(VLOOKUP(V108,TD!$N$33:$O$45,2,0)," ")</f>
        <v>Servicio de educación informal</v>
      </c>
      <c r="X108" s="161" t="str">
        <f>CONCATENATE(V108,"_",W108)</f>
        <v>002_Servicio de educación informal</v>
      </c>
      <c r="Y108" s="161" t="str">
        <f>CONCATENATE(U108," ",X108)</f>
        <v>07-Servicio de formación en gestión del riesgo de incendios para el personal UAECOB 002_Servicio de educación informal</v>
      </c>
      <c r="Z108" s="160" t="str">
        <f>CONCATENATE(P108,Q108,R108,S108,V108)</f>
        <v>O23011745032024025507002</v>
      </c>
      <c r="AA108" s="160" t="str">
        <f>IFERROR(VLOOKUP(Y108,TD!$K$46:$L$64,2,0)," ")</f>
        <v>PM/0131/0107/45030020255</v>
      </c>
      <c r="AB108" s="150" t="s">
        <v>120</v>
      </c>
      <c r="AC108" s="162" t="s">
        <v>204</v>
      </c>
    </row>
    <row r="109" spans="2:29" s="28" customFormat="1" ht="99" customHeight="1" x14ac:dyDescent="0.35">
      <c r="B109" s="77">
        <v>20250099</v>
      </c>
      <c r="C109" s="50" t="s">
        <v>209</v>
      </c>
      <c r="D109" s="158" t="s">
        <v>165</v>
      </c>
      <c r="E109" s="51" t="s">
        <v>495</v>
      </c>
      <c r="F109" s="158" t="s">
        <v>750</v>
      </c>
      <c r="G109" s="158" t="s">
        <v>155</v>
      </c>
      <c r="H109" s="97">
        <v>80111600</v>
      </c>
      <c r="I109" s="159">
        <v>2</v>
      </c>
      <c r="J109" s="159">
        <v>10</v>
      </c>
      <c r="K109" s="52">
        <v>0</v>
      </c>
      <c r="L109" s="153">
        <f>69603600-11138000-8065600</f>
        <v>50400000</v>
      </c>
      <c r="M109" s="158" t="s">
        <v>473</v>
      </c>
      <c r="N109" s="53" t="s">
        <v>113</v>
      </c>
      <c r="O109" s="51" t="s">
        <v>229</v>
      </c>
      <c r="P109" s="160" t="str">
        <f>IFERROR(VLOOKUP(C109,TD!$B$32:$F$36,2,0)," ")</f>
        <v>O230117</v>
      </c>
      <c r="Q109" s="160" t="str">
        <f>IFERROR(VLOOKUP(C109,TD!$B$32:$F$36,3,0)," ")</f>
        <v>4503</v>
      </c>
      <c r="R109" s="160">
        <f>IFERROR(VLOOKUP(C109,TD!$B$32:$F$36,4,0)," ")</f>
        <v>20240255</v>
      </c>
      <c r="S109" s="51" t="s">
        <v>183</v>
      </c>
      <c r="T109" s="160" t="str">
        <f>IFERROR(VLOOKUP(S109,TD!$J$33:$K$43,2,0)," ")</f>
        <v>Servicio de formación en gestión del riesgo de incendios para el personal UAECOB</v>
      </c>
      <c r="U109" s="161" t="str">
        <f>CONCATENATE(S109,"-",T109)</f>
        <v>07-Servicio de formación en gestión del riesgo de incendios para el personal UAECOB</v>
      </c>
      <c r="V109" s="51" t="s">
        <v>233</v>
      </c>
      <c r="W109" s="160" t="str">
        <f>IFERROR(VLOOKUP(V109,TD!$N$33:$O$45,2,0)," ")</f>
        <v>Servicio de educación informal</v>
      </c>
      <c r="X109" s="161" t="str">
        <f>CONCATENATE(V109,"_",W109)</f>
        <v>002_Servicio de educación informal</v>
      </c>
      <c r="Y109" s="161" t="str">
        <f>CONCATENATE(U109," ",X109)</f>
        <v>07-Servicio de formación en gestión del riesgo de incendios para el personal UAECOB 002_Servicio de educación informal</v>
      </c>
      <c r="Z109" s="160" t="str">
        <f>CONCATENATE(P109,Q109,R109,S109,V109)</f>
        <v>O23011745032024025507002</v>
      </c>
      <c r="AA109" s="160" t="str">
        <f>IFERROR(VLOOKUP(Y109,TD!$K$46:$L$64,2,0)," ")</f>
        <v>PM/0131/0107/45030020255</v>
      </c>
      <c r="AB109" s="150" t="s">
        <v>120</v>
      </c>
      <c r="AC109" s="162" t="s">
        <v>204</v>
      </c>
    </row>
    <row r="110" spans="2:29" s="28" customFormat="1" ht="99" customHeight="1" x14ac:dyDescent="0.35">
      <c r="B110" s="77">
        <v>20250100</v>
      </c>
      <c r="C110" s="50" t="s">
        <v>209</v>
      </c>
      <c r="D110" s="158" t="s">
        <v>165</v>
      </c>
      <c r="E110" s="51" t="s">
        <v>495</v>
      </c>
      <c r="F110" s="158" t="s">
        <v>751</v>
      </c>
      <c r="G110" s="158" t="s">
        <v>155</v>
      </c>
      <c r="H110" s="97">
        <v>80111600</v>
      </c>
      <c r="I110" s="159">
        <v>2</v>
      </c>
      <c r="J110" s="159">
        <v>11</v>
      </c>
      <c r="K110" s="52">
        <v>0</v>
      </c>
      <c r="L110" s="153">
        <f>63466883-13066883</f>
        <v>50400000</v>
      </c>
      <c r="M110" s="158" t="s">
        <v>473</v>
      </c>
      <c r="N110" s="53" t="s">
        <v>113</v>
      </c>
      <c r="O110" s="51" t="s">
        <v>229</v>
      </c>
      <c r="P110" s="160" t="str">
        <f>IFERROR(VLOOKUP(C110,TD!$B$32:$F$36,2,0)," ")</f>
        <v>O230117</v>
      </c>
      <c r="Q110" s="160" t="str">
        <f>IFERROR(VLOOKUP(C110,TD!$B$32:$F$36,3,0)," ")</f>
        <v>4503</v>
      </c>
      <c r="R110" s="160">
        <f>IFERROR(VLOOKUP(C110,TD!$B$32:$F$36,4,0)," ")</f>
        <v>20240255</v>
      </c>
      <c r="S110" s="51" t="s">
        <v>183</v>
      </c>
      <c r="T110" s="160" t="str">
        <f>IFERROR(VLOOKUP(S110,TD!$J$33:$K$43,2,0)," ")</f>
        <v>Servicio de formación en gestión del riesgo de incendios para el personal UAECOB</v>
      </c>
      <c r="U110" s="161" t="str">
        <f>CONCATENATE(S110,"-",T110)</f>
        <v>07-Servicio de formación en gestión del riesgo de incendios para el personal UAECOB</v>
      </c>
      <c r="V110" s="51" t="s">
        <v>233</v>
      </c>
      <c r="W110" s="160" t="str">
        <f>IFERROR(VLOOKUP(V110,TD!$N$33:$O$45,2,0)," ")</f>
        <v>Servicio de educación informal</v>
      </c>
      <c r="X110" s="161" t="str">
        <f>CONCATENATE(V110,"_",W110)</f>
        <v>002_Servicio de educación informal</v>
      </c>
      <c r="Y110" s="161" t="str">
        <f>CONCATENATE(U110," ",X110)</f>
        <v>07-Servicio de formación en gestión del riesgo de incendios para el personal UAECOB 002_Servicio de educación informal</v>
      </c>
      <c r="Z110" s="160" t="str">
        <f>CONCATENATE(P110,Q110,R110,S110,V110)</f>
        <v>O23011745032024025507002</v>
      </c>
      <c r="AA110" s="160" t="str">
        <f>IFERROR(VLOOKUP(Y110,TD!$K$46:$L$64,2,0)," ")</f>
        <v>PM/0131/0107/45030020255</v>
      </c>
      <c r="AB110" s="150" t="s">
        <v>120</v>
      </c>
      <c r="AC110" s="162" t="s">
        <v>204</v>
      </c>
    </row>
    <row r="111" spans="2:29" s="28" customFormat="1" ht="99" customHeight="1" x14ac:dyDescent="0.35">
      <c r="B111" s="77">
        <v>20250101</v>
      </c>
      <c r="C111" s="50" t="s">
        <v>209</v>
      </c>
      <c r="D111" s="158" t="s">
        <v>165</v>
      </c>
      <c r="E111" s="51" t="s">
        <v>495</v>
      </c>
      <c r="F111" s="158" t="s">
        <v>752</v>
      </c>
      <c r="G111" s="158" t="s">
        <v>155</v>
      </c>
      <c r="H111" s="97">
        <v>80111600</v>
      </c>
      <c r="I111" s="159">
        <v>2</v>
      </c>
      <c r="J111" s="159">
        <v>11</v>
      </c>
      <c r="K111" s="52">
        <v>0</v>
      </c>
      <c r="L111" s="153">
        <f>53316357-986463-11310595</f>
        <v>41019299</v>
      </c>
      <c r="M111" s="158" t="s">
        <v>473</v>
      </c>
      <c r="N111" s="53" t="s">
        <v>113</v>
      </c>
      <c r="O111" s="51" t="s">
        <v>229</v>
      </c>
      <c r="P111" s="160" t="str">
        <f>IFERROR(VLOOKUP(C111,TD!$B$32:$F$36,2,0)," ")</f>
        <v>O230117</v>
      </c>
      <c r="Q111" s="160" t="str">
        <f>IFERROR(VLOOKUP(C111,TD!$B$32:$F$36,3,0)," ")</f>
        <v>4503</v>
      </c>
      <c r="R111" s="160">
        <f>IFERROR(VLOOKUP(C111,TD!$B$32:$F$36,4,0)," ")</f>
        <v>20240255</v>
      </c>
      <c r="S111" s="51" t="s">
        <v>183</v>
      </c>
      <c r="T111" s="160" t="str">
        <f>IFERROR(VLOOKUP(S111,TD!$J$33:$K$43,2,0)," ")</f>
        <v>Servicio de formación en gestión del riesgo de incendios para el personal UAECOB</v>
      </c>
      <c r="U111" s="161" t="str">
        <f>CONCATENATE(S111,"-",T111)</f>
        <v>07-Servicio de formación en gestión del riesgo de incendios para el personal UAECOB</v>
      </c>
      <c r="V111" s="51" t="s">
        <v>233</v>
      </c>
      <c r="W111" s="160" t="str">
        <f>IFERROR(VLOOKUP(V111,TD!$N$33:$O$45,2,0)," ")</f>
        <v>Servicio de educación informal</v>
      </c>
      <c r="X111" s="161" t="str">
        <f>CONCATENATE(V111,"_",W111)</f>
        <v>002_Servicio de educación informal</v>
      </c>
      <c r="Y111" s="161" t="str">
        <f>CONCATENATE(U111," ",X111)</f>
        <v>07-Servicio de formación en gestión del riesgo de incendios para el personal UAECOB 002_Servicio de educación informal</v>
      </c>
      <c r="Z111" s="160" t="str">
        <f>CONCATENATE(P111,Q111,R111,S111,V111)</f>
        <v>O23011745032024025507002</v>
      </c>
      <c r="AA111" s="160" t="str">
        <f>IFERROR(VLOOKUP(Y111,TD!$K$46:$L$64,2,0)," ")</f>
        <v>PM/0131/0107/45030020255</v>
      </c>
      <c r="AB111" s="150" t="s">
        <v>138</v>
      </c>
      <c r="AC111" s="162" t="s">
        <v>204</v>
      </c>
    </row>
    <row r="112" spans="2:29" s="28" customFormat="1" ht="99" customHeight="1" x14ac:dyDescent="0.35">
      <c r="B112" s="77">
        <v>20250102</v>
      </c>
      <c r="C112" s="50" t="s">
        <v>209</v>
      </c>
      <c r="D112" s="158" t="s">
        <v>165</v>
      </c>
      <c r="E112" s="51" t="s">
        <v>495</v>
      </c>
      <c r="F112" s="158" t="s">
        <v>393</v>
      </c>
      <c r="G112" s="158" t="s">
        <v>155</v>
      </c>
      <c r="H112" s="97">
        <v>80111600</v>
      </c>
      <c r="I112" s="159">
        <v>3</v>
      </c>
      <c r="J112" s="159">
        <v>10</v>
      </c>
      <c r="K112" s="52">
        <v>0</v>
      </c>
      <c r="L112" s="153">
        <f>57697166-8868491</f>
        <v>48828675</v>
      </c>
      <c r="M112" s="158" t="s">
        <v>473</v>
      </c>
      <c r="N112" s="53" t="s">
        <v>113</v>
      </c>
      <c r="O112" s="51" t="s">
        <v>229</v>
      </c>
      <c r="P112" s="160" t="str">
        <f>IFERROR(VLOOKUP(C112,TD!$B$32:$F$36,2,0)," ")</f>
        <v>O230117</v>
      </c>
      <c r="Q112" s="160" t="str">
        <f>IFERROR(VLOOKUP(C112,TD!$B$32:$F$36,3,0)," ")</f>
        <v>4503</v>
      </c>
      <c r="R112" s="160">
        <f>IFERROR(VLOOKUP(C112,TD!$B$32:$F$36,4,0)," ")</f>
        <v>20240255</v>
      </c>
      <c r="S112" s="51" t="s">
        <v>183</v>
      </c>
      <c r="T112" s="160" t="str">
        <f>IFERROR(VLOOKUP(S112,TD!$J$33:$K$43,2,0)," ")</f>
        <v>Servicio de formación en gestión del riesgo de incendios para el personal UAECOB</v>
      </c>
      <c r="U112" s="161" t="str">
        <f>CONCATENATE(S112,"-",T112)</f>
        <v>07-Servicio de formación en gestión del riesgo de incendios para el personal UAECOB</v>
      </c>
      <c r="V112" s="51" t="s">
        <v>233</v>
      </c>
      <c r="W112" s="160" t="str">
        <f>IFERROR(VLOOKUP(V112,TD!$N$33:$O$45,2,0)," ")</f>
        <v>Servicio de educación informal</v>
      </c>
      <c r="X112" s="161" t="str">
        <f>CONCATENATE(V112,"_",W112)</f>
        <v>002_Servicio de educación informal</v>
      </c>
      <c r="Y112" s="161" t="str">
        <f>CONCATENATE(U112," ",X112)</f>
        <v>07-Servicio de formación en gestión del riesgo de incendios para el personal UAECOB 002_Servicio de educación informal</v>
      </c>
      <c r="Z112" s="160" t="str">
        <f>CONCATENATE(P112,Q112,R112,S112,V112)</f>
        <v>O23011745032024025507002</v>
      </c>
      <c r="AA112" s="160" t="str">
        <f>IFERROR(VLOOKUP(Y112,TD!$K$46:$L$64,2,0)," ")</f>
        <v>PM/0131/0107/45030020255</v>
      </c>
      <c r="AB112" s="150" t="s">
        <v>138</v>
      </c>
      <c r="AC112" s="162" t="s">
        <v>204</v>
      </c>
    </row>
    <row r="113" spans="2:29" s="28" customFormat="1" ht="99" customHeight="1" x14ac:dyDescent="0.35">
      <c r="B113" s="77">
        <v>20250103</v>
      </c>
      <c r="C113" s="50" t="s">
        <v>209</v>
      </c>
      <c r="D113" s="158" t="s">
        <v>165</v>
      </c>
      <c r="E113" s="51" t="s">
        <v>495</v>
      </c>
      <c r="F113" s="158" t="s">
        <v>394</v>
      </c>
      <c r="G113" s="158" t="s">
        <v>155</v>
      </c>
      <c r="H113" s="97">
        <v>80111600</v>
      </c>
      <c r="I113" s="159">
        <v>2</v>
      </c>
      <c r="J113" s="159">
        <v>8</v>
      </c>
      <c r="K113" s="52">
        <v>0</v>
      </c>
      <c r="L113" s="153">
        <v>31500000</v>
      </c>
      <c r="M113" s="158" t="s">
        <v>473</v>
      </c>
      <c r="N113" s="53" t="s">
        <v>113</v>
      </c>
      <c r="O113" s="51" t="s">
        <v>229</v>
      </c>
      <c r="P113" s="160" t="str">
        <f>IFERROR(VLOOKUP(C113,TD!$B$32:$F$36,2,0)," ")</f>
        <v>O230117</v>
      </c>
      <c r="Q113" s="160" t="str">
        <f>IFERROR(VLOOKUP(C113,TD!$B$32:$F$36,3,0)," ")</f>
        <v>4503</v>
      </c>
      <c r="R113" s="160">
        <f>IFERROR(VLOOKUP(C113,TD!$B$32:$F$36,4,0)," ")</f>
        <v>20240255</v>
      </c>
      <c r="S113" s="51" t="s">
        <v>183</v>
      </c>
      <c r="T113" s="160" t="str">
        <f>IFERROR(VLOOKUP(S113,TD!$J$33:$K$43,2,0)," ")</f>
        <v>Servicio de formación en gestión del riesgo de incendios para el personal UAECOB</v>
      </c>
      <c r="U113" s="161" t="str">
        <f>CONCATENATE(S113,"-",T113)</f>
        <v>07-Servicio de formación en gestión del riesgo de incendios para el personal UAECOB</v>
      </c>
      <c r="V113" s="51" t="s">
        <v>233</v>
      </c>
      <c r="W113" s="160" t="str">
        <f>IFERROR(VLOOKUP(V113,TD!$N$33:$O$45,2,0)," ")</f>
        <v>Servicio de educación informal</v>
      </c>
      <c r="X113" s="161" t="str">
        <f>CONCATENATE(V113,"_",W113)</f>
        <v>002_Servicio de educación informal</v>
      </c>
      <c r="Y113" s="161" t="str">
        <f>CONCATENATE(U113," ",X113)</f>
        <v>07-Servicio de formación en gestión del riesgo de incendios para el personal UAECOB 002_Servicio de educación informal</v>
      </c>
      <c r="Z113" s="160" t="str">
        <f>CONCATENATE(P113,Q113,R113,S113,V113)</f>
        <v>O23011745032024025507002</v>
      </c>
      <c r="AA113" s="160" t="str">
        <f>IFERROR(VLOOKUP(Y113,TD!$K$46:$L$64,2,0)," ")</f>
        <v>PM/0131/0107/45030020255</v>
      </c>
      <c r="AB113" s="150" t="s">
        <v>138</v>
      </c>
      <c r="AC113" s="162" t="s">
        <v>204</v>
      </c>
    </row>
    <row r="114" spans="2:29" s="28" customFormat="1" ht="99" customHeight="1" x14ac:dyDescent="0.35">
      <c r="B114" s="77">
        <v>20250104</v>
      </c>
      <c r="C114" s="50" t="s">
        <v>209</v>
      </c>
      <c r="D114" s="158" t="s">
        <v>165</v>
      </c>
      <c r="E114" s="51" t="s">
        <v>495</v>
      </c>
      <c r="F114" s="158" t="s">
        <v>395</v>
      </c>
      <c r="G114" s="158" t="s">
        <v>156</v>
      </c>
      <c r="H114" s="97">
        <v>80111600</v>
      </c>
      <c r="I114" s="159">
        <v>2</v>
      </c>
      <c r="J114" s="159">
        <v>8</v>
      </c>
      <c r="K114" s="52">
        <v>0</v>
      </c>
      <c r="L114" s="153">
        <v>32481207</v>
      </c>
      <c r="M114" s="158" t="s">
        <v>473</v>
      </c>
      <c r="N114" s="53" t="s">
        <v>113</v>
      </c>
      <c r="O114" s="51" t="s">
        <v>229</v>
      </c>
      <c r="P114" s="160" t="str">
        <f>IFERROR(VLOOKUP(C114,TD!$B$32:$F$36,2,0)," ")</f>
        <v>O230117</v>
      </c>
      <c r="Q114" s="160" t="str">
        <f>IFERROR(VLOOKUP(C114,TD!$B$32:$F$36,3,0)," ")</f>
        <v>4503</v>
      </c>
      <c r="R114" s="160">
        <f>IFERROR(VLOOKUP(C114,TD!$B$32:$F$36,4,0)," ")</f>
        <v>20240255</v>
      </c>
      <c r="S114" s="51" t="s">
        <v>183</v>
      </c>
      <c r="T114" s="160" t="str">
        <f>IFERROR(VLOOKUP(S114,TD!$J$33:$K$43,2,0)," ")</f>
        <v>Servicio de formación en gestión del riesgo de incendios para el personal UAECOB</v>
      </c>
      <c r="U114" s="161" t="str">
        <f>CONCATENATE(S114,"-",T114)</f>
        <v>07-Servicio de formación en gestión del riesgo de incendios para el personal UAECOB</v>
      </c>
      <c r="V114" s="51" t="s">
        <v>233</v>
      </c>
      <c r="W114" s="160" t="str">
        <f>IFERROR(VLOOKUP(V114,TD!$N$33:$O$45,2,0)," ")</f>
        <v>Servicio de educación informal</v>
      </c>
      <c r="X114" s="161" t="str">
        <f>CONCATENATE(V114,"_",W114)</f>
        <v>002_Servicio de educación informal</v>
      </c>
      <c r="Y114" s="161" t="str">
        <f>CONCATENATE(U114," ",X114)</f>
        <v>07-Servicio de formación en gestión del riesgo de incendios para el personal UAECOB 002_Servicio de educación informal</v>
      </c>
      <c r="Z114" s="160" t="str">
        <f>CONCATENATE(P114,Q114,R114,S114,V114)</f>
        <v>O23011745032024025507002</v>
      </c>
      <c r="AA114" s="160" t="str">
        <f>IFERROR(VLOOKUP(Y114,TD!$K$46:$L$64,2,0)," ")</f>
        <v>PM/0131/0107/45030020255</v>
      </c>
      <c r="AB114" s="150" t="s">
        <v>138</v>
      </c>
      <c r="AC114" s="162" t="s">
        <v>204</v>
      </c>
    </row>
    <row r="115" spans="2:29" s="28" customFormat="1" ht="99" customHeight="1" x14ac:dyDescent="0.35">
      <c r="B115" s="77">
        <v>20250105</v>
      </c>
      <c r="C115" s="50" t="s">
        <v>209</v>
      </c>
      <c r="D115" s="158" t="s">
        <v>165</v>
      </c>
      <c r="E115" s="51" t="s">
        <v>495</v>
      </c>
      <c r="F115" s="158" t="s">
        <v>396</v>
      </c>
      <c r="G115" s="158" t="s">
        <v>155</v>
      </c>
      <c r="H115" s="97">
        <v>80111600</v>
      </c>
      <c r="I115" s="159">
        <v>2</v>
      </c>
      <c r="J115" s="159">
        <v>11</v>
      </c>
      <c r="K115" s="52">
        <v>0</v>
      </c>
      <c r="L115" s="153">
        <f>69603600-12903600</f>
        <v>56700000</v>
      </c>
      <c r="M115" s="158" t="s">
        <v>473</v>
      </c>
      <c r="N115" s="53" t="s">
        <v>113</v>
      </c>
      <c r="O115" s="51" t="s">
        <v>229</v>
      </c>
      <c r="P115" s="160" t="str">
        <f>IFERROR(VLOOKUP(C115,TD!$B$32:$F$36,2,0)," ")</f>
        <v>O230117</v>
      </c>
      <c r="Q115" s="160" t="str">
        <f>IFERROR(VLOOKUP(C115,TD!$B$32:$F$36,3,0)," ")</f>
        <v>4503</v>
      </c>
      <c r="R115" s="160">
        <f>IFERROR(VLOOKUP(C115,TD!$B$32:$F$36,4,0)," ")</f>
        <v>20240255</v>
      </c>
      <c r="S115" s="51" t="s">
        <v>183</v>
      </c>
      <c r="T115" s="160" t="str">
        <f>IFERROR(VLOOKUP(S115,TD!$J$33:$K$43,2,0)," ")</f>
        <v>Servicio de formación en gestión del riesgo de incendios para el personal UAECOB</v>
      </c>
      <c r="U115" s="161" t="str">
        <f>CONCATENATE(S115,"-",T115)</f>
        <v>07-Servicio de formación en gestión del riesgo de incendios para el personal UAECOB</v>
      </c>
      <c r="V115" s="51" t="s">
        <v>233</v>
      </c>
      <c r="W115" s="160" t="str">
        <f>IFERROR(VLOOKUP(V115,TD!$N$33:$O$45,2,0)," ")</f>
        <v>Servicio de educación informal</v>
      </c>
      <c r="X115" s="161" t="str">
        <f>CONCATENATE(V115,"_",W115)</f>
        <v>002_Servicio de educación informal</v>
      </c>
      <c r="Y115" s="161" t="str">
        <f>CONCATENATE(U115," ",X115)</f>
        <v>07-Servicio de formación en gestión del riesgo de incendios para el personal UAECOB 002_Servicio de educación informal</v>
      </c>
      <c r="Z115" s="160" t="str">
        <f>CONCATENATE(P115,Q115,R115,S115,V115)</f>
        <v>O23011745032024025507002</v>
      </c>
      <c r="AA115" s="160" t="str">
        <f>IFERROR(VLOOKUP(Y115,TD!$K$46:$L$64,2,0)," ")</f>
        <v>PM/0131/0107/45030020255</v>
      </c>
      <c r="AB115" s="150" t="s">
        <v>138</v>
      </c>
      <c r="AC115" s="162" t="s">
        <v>204</v>
      </c>
    </row>
    <row r="116" spans="2:29" s="28" customFormat="1" ht="99" customHeight="1" x14ac:dyDescent="0.35">
      <c r="B116" s="77">
        <v>20250106</v>
      </c>
      <c r="C116" s="50" t="s">
        <v>209</v>
      </c>
      <c r="D116" s="158" t="s">
        <v>165</v>
      </c>
      <c r="E116" s="51" t="s">
        <v>495</v>
      </c>
      <c r="F116" s="158" t="s">
        <v>397</v>
      </c>
      <c r="G116" s="158" t="s">
        <v>155</v>
      </c>
      <c r="H116" s="97">
        <v>80111600</v>
      </c>
      <c r="I116" s="159">
        <v>2</v>
      </c>
      <c r="J116" s="159">
        <v>11</v>
      </c>
      <c r="K116" s="52">
        <v>0</v>
      </c>
      <c r="L116" s="153">
        <f>50520613-1175643-10476595</f>
        <v>38868375</v>
      </c>
      <c r="M116" s="158" t="s">
        <v>473</v>
      </c>
      <c r="N116" s="53" t="s">
        <v>113</v>
      </c>
      <c r="O116" s="51" t="s">
        <v>229</v>
      </c>
      <c r="P116" s="160" t="str">
        <f>IFERROR(VLOOKUP(C116,TD!$B$32:$F$36,2,0)," ")</f>
        <v>O230117</v>
      </c>
      <c r="Q116" s="160" t="str">
        <f>IFERROR(VLOOKUP(C116,TD!$B$32:$F$36,3,0)," ")</f>
        <v>4503</v>
      </c>
      <c r="R116" s="160">
        <f>IFERROR(VLOOKUP(C116,TD!$B$32:$F$36,4,0)," ")</f>
        <v>20240255</v>
      </c>
      <c r="S116" s="51" t="s">
        <v>183</v>
      </c>
      <c r="T116" s="160" t="str">
        <f>IFERROR(VLOOKUP(S116,TD!$J$33:$K$43,2,0)," ")</f>
        <v>Servicio de formación en gestión del riesgo de incendios para el personal UAECOB</v>
      </c>
      <c r="U116" s="161" t="str">
        <f>CONCATENATE(S116,"-",T116)</f>
        <v>07-Servicio de formación en gestión del riesgo de incendios para el personal UAECOB</v>
      </c>
      <c r="V116" s="51" t="s">
        <v>233</v>
      </c>
      <c r="W116" s="160" t="str">
        <f>IFERROR(VLOOKUP(V116,TD!$N$33:$O$45,2,0)," ")</f>
        <v>Servicio de educación informal</v>
      </c>
      <c r="X116" s="161" t="str">
        <f>CONCATENATE(V116,"_",W116)</f>
        <v>002_Servicio de educación informal</v>
      </c>
      <c r="Y116" s="161" t="str">
        <f>CONCATENATE(U116," ",X116)</f>
        <v>07-Servicio de formación en gestión del riesgo de incendios para el personal UAECOB 002_Servicio de educación informal</v>
      </c>
      <c r="Z116" s="160" t="str">
        <f>CONCATENATE(P116,Q116,R116,S116,V116)</f>
        <v>O23011745032024025507002</v>
      </c>
      <c r="AA116" s="160" t="str">
        <f>IFERROR(VLOOKUP(Y116,TD!$K$46:$L$64,2,0)," ")</f>
        <v>PM/0131/0107/45030020255</v>
      </c>
      <c r="AB116" s="150" t="s">
        <v>138</v>
      </c>
      <c r="AC116" s="162" t="s">
        <v>204</v>
      </c>
    </row>
    <row r="117" spans="2:29" s="28" customFormat="1" ht="99" customHeight="1" x14ac:dyDescent="0.35">
      <c r="B117" s="77">
        <v>20250107</v>
      </c>
      <c r="C117" s="50" t="s">
        <v>209</v>
      </c>
      <c r="D117" s="158" t="s">
        <v>165</v>
      </c>
      <c r="E117" s="51" t="s">
        <v>495</v>
      </c>
      <c r="F117" s="158" t="s">
        <v>766</v>
      </c>
      <c r="G117" s="158" t="s">
        <v>155</v>
      </c>
      <c r="H117" s="97">
        <v>80111600</v>
      </c>
      <c r="I117" s="159">
        <v>2</v>
      </c>
      <c r="J117" s="159">
        <v>11</v>
      </c>
      <c r="K117" s="52">
        <v>0</v>
      </c>
      <c r="L117" s="153">
        <f>69603600-16053600</f>
        <v>53550000</v>
      </c>
      <c r="M117" s="158" t="s">
        <v>473</v>
      </c>
      <c r="N117" s="53" t="s">
        <v>113</v>
      </c>
      <c r="O117" s="51" t="s">
        <v>229</v>
      </c>
      <c r="P117" s="160" t="str">
        <f>IFERROR(VLOOKUP(C117,TD!$B$32:$F$36,2,0)," ")</f>
        <v>O230117</v>
      </c>
      <c r="Q117" s="160" t="str">
        <f>IFERROR(VLOOKUP(C117,TD!$B$32:$F$36,3,0)," ")</f>
        <v>4503</v>
      </c>
      <c r="R117" s="160">
        <f>IFERROR(VLOOKUP(C117,TD!$B$32:$F$36,4,0)," ")</f>
        <v>20240255</v>
      </c>
      <c r="S117" s="51" t="s">
        <v>183</v>
      </c>
      <c r="T117" s="160" t="str">
        <f>IFERROR(VLOOKUP(S117,TD!$J$33:$K$43,2,0)," ")</f>
        <v>Servicio de formación en gestión del riesgo de incendios para el personal UAECOB</v>
      </c>
      <c r="U117" s="161" t="str">
        <f>CONCATENATE(S117,"-",T117)</f>
        <v>07-Servicio de formación en gestión del riesgo de incendios para el personal UAECOB</v>
      </c>
      <c r="V117" s="51" t="s">
        <v>233</v>
      </c>
      <c r="W117" s="160" t="str">
        <f>IFERROR(VLOOKUP(V117,TD!$N$33:$O$45,2,0)," ")</f>
        <v>Servicio de educación informal</v>
      </c>
      <c r="X117" s="161" t="str">
        <f>CONCATENATE(V117,"_",W117)</f>
        <v>002_Servicio de educación informal</v>
      </c>
      <c r="Y117" s="161" t="str">
        <f>CONCATENATE(U117," ",X117)</f>
        <v>07-Servicio de formación en gestión del riesgo de incendios para el personal UAECOB 002_Servicio de educación informal</v>
      </c>
      <c r="Z117" s="160" t="str">
        <f>CONCATENATE(P117,Q117,R117,S117,V117)</f>
        <v>O23011745032024025507002</v>
      </c>
      <c r="AA117" s="160" t="str">
        <f>IFERROR(VLOOKUP(Y117,TD!$K$46:$L$64,2,0)," ")</f>
        <v>PM/0131/0107/45030020255</v>
      </c>
      <c r="AB117" s="150" t="s">
        <v>138</v>
      </c>
      <c r="AC117" s="162" t="s">
        <v>204</v>
      </c>
    </row>
    <row r="118" spans="2:29" s="28" customFormat="1" ht="99" customHeight="1" x14ac:dyDescent="0.35">
      <c r="B118" s="77">
        <v>20250108</v>
      </c>
      <c r="C118" s="50" t="s">
        <v>209</v>
      </c>
      <c r="D118" s="158" t="s">
        <v>165</v>
      </c>
      <c r="E118" s="51" t="s">
        <v>495</v>
      </c>
      <c r="F118" s="158" t="s">
        <v>398</v>
      </c>
      <c r="G118" s="158" t="s">
        <v>155</v>
      </c>
      <c r="H118" s="97">
        <v>80111600</v>
      </c>
      <c r="I118" s="159">
        <v>2</v>
      </c>
      <c r="J118" s="159">
        <v>11</v>
      </c>
      <c r="K118" s="52">
        <v>0</v>
      </c>
      <c r="L118" s="153">
        <f>48873328-8302138</f>
        <v>40571190</v>
      </c>
      <c r="M118" s="158" t="s">
        <v>473</v>
      </c>
      <c r="N118" s="53" t="s">
        <v>113</v>
      </c>
      <c r="O118" s="51" t="s">
        <v>229</v>
      </c>
      <c r="P118" s="160" t="str">
        <f>IFERROR(VLOOKUP(C118,TD!$B$32:$F$36,2,0)," ")</f>
        <v>O230117</v>
      </c>
      <c r="Q118" s="160" t="str">
        <f>IFERROR(VLOOKUP(C118,TD!$B$32:$F$36,3,0)," ")</f>
        <v>4503</v>
      </c>
      <c r="R118" s="160">
        <f>IFERROR(VLOOKUP(C118,TD!$B$32:$F$36,4,0)," ")</f>
        <v>20240255</v>
      </c>
      <c r="S118" s="51" t="s">
        <v>183</v>
      </c>
      <c r="T118" s="160" t="str">
        <f>IFERROR(VLOOKUP(S118,TD!$J$33:$K$43,2,0)," ")</f>
        <v>Servicio de formación en gestión del riesgo de incendios para el personal UAECOB</v>
      </c>
      <c r="U118" s="161" t="str">
        <f>CONCATENATE(S118,"-",T118)</f>
        <v>07-Servicio de formación en gestión del riesgo de incendios para el personal UAECOB</v>
      </c>
      <c r="V118" s="51" t="s">
        <v>233</v>
      </c>
      <c r="W118" s="160" t="str">
        <f>IFERROR(VLOOKUP(V118,TD!$N$33:$O$45,2,0)," ")</f>
        <v>Servicio de educación informal</v>
      </c>
      <c r="X118" s="161" t="str">
        <f>CONCATENATE(V118,"_",W118)</f>
        <v>002_Servicio de educación informal</v>
      </c>
      <c r="Y118" s="161" t="str">
        <f>CONCATENATE(U118," ",X118)</f>
        <v>07-Servicio de formación en gestión del riesgo de incendios para el personal UAECOB 002_Servicio de educación informal</v>
      </c>
      <c r="Z118" s="160" t="str">
        <f>CONCATENATE(P118,Q118,R118,S118,V118)</f>
        <v>O23011745032024025507002</v>
      </c>
      <c r="AA118" s="160" t="str">
        <f>IFERROR(VLOOKUP(Y118,TD!$K$46:$L$64,2,0)," ")</f>
        <v>PM/0131/0107/45030020255</v>
      </c>
      <c r="AB118" s="150" t="s">
        <v>138</v>
      </c>
      <c r="AC118" s="162" t="s">
        <v>204</v>
      </c>
    </row>
    <row r="119" spans="2:29" s="28" customFormat="1" ht="99" customHeight="1" x14ac:dyDescent="0.35">
      <c r="B119" s="77">
        <v>20250109</v>
      </c>
      <c r="C119" s="50" t="s">
        <v>209</v>
      </c>
      <c r="D119" s="158" t="s">
        <v>165</v>
      </c>
      <c r="E119" s="51" t="s">
        <v>495</v>
      </c>
      <c r="F119" s="158" t="s">
        <v>392</v>
      </c>
      <c r="G119" s="158" t="s">
        <v>155</v>
      </c>
      <c r="H119" s="97">
        <v>80111600</v>
      </c>
      <c r="I119" s="159">
        <v>3</v>
      </c>
      <c r="J119" s="159">
        <v>10</v>
      </c>
      <c r="K119" s="52">
        <v>0</v>
      </c>
      <c r="L119" s="153">
        <f>57697166-11740766</f>
        <v>45956400</v>
      </c>
      <c r="M119" s="158" t="s">
        <v>473</v>
      </c>
      <c r="N119" s="53" t="s">
        <v>113</v>
      </c>
      <c r="O119" s="51" t="s">
        <v>229</v>
      </c>
      <c r="P119" s="160" t="str">
        <f>IFERROR(VLOOKUP(C119,TD!$B$32:$F$36,2,0)," ")</f>
        <v>O230117</v>
      </c>
      <c r="Q119" s="160" t="str">
        <f>IFERROR(VLOOKUP(C119,TD!$B$32:$F$36,3,0)," ")</f>
        <v>4503</v>
      </c>
      <c r="R119" s="160">
        <f>IFERROR(VLOOKUP(C119,TD!$B$32:$F$36,4,0)," ")</f>
        <v>20240255</v>
      </c>
      <c r="S119" s="51" t="s">
        <v>183</v>
      </c>
      <c r="T119" s="160" t="str">
        <f>IFERROR(VLOOKUP(S119,TD!$J$33:$K$43,2,0)," ")</f>
        <v>Servicio de formación en gestión del riesgo de incendios para el personal UAECOB</v>
      </c>
      <c r="U119" s="161" t="str">
        <f>CONCATENATE(S119,"-",T119)</f>
        <v>07-Servicio de formación en gestión del riesgo de incendios para el personal UAECOB</v>
      </c>
      <c r="V119" s="51" t="s">
        <v>233</v>
      </c>
      <c r="W119" s="160" t="str">
        <f>IFERROR(VLOOKUP(V119,TD!$N$33:$O$45,2,0)," ")</f>
        <v>Servicio de educación informal</v>
      </c>
      <c r="X119" s="161" t="str">
        <f>CONCATENATE(V119,"_",W119)</f>
        <v>002_Servicio de educación informal</v>
      </c>
      <c r="Y119" s="161" t="str">
        <f>CONCATENATE(U119," ",X119)</f>
        <v>07-Servicio de formación en gestión del riesgo de incendios para el personal UAECOB 002_Servicio de educación informal</v>
      </c>
      <c r="Z119" s="160" t="str">
        <f>CONCATENATE(P119,Q119,R119,S119,V119)</f>
        <v>O23011745032024025507002</v>
      </c>
      <c r="AA119" s="160" t="str">
        <f>IFERROR(VLOOKUP(Y119,TD!$K$46:$L$64,2,0)," ")</f>
        <v>PM/0131/0107/45030020255</v>
      </c>
      <c r="AB119" s="150" t="s">
        <v>138</v>
      </c>
      <c r="AC119" s="162" t="s">
        <v>204</v>
      </c>
    </row>
    <row r="120" spans="2:29" s="28" customFormat="1" ht="99" customHeight="1" x14ac:dyDescent="0.35">
      <c r="B120" s="77">
        <v>20250110</v>
      </c>
      <c r="C120" s="50" t="s">
        <v>209</v>
      </c>
      <c r="D120" s="158" t="s">
        <v>165</v>
      </c>
      <c r="E120" s="51" t="s">
        <v>495</v>
      </c>
      <c r="F120" s="158" t="s">
        <v>399</v>
      </c>
      <c r="G120" s="158" t="s">
        <v>155</v>
      </c>
      <c r="H120" s="97">
        <v>80111600</v>
      </c>
      <c r="I120" s="159">
        <v>2</v>
      </c>
      <c r="J120" s="159">
        <v>11</v>
      </c>
      <c r="K120" s="52">
        <v>0</v>
      </c>
      <c r="L120" s="153">
        <f>52202700-2255576-9784624</f>
        <v>40162500</v>
      </c>
      <c r="M120" s="158" t="s">
        <v>473</v>
      </c>
      <c r="N120" s="53" t="s">
        <v>113</v>
      </c>
      <c r="O120" s="51" t="s">
        <v>229</v>
      </c>
      <c r="P120" s="160" t="str">
        <f>IFERROR(VLOOKUP(C120,TD!$B$32:$F$36,2,0)," ")</f>
        <v>O230117</v>
      </c>
      <c r="Q120" s="160" t="str">
        <f>IFERROR(VLOOKUP(C120,TD!$B$32:$F$36,3,0)," ")</f>
        <v>4503</v>
      </c>
      <c r="R120" s="160">
        <f>IFERROR(VLOOKUP(C120,TD!$B$32:$F$36,4,0)," ")</f>
        <v>20240255</v>
      </c>
      <c r="S120" s="51" t="s">
        <v>183</v>
      </c>
      <c r="T120" s="160" t="str">
        <f>IFERROR(VLOOKUP(S120,TD!$J$33:$K$43,2,0)," ")</f>
        <v>Servicio de formación en gestión del riesgo de incendios para el personal UAECOB</v>
      </c>
      <c r="U120" s="161" t="str">
        <f>CONCATENATE(S120,"-",T120)</f>
        <v>07-Servicio de formación en gestión del riesgo de incendios para el personal UAECOB</v>
      </c>
      <c r="V120" s="51" t="s">
        <v>233</v>
      </c>
      <c r="W120" s="160" t="str">
        <f>IFERROR(VLOOKUP(V120,TD!$N$33:$O$45,2,0)," ")</f>
        <v>Servicio de educación informal</v>
      </c>
      <c r="X120" s="161" t="str">
        <f>CONCATENATE(V120,"_",W120)</f>
        <v>002_Servicio de educación informal</v>
      </c>
      <c r="Y120" s="161" t="str">
        <f>CONCATENATE(U120," ",X120)</f>
        <v>07-Servicio de formación en gestión del riesgo de incendios para el personal UAECOB 002_Servicio de educación informal</v>
      </c>
      <c r="Z120" s="160" t="str">
        <f>CONCATENATE(P120,Q120,R120,S120,V120)</f>
        <v>O23011745032024025507002</v>
      </c>
      <c r="AA120" s="160" t="str">
        <f>IFERROR(VLOOKUP(Y120,TD!$K$46:$L$64,2,0)," ")</f>
        <v>PM/0131/0107/45030020255</v>
      </c>
      <c r="AB120" s="150" t="s">
        <v>138</v>
      </c>
      <c r="AC120" s="162" t="s">
        <v>204</v>
      </c>
    </row>
    <row r="121" spans="2:29" s="28" customFormat="1" ht="99" customHeight="1" x14ac:dyDescent="0.35">
      <c r="B121" s="77">
        <v>20250111</v>
      </c>
      <c r="C121" s="50" t="s">
        <v>209</v>
      </c>
      <c r="D121" s="158" t="s">
        <v>165</v>
      </c>
      <c r="E121" s="51" t="s">
        <v>495</v>
      </c>
      <c r="F121" s="158" t="s">
        <v>400</v>
      </c>
      <c r="G121" s="158" t="s">
        <v>156</v>
      </c>
      <c r="H121" s="97">
        <v>80111600</v>
      </c>
      <c r="I121" s="159">
        <v>2</v>
      </c>
      <c r="J121" s="159">
        <v>11</v>
      </c>
      <c r="K121" s="52">
        <v>0</v>
      </c>
      <c r="L121" s="153">
        <f>38073169-7058269</f>
        <v>31014900</v>
      </c>
      <c r="M121" s="158" t="s">
        <v>473</v>
      </c>
      <c r="N121" s="53" t="s">
        <v>113</v>
      </c>
      <c r="O121" s="51" t="s">
        <v>229</v>
      </c>
      <c r="P121" s="160" t="str">
        <f>IFERROR(VLOOKUP(C121,TD!$B$32:$F$36,2,0)," ")</f>
        <v>O230117</v>
      </c>
      <c r="Q121" s="160" t="str">
        <f>IFERROR(VLOOKUP(C121,TD!$B$32:$F$36,3,0)," ")</f>
        <v>4503</v>
      </c>
      <c r="R121" s="160">
        <f>IFERROR(VLOOKUP(C121,TD!$B$32:$F$36,4,0)," ")</f>
        <v>20240255</v>
      </c>
      <c r="S121" s="51" t="s">
        <v>183</v>
      </c>
      <c r="T121" s="160" t="str">
        <f>IFERROR(VLOOKUP(S121,TD!$J$33:$K$43,2,0)," ")</f>
        <v>Servicio de formación en gestión del riesgo de incendios para el personal UAECOB</v>
      </c>
      <c r="U121" s="161" t="str">
        <f>CONCATENATE(S121,"-",T121)</f>
        <v>07-Servicio de formación en gestión del riesgo de incendios para el personal UAECOB</v>
      </c>
      <c r="V121" s="51" t="s">
        <v>233</v>
      </c>
      <c r="W121" s="160" t="str">
        <f>IFERROR(VLOOKUP(V121,TD!$N$33:$O$45,2,0)," ")</f>
        <v>Servicio de educación informal</v>
      </c>
      <c r="X121" s="161" t="str">
        <f>CONCATENATE(V121,"_",W121)</f>
        <v>002_Servicio de educación informal</v>
      </c>
      <c r="Y121" s="161" t="str">
        <f>CONCATENATE(U121," ",X121)</f>
        <v>07-Servicio de formación en gestión del riesgo de incendios para el personal UAECOB 002_Servicio de educación informal</v>
      </c>
      <c r="Z121" s="160" t="str">
        <f>CONCATENATE(P121,Q121,R121,S121,V121)</f>
        <v>O23011745032024025507002</v>
      </c>
      <c r="AA121" s="160" t="str">
        <f>IFERROR(VLOOKUP(Y121,TD!$K$46:$L$64,2,0)," ")</f>
        <v>PM/0131/0107/45030020255</v>
      </c>
      <c r="AB121" s="150" t="s">
        <v>138</v>
      </c>
      <c r="AC121" s="162" t="s">
        <v>204</v>
      </c>
    </row>
    <row r="122" spans="2:29" s="28" customFormat="1" ht="99" customHeight="1" x14ac:dyDescent="0.35">
      <c r="B122" s="77">
        <v>20250112</v>
      </c>
      <c r="C122" s="50" t="s">
        <v>209</v>
      </c>
      <c r="D122" s="158" t="s">
        <v>165</v>
      </c>
      <c r="E122" s="51" t="s">
        <v>495</v>
      </c>
      <c r="F122" s="158" t="s">
        <v>401</v>
      </c>
      <c r="G122" s="158" t="s">
        <v>156</v>
      </c>
      <c r="H122" s="97">
        <v>80111600</v>
      </c>
      <c r="I122" s="159">
        <v>3</v>
      </c>
      <c r="J122" s="159">
        <v>10</v>
      </c>
      <c r="K122" s="52">
        <v>0</v>
      </c>
      <c r="L122" s="153">
        <f>31638000-9588000</f>
        <v>22050000</v>
      </c>
      <c r="M122" s="158" t="s">
        <v>473</v>
      </c>
      <c r="N122" s="53" t="s">
        <v>113</v>
      </c>
      <c r="O122" s="51" t="s">
        <v>229</v>
      </c>
      <c r="P122" s="160" t="str">
        <f>IFERROR(VLOOKUP(C122,TD!$B$32:$F$36,2,0)," ")</f>
        <v>O230117</v>
      </c>
      <c r="Q122" s="160" t="str">
        <f>IFERROR(VLOOKUP(C122,TD!$B$32:$F$36,3,0)," ")</f>
        <v>4503</v>
      </c>
      <c r="R122" s="160">
        <f>IFERROR(VLOOKUP(C122,TD!$B$32:$F$36,4,0)," ")</f>
        <v>20240255</v>
      </c>
      <c r="S122" s="51" t="s">
        <v>183</v>
      </c>
      <c r="T122" s="160" t="str">
        <f>IFERROR(VLOOKUP(S122,TD!$J$33:$K$43,2,0)," ")</f>
        <v>Servicio de formación en gestión del riesgo de incendios para el personal UAECOB</v>
      </c>
      <c r="U122" s="161" t="str">
        <f>CONCATENATE(S122,"-",T122)</f>
        <v>07-Servicio de formación en gestión del riesgo de incendios para el personal UAECOB</v>
      </c>
      <c r="V122" s="51" t="s">
        <v>233</v>
      </c>
      <c r="W122" s="160" t="str">
        <f>IFERROR(VLOOKUP(V122,TD!$N$33:$O$45,2,0)," ")</f>
        <v>Servicio de educación informal</v>
      </c>
      <c r="X122" s="161" t="str">
        <f>CONCATENATE(V122,"_",W122)</f>
        <v>002_Servicio de educación informal</v>
      </c>
      <c r="Y122" s="161" t="str">
        <f>CONCATENATE(U122," ",X122)</f>
        <v>07-Servicio de formación en gestión del riesgo de incendios para el personal UAECOB 002_Servicio de educación informal</v>
      </c>
      <c r="Z122" s="160" t="str">
        <f>CONCATENATE(P122,Q122,R122,S122,V122)</f>
        <v>O23011745032024025507002</v>
      </c>
      <c r="AA122" s="160" t="str">
        <f>IFERROR(VLOOKUP(Y122,TD!$K$46:$L$64,2,0)," ")</f>
        <v>PM/0131/0107/45030020255</v>
      </c>
      <c r="AB122" s="150" t="s">
        <v>138</v>
      </c>
      <c r="AC122" s="162" t="s">
        <v>204</v>
      </c>
    </row>
    <row r="123" spans="2:29" s="28" customFormat="1" ht="99" customHeight="1" x14ac:dyDescent="0.35">
      <c r="B123" s="77">
        <v>20250113</v>
      </c>
      <c r="C123" s="50" t="s">
        <v>209</v>
      </c>
      <c r="D123" s="158" t="s">
        <v>165</v>
      </c>
      <c r="E123" s="51" t="s">
        <v>495</v>
      </c>
      <c r="F123" s="158" t="s">
        <v>402</v>
      </c>
      <c r="G123" s="158" t="s">
        <v>155</v>
      </c>
      <c r="H123" s="97">
        <v>80111600</v>
      </c>
      <c r="I123" s="159">
        <v>2</v>
      </c>
      <c r="J123" s="159">
        <v>11</v>
      </c>
      <c r="K123" s="52">
        <v>0</v>
      </c>
      <c r="L123" s="153">
        <f>62550435-11596035</f>
        <v>50954400</v>
      </c>
      <c r="M123" s="158" t="s">
        <v>473</v>
      </c>
      <c r="N123" s="53" t="s">
        <v>113</v>
      </c>
      <c r="O123" s="51" t="s">
        <v>229</v>
      </c>
      <c r="P123" s="160" t="str">
        <f>IFERROR(VLOOKUP(C123,TD!$B$32:$F$36,2,0)," ")</f>
        <v>O230117</v>
      </c>
      <c r="Q123" s="160" t="str">
        <f>IFERROR(VLOOKUP(C123,TD!$B$32:$F$36,3,0)," ")</f>
        <v>4503</v>
      </c>
      <c r="R123" s="160">
        <f>IFERROR(VLOOKUP(C123,TD!$B$32:$F$36,4,0)," ")</f>
        <v>20240255</v>
      </c>
      <c r="S123" s="51" t="s">
        <v>183</v>
      </c>
      <c r="T123" s="160" t="str">
        <f>IFERROR(VLOOKUP(S123,TD!$J$33:$K$43,2,0)," ")</f>
        <v>Servicio de formación en gestión del riesgo de incendios para el personal UAECOB</v>
      </c>
      <c r="U123" s="161" t="str">
        <f>CONCATENATE(S123,"-",T123)</f>
        <v>07-Servicio de formación en gestión del riesgo de incendios para el personal UAECOB</v>
      </c>
      <c r="V123" s="51" t="s">
        <v>233</v>
      </c>
      <c r="W123" s="160" t="str">
        <f>IFERROR(VLOOKUP(V123,TD!$N$33:$O$45,2,0)," ")</f>
        <v>Servicio de educación informal</v>
      </c>
      <c r="X123" s="161" t="str">
        <f>CONCATENATE(V123,"_",W123)</f>
        <v>002_Servicio de educación informal</v>
      </c>
      <c r="Y123" s="161" t="str">
        <f>CONCATENATE(U123," ",X123)</f>
        <v>07-Servicio de formación en gestión del riesgo de incendios para el personal UAECOB 002_Servicio de educación informal</v>
      </c>
      <c r="Z123" s="160" t="str">
        <f>CONCATENATE(P123,Q123,R123,S123,V123)</f>
        <v>O23011745032024025507002</v>
      </c>
      <c r="AA123" s="160" t="str">
        <f>IFERROR(VLOOKUP(Y123,TD!$K$46:$L$64,2,0)," ")</f>
        <v>PM/0131/0107/45030020255</v>
      </c>
      <c r="AB123" s="150" t="s">
        <v>138</v>
      </c>
      <c r="AC123" s="162" t="s">
        <v>204</v>
      </c>
    </row>
    <row r="124" spans="2:29" s="28" customFormat="1" ht="99" customHeight="1" x14ac:dyDescent="0.35">
      <c r="B124" s="77">
        <v>20250115</v>
      </c>
      <c r="C124" s="50" t="s">
        <v>209</v>
      </c>
      <c r="D124" s="158" t="s">
        <v>165</v>
      </c>
      <c r="E124" s="51" t="s">
        <v>495</v>
      </c>
      <c r="F124" s="158" t="s">
        <v>398</v>
      </c>
      <c r="G124" s="158" t="s">
        <v>155</v>
      </c>
      <c r="H124" s="97">
        <v>80111600</v>
      </c>
      <c r="I124" s="159">
        <v>2</v>
      </c>
      <c r="J124" s="159">
        <v>11</v>
      </c>
      <c r="K124" s="52">
        <v>0</v>
      </c>
      <c r="L124" s="153">
        <f>46599610-8282375</f>
        <v>38317235</v>
      </c>
      <c r="M124" s="158" t="s">
        <v>473</v>
      </c>
      <c r="N124" s="53" t="s">
        <v>113</v>
      </c>
      <c r="O124" s="51" t="s">
        <v>229</v>
      </c>
      <c r="P124" s="160" t="str">
        <f>IFERROR(VLOOKUP(C124,TD!$B$32:$F$36,2,0)," ")</f>
        <v>O230117</v>
      </c>
      <c r="Q124" s="160" t="str">
        <f>IFERROR(VLOOKUP(C124,TD!$B$32:$F$36,3,0)," ")</f>
        <v>4503</v>
      </c>
      <c r="R124" s="160">
        <f>IFERROR(VLOOKUP(C124,TD!$B$32:$F$36,4,0)," ")</f>
        <v>20240255</v>
      </c>
      <c r="S124" s="51" t="s">
        <v>183</v>
      </c>
      <c r="T124" s="160" t="str">
        <f>IFERROR(VLOOKUP(S124,TD!$J$33:$K$43,2,0)," ")</f>
        <v>Servicio de formación en gestión del riesgo de incendios para el personal UAECOB</v>
      </c>
      <c r="U124" s="161" t="str">
        <f>CONCATENATE(S124,"-",T124)</f>
        <v>07-Servicio de formación en gestión del riesgo de incendios para el personal UAECOB</v>
      </c>
      <c r="V124" s="51" t="s">
        <v>233</v>
      </c>
      <c r="W124" s="160" t="str">
        <f>IFERROR(VLOOKUP(V124,TD!$N$33:$O$45,2,0)," ")</f>
        <v>Servicio de educación informal</v>
      </c>
      <c r="X124" s="161" t="str">
        <f>CONCATENATE(V124,"_",W124)</f>
        <v>002_Servicio de educación informal</v>
      </c>
      <c r="Y124" s="161" t="str">
        <f>CONCATENATE(U124," ",X124)</f>
        <v>07-Servicio de formación en gestión del riesgo de incendios para el personal UAECOB 002_Servicio de educación informal</v>
      </c>
      <c r="Z124" s="160" t="str">
        <f>CONCATENATE(P124,Q124,R124,S124,V124)</f>
        <v>O23011745032024025507002</v>
      </c>
      <c r="AA124" s="160" t="str">
        <f>IFERROR(VLOOKUP(Y124,TD!$K$46:$L$64,2,0)," ")</f>
        <v>PM/0131/0107/45030020255</v>
      </c>
      <c r="AB124" s="150" t="s">
        <v>138</v>
      </c>
      <c r="AC124" s="162" t="s">
        <v>204</v>
      </c>
    </row>
    <row r="125" spans="2:29" s="28" customFormat="1" ht="99" customHeight="1" x14ac:dyDescent="0.35">
      <c r="B125" s="77">
        <v>20250116</v>
      </c>
      <c r="C125" s="50" t="s">
        <v>209</v>
      </c>
      <c r="D125" s="158" t="s">
        <v>165</v>
      </c>
      <c r="E125" s="51" t="s">
        <v>495</v>
      </c>
      <c r="F125" s="158" t="s">
        <v>403</v>
      </c>
      <c r="G125" s="158" t="s">
        <v>155</v>
      </c>
      <c r="H125" s="97">
        <v>80111600</v>
      </c>
      <c r="I125" s="159">
        <v>2</v>
      </c>
      <c r="J125" s="159">
        <v>11</v>
      </c>
      <c r="K125" s="52">
        <v>0</v>
      </c>
      <c r="L125" s="153">
        <f>75403900-12836139-4555261</f>
        <v>58012500</v>
      </c>
      <c r="M125" s="158" t="s">
        <v>473</v>
      </c>
      <c r="N125" s="53" t="s">
        <v>113</v>
      </c>
      <c r="O125" s="51" t="s">
        <v>229</v>
      </c>
      <c r="P125" s="160" t="str">
        <f>IFERROR(VLOOKUP(C125,TD!$B$32:$F$36,2,0)," ")</f>
        <v>O230117</v>
      </c>
      <c r="Q125" s="160" t="str">
        <f>IFERROR(VLOOKUP(C125,TD!$B$32:$F$36,3,0)," ")</f>
        <v>4503</v>
      </c>
      <c r="R125" s="160">
        <f>IFERROR(VLOOKUP(C125,TD!$B$32:$F$36,4,0)," ")</f>
        <v>20240255</v>
      </c>
      <c r="S125" s="51" t="s">
        <v>183</v>
      </c>
      <c r="T125" s="160" t="str">
        <f>IFERROR(VLOOKUP(S125,TD!$J$33:$K$43,2,0)," ")</f>
        <v>Servicio de formación en gestión del riesgo de incendios para el personal UAECOB</v>
      </c>
      <c r="U125" s="161" t="str">
        <f>CONCATENATE(S125,"-",T125)</f>
        <v>07-Servicio de formación en gestión del riesgo de incendios para el personal UAECOB</v>
      </c>
      <c r="V125" s="51" t="s">
        <v>233</v>
      </c>
      <c r="W125" s="160" t="str">
        <f>IFERROR(VLOOKUP(V125,TD!$N$33:$O$45,2,0)," ")</f>
        <v>Servicio de educación informal</v>
      </c>
      <c r="X125" s="161" t="str">
        <f>CONCATENATE(V125,"_",W125)</f>
        <v>002_Servicio de educación informal</v>
      </c>
      <c r="Y125" s="161" t="str">
        <f>CONCATENATE(U125," ",X125)</f>
        <v>07-Servicio de formación en gestión del riesgo de incendios para el personal UAECOB 002_Servicio de educación informal</v>
      </c>
      <c r="Z125" s="160" t="str">
        <f>CONCATENATE(P125,Q125,R125,S125,V125)</f>
        <v>O23011745032024025507002</v>
      </c>
      <c r="AA125" s="160" t="str">
        <f>IFERROR(VLOOKUP(Y125,TD!$K$46:$L$64,2,0)," ")</f>
        <v>PM/0131/0107/45030020255</v>
      </c>
      <c r="AB125" s="150" t="s">
        <v>138</v>
      </c>
      <c r="AC125" s="162" t="s">
        <v>204</v>
      </c>
    </row>
    <row r="126" spans="2:29" s="28" customFormat="1" ht="99" customHeight="1" x14ac:dyDescent="0.35">
      <c r="B126" s="77">
        <v>20250117</v>
      </c>
      <c r="C126" s="50" t="s">
        <v>209</v>
      </c>
      <c r="D126" s="158" t="s">
        <v>165</v>
      </c>
      <c r="E126" s="51" t="s">
        <v>495</v>
      </c>
      <c r="F126" s="158" t="s">
        <v>404</v>
      </c>
      <c r="G126" s="158" t="s">
        <v>156</v>
      </c>
      <c r="H126" s="97">
        <v>80111600</v>
      </c>
      <c r="I126" s="159">
        <v>2</v>
      </c>
      <c r="J126" s="159">
        <v>11</v>
      </c>
      <c r="K126" s="52">
        <v>0</v>
      </c>
      <c r="L126" s="153">
        <f>30045554-3045554</f>
        <v>27000000</v>
      </c>
      <c r="M126" s="158" t="s">
        <v>473</v>
      </c>
      <c r="N126" s="53" t="s">
        <v>113</v>
      </c>
      <c r="O126" s="51" t="s">
        <v>229</v>
      </c>
      <c r="P126" s="160" t="str">
        <f>IFERROR(VLOOKUP(C126,TD!$B$32:$F$36,2,0)," ")</f>
        <v>O230117</v>
      </c>
      <c r="Q126" s="160" t="str">
        <f>IFERROR(VLOOKUP(C126,TD!$B$32:$F$36,3,0)," ")</f>
        <v>4503</v>
      </c>
      <c r="R126" s="160">
        <f>IFERROR(VLOOKUP(C126,TD!$B$32:$F$36,4,0)," ")</f>
        <v>20240255</v>
      </c>
      <c r="S126" s="51" t="s">
        <v>183</v>
      </c>
      <c r="T126" s="160" t="str">
        <f>IFERROR(VLOOKUP(S126,TD!$J$33:$K$43,2,0)," ")</f>
        <v>Servicio de formación en gestión del riesgo de incendios para el personal UAECOB</v>
      </c>
      <c r="U126" s="161" t="str">
        <f>CONCATENATE(S126,"-",T126)</f>
        <v>07-Servicio de formación en gestión del riesgo de incendios para el personal UAECOB</v>
      </c>
      <c r="V126" s="51" t="s">
        <v>233</v>
      </c>
      <c r="W126" s="160" t="str">
        <f>IFERROR(VLOOKUP(V126,TD!$N$33:$O$45,2,0)," ")</f>
        <v>Servicio de educación informal</v>
      </c>
      <c r="X126" s="161" t="str">
        <f>CONCATENATE(V126,"_",W126)</f>
        <v>002_Servicio de educación informal</v>
      </c>
      <c r="Y126" s="161" t="str">
        <f>CONCATENATE(U126," ",X126)</f>
        <v>07-Servicio de formación en gestión del riesgo de incendios para el personal UAECOB 002_Servicio de educación informal</v>
      </c>
      <c r="Z126" s="160" t="str">
        <f>CONCATENATE(P126,Q126,R126,S126,V126)</f>
        <v>O23011745032024025507002</v>
      </c>
      <c r="AA126" s="160" t="str">
        <f>IFERROR(VLOOKUP(Y126,TD!$K$46:$L$64,2,0)," ")</f>
        <v>PM/0131/0107/45030020255</v>
      </c>
      <c r="AB126" s="150" t="s">
        <v>138</v>
      </c>
      <c r="AC126" s="162" t="s">
        <v>204</v>
      </c>
    </row>
    <row r="127" spans="2:29" s="28" customFormat="1" ht="99" customHeight="1" x14ac:dyDescent="0.35">
      <c r="B127" s="77">
        <v>20250118</v>
      </c>
      <c r="C127" s="50" t="s">
        <v>209</v>
      </c>
      <c r="D127" s="158" t="s">
        <v>165</v>
      </c>
      <c r="E127" s="51" t="s">
        <v>495</v>
      </c>
      <c r="F127" s="158" t="s">
        <v>405</v>
      </c>
      <c r="G127" s="158" t="s">
        <v>155</v>
      </c>
      <c r="H127" s="97">
        <v>80111600</v>
      </c>
      <c r="I127" s="159">
        <v>2</v>
      </c>
      <c r="J127" s="159">
        <v>11</v>
      </c>
      <c r="K127" s="52">
        <v>0</v>
      </c>
      <c r="L127" s="153">
        <f>46599610-6028510</f>
        <v>40571100</v>
      </c>
      <c r="M127" s="158" t="s">
        <v>473</v>
      </c>
      <c r="N127" s="53" t="s">
        <v>113</v>
      </c>
      <c r="O127" s="51" t="s">
        <v>229</v>
      </c>
      <c r="P127" s="160" t="str">
        <f>IFERROR(VLOOKUP(C127,TD!$B$32:$F$36,2,0)," ")</f>
        <v>O230117</v>
      </c>
      <c r="Q127" s="160" t="str">
        <f>IFERROR(VLOOKUP(C127,TD!$B$32:$F$36,3,0)," ")</f>
        <v>4503</v>
      </c>
      <c r="R127" s="160">
        <f>IFERROR(VLOOKUP(C127,TD!$B$32:$F$36,4,0)," ")</f>
        <v>20240255</v>
      </c>
      <c r="S127" s="51" t="s">
        <v>183</v>
      </c>
      <c r="T127" s="160" t="str">
        <f>IFERROR(VLOOKUP(S127,TD!$J$33:$K$43,2,0)," ")</f>
        <v>Servicio de formación en gestión del riesgo de incendios para el personal UAECOB</v>
      </c>
      <c r="U127" s="161" t="str">
        <f>CONCATENATE(S127,"-",T127)</f>
        <v>07-Servicio de formación en gestión del riesgo de incendios para el personal UAECOB</v>
      </c>
      <c r="V127" s="51" t="s">
        <v>233</v>
      </c>
      <c r="W127" s="160" t="str">
        <f>IFERROR(VLOOKUP(V127,TD!$N$33:$O$45,2,0)," ")</f>
        <v>Servicio de educación informal</v>
      </c>
      <c r="X127" s="161" t="str">
        <f>CONCATENATE(V127,"_",W127)</f>
        <v>002_Servicio de educación informal</v>
      </c>
      <c r="Y127" s="161" t="str">
        <f>CONCATENATE(U127," ",X127)</f>
        <v>07-Servicio de formación en gestión del riesgo de incendios para el personal UAECOB 002_Servicio de educación informal</v>
      </c>
      <c r="Z127" s="160" t="str">
        <f>CONCATENATE(P127,Q127,R127,S127,V127)</f>
        <v>O23011745032024025507002</v>
      </c>
      <c r="AA127" s="160" t="str">
        <f>IFERROR(VLOOKUP(Y127,TD!$K$46:$L$64,2,0)," ")</f>
        <v>PM/0131/0107/45030020255</v>
      </c>
      <c r="AB127" s="150" t="s">
        <v>138</v>
      </c>
      <c r="AC127" s="162" t="s">
        <v>204</v>
      </c>
    </row>
    <row r="128" spans="2:29" s="28" customFormat="1" ht="99" customHeight="1" x14ac:dyDescent="0.35">
      <c r="B128" s="77">
        <v>20250119</v>
      </c>
      <c r="C128" s="50" t="s">
        <v>209</v>
      </c>
      <c r="D128" s="158" t="s">
        <v>165</v>
      </c>
      <c r="E128" s="51" t="s">
        <v>495</v>
      </c>
      <c r="F128" s="158" t="s">
        <v>433</v>
      </c>
      <c r="G128" s="158" t="s">
        <v>155</v>
      </c>
      <c r="H128" s="97">
        <v>80111600</v>
      </c>
      <c r="I128" s="159">
        <v>2</v>
      </c>
      <c r="J128" s="159">
        <v>11</v>
      </c>
      <c r="K128" s="52">
        <v>0</v>
      </c>
      <c r="L128" s="153">
        <f>59047054-10946554</f>
        <v>48100500</v>
      </c>
      <c r="M128" s="158" t="s">
        <v>473</v>
      </c>
      <c r="N128" s="53" t="s">
        <v>113</v>
      </c>
      <c r="O128" s="51" t="s">
        <v>229</v>
      </c>
      <c r="P128" s="160" t="str">
        <f>IFERROR(VLOOKUP(C128,TD!$B$32:$F$36,2,0)," ")</f>
        <v>O230117</v>
      </c>
      <c r="Q128" s="160" t="str">
        <f>IFERROR(VLOOKUP(C128,TD!$B$32:$F$36,3,0)," ")</f>
        <v>4503</v>
      </c>
      <c r="R128" s="160">
        <f>IFERROR(VLOOKUP(C128,TD!$B$32:$F$36,4,0)," ")</f>
        <v>20240255</v>
      </c>
      <c r="S128" s="51" t="s">
        <v>183</v>
      </c>
      <c r="T128" s="160" t="str">
        <f>IFERROR(VLOOKUP(S128,TD!$J$33:$K$43,2,0)," ")</f>
        <v>Servicio de formación en gestión del riesgo de incendios para el personal UAECOB</v>
      </c>
      <c r="U128" s="161" t="str">
        <f>CONCATENATE(S128,"-",T128)</f>
        <v>07-Servicio de formación en gestión del riesgo de incendios para el personal UAECOB</v>
      </c>
      <c r="V128" s="51" t="s">
        <v>233</v>
      </c>
      <c r="W128" s="160" t="str">
        <f>IFERROR(VLOOKUP(V128,TD!$N$33:$O$45,2,0)," ")</f>
        <v>Servicio de educación informal</v>
      </c>
      <c r="X128" s="161" t="str">
        <f>CONCATENATE(V128,"_",W128)</f>
        <v>002_Servicio de educación informal</v>
      </c>
      <c r="Y128" s="161" t="str">
        <f>CONCATENATE(U128," ",X128)</f>
        <v>07-Servicio de formación en gestión del riesgo de incendios para el personal UAECOB 002_Servicio de educación informal</v>
      </c>
      <c r="Z128" s="160" t="str">
        <f>CONCATENATE(P128,Q128,R128,S128,V128)</f>
        <v>O23011745032024025507002</v>
      </c>
      <c r="AA128" s="160" t="str">
        <f>IFERROR(VLOOKUP(Y128,TD!$K$46:$L$64,2,0)," ")</f>
        <v>PM/0131/0107/45030020255</v>
      </c>
      <c r="AB128" s="150" t="s">
        <v>138</v>
      </c>
      <c r="AC128" s="162" t="s">
        <v>204</v>
      </c>
    </row>
    <row r="129" spans="2:29" s="28" customFormat="1" ht="99" customHeight="1" x14ac:dyDescent="0.35">
      <c r="B129" s="77">
        <v>20250121</v>
      </c>
      <c r="C129" s="50" t="s">
        <v>209</v>
      </c>
      <c r="D129" s="158" t="s">
        <v>165</v>
      </c>
      <c r="E129" s="51" t="s">
        <v>495</v>
      </c>
      <c r="F129" s="158" t="s">
        <v>431</v>
      </c>
      <c r="G129" s="158" t="s">
        <v>155</v>
      </c>
      <c r="H129" s="97">
        <v>80111600</v>
      </c>
      <c r="I129" s="159">
        <v>2</v>
      </c>
      <c r="J129" s="159">
        <v>11</v>
      </c>
      <c r="K129" s="52">
        <v>0</v>
      </c>
      <c r="L129" s="153">
        <f>81204200-8421871-6632329</f>
        <v>66150000</v>
      </c>
      <c r="M129" s="158" t="s">
        <v>473</v>
      </c>
      <c r="N129" s="53" t="s">
        <v>113</v>
      </c>
      <c r="O129" s="51" t="s">
        <v>229</v>
      </c>
      <c r="P129" s="160" t="str">
        <f>IFERROR(VLOOKUP(C129,TD!$B$32:$F$36,2,0)," ")</f>
        <v>O230117</v>
      </c>
      <c r="Q129" s="160" t="str">
        <f>IFERROR(VLOOKUP(C129,TD!$B$32:$F$36,3,0)," ")</f>
        <v>4503</v>
      </c>
      <c r="R129" s="160">
        <f>IFERROR(VLOOKUP(C129,TD!$B$32:$F$36,4,0)," ")</f>
        <v>20240255</v>
      </c>
      <c r="S129" s="51" t="s">
        <v>183</v>
      </c>
      <c r="T129" s="160" t="str">
        <f>IFERROR(VLOOKUP(S129,TD!$J$33:$K$43,2,0)," ")</f>
        <v>Servicio de formación en gestión del riesgo de incendios para el personal UAECOB</v>
      </c>
      <c r="U129" s="161" t="str">
        <f>CONCATENATE(S129,"-",T129)</f>
        <v>07-Servicio de formación en gestión del riesgo de incendios para el personal UAECOB</v>
      </c>
      <c r="V129" s="51" t="s">
        <v>233</v>
      </c>
      <c r="W129" s="160" t="str">
        <f>IFERROR(VLOOKUP(V129,TD!$N$33:$O$45,2,0)," ")</f>
        <v>Servicio de educación informal</v>
      </c>
      <c r="X129" s="161" t="str">
        <f>CONCATENATE(V129,"_",W129)</f>
        <v>002_Servicio de educación informal</v>
      </c>
      <c r="Y129" s="161" t="str">
        <f>CONCATENATE(U129," ",X129)</f>
        <v>07-Servicio de formación en gestión del riesgo de incendios para el personal UAECOB 002_Servicio de educación informal</v>
      </c>
      <c r="Z129" s="160" t="str">
        <f>CONCATENATE(P129,Q129,R129,S129,V129)</f>
        <v>O23011745032024025507002</v>
      </c>
      <c r="AA129" s="160" t="str">
        <f>IFERROR(VLOOKUP(Y129,TD!$K$46:$L$64,2,0)," ")</f>
        <v>PM/0131/0107/45030020255</v>
      </c>
      <c r="AB129" s="150" t="s">
        <v>138</v>
      </c>
      <c r="AC129" s="162" t="s">
        <v>204</v>
      </c>
    </row>
    <row r="130" spans="2:29" s="28" customFormat="1" ht="99" customHeight="1" x14ac:dyDescent="0.35">
      <c r="B130" s="186">
        <v>20250122</v>
      </c>
      <c r="C130" s="187" t="s">
        <v>209</v>
      </c>
      <c r="D130" s="188" t="s">
        <v>165</v>
      </c>
      <c r="E130" s="189" t="s">
        <v>495</v>
      </c>
      <c r="F130" s="188" t="s">
        <v>935</v>
      </c>
      <c r="G130" s="188" t="s">
        <v>155</v>
      </c>
      <c r="H130" s="190">
        <v>80111600</v>
      </c>
      <c r="I130" s="191">
        <v>4</v>
      </c>
      <c r="J130" s="191">
        <v>8</v>
      </c>
      <c r="K130" s="192">
        <v>0</v>
      </c>
      <c r="L130" s="193">
        <v>63563000</v>
      </c>
      <c r="M130" s="188" t="s">
        <v>473</v>
      </c>
      <c r="N130" s="194" t="s">
        <v>113</v>
      </c>
      <c r="O130" s="189" t="s">
        <v>229</v>
      </c>
      <c r="P130" s="195" t="str">
        <f>IFERROR(VLOOKUP(C130,TD!$B$32:$F$36,2,0)," ")</f>
        <v>O230117</v>
      </c>
      <c r="Q130" s="195" t="str">
        <f>IFERROR(VLOOKUP(C130,TD!$B$32:$F$36,3,0)," ")</f>
        <v>4503</v>
      </c>
      <c r="R130" s="195">
        <f>IFERROR(VLOOKUP(C130,TD!$B$32:$F$36,4,0)," ")</f>
        <v>20240255</v>
      </c>
      <c r="S130" s="189" t="s">
        <v>183</v>
      </c>
      <c r="T130" s="195" t="str">
        <f>IFERROR(VLOOKUP(S130,TD!$J$33:$K$43,2,0)," ")</f>
        <v>Servicio de formación en gestión del riesgo de incendios para el personal UAECOB</v>
      </c>
      <c r="U130" s="161" t="str">
        <f>CONCATENATE(S130,"-",T130)</f>
        <v>07-Servicio de formación en gestión del riesgo de incendios para el personal UAECOB</v>
      </c>
      <c r="V130" s="189" t="s">
        <v>233</v>
      </c>
      <c r="W130" s="195" t="str">
        <f>IFERROR(VLOOKUP(V130,TD!$N$33:$O$45,2,0)," ")</f>
        <v>Servicio de educación informal</v>
      </c>
      <c r="X130" s="161" t="str">
        <f>CONCATENATE(V130,"_",W130)</f>
        <v>002_Servicio de educación informal</v>
      </c>
      <c r="Y130" s="161" t="str">
        <f>CONCATENATE(U130," ",X130)</f>
        <v>07-Servicio de formación en gestión del riesgo de incendios para el personal UAECOB 002_Servicio de educación informal</v>
      </c>
      <c r="Z130" s="195" t="str">
        <f>CONCATENATE(P130,Q130,R130,S130,V130)</f>
        <v>O23011745032024025507002</v>
      </c>
      <c r="AA130" s="195" t="str">
        <f>IFERROR(VLOOKUP(Y130,TD!$K$46:$L$64,2,0)," ")</f>
        <v>PM/0131/0107/45030020255</v>
      </c>
      <c r="AB130" s="194" t="s">
        <v>138</v>
      </c>
      <c r="AC130" s="196" t="s">
        <v>204</v>
      </c>
    </row>
    <row r="131" spans="2:29" s="28" customFormat="1" ht="99" customHeight="1" x14ac:dyDescent="0.35">
      <c r="B131" s="77">
        <v>20250123</v>
      </c>
      <c r="C131" s="50" t="s">
        <v>209</v>
      </c>
      <c r="D131" s="158" t="s">
        <v>165</v>
      </c>
      <c r="E131" s="51" t="s">
        <v>495</v>
      </c>
      <c r="F131" s="158" t="s">
        <v>432</v>
      </c>
      <c r="G131" s="158" t="s">
        <v>156</v>
      </c>
      <c r="H131" s="97">
        <v>80111600</v>
      </c>
      <c r="I131" s="159">
        <v>3</v>
      </c>
      <c r="J131" s="159">
        <v>10</v>
      </c>
      <c r="K131" s="52">
        <v>0</v>
      </c>
      <c r="L131" s="153">
        <f>84368000-10416590-1951410</f>
        <v>72000000</v>
      </c>
      <c r="M131" s="158" t="s">
        <v>473</v>
      </c>
      <c r="N131" s="53" t="s">
        <v>113</v>
      </c>
      <c r="O131" s="51" t="s">
        <v>229</v>
      </c>
      <c r="P131" s="160" t="str">
        <f>IFERROR(VLOOKUP(C131,TD!$B$32:$F$36,2,0)," ")</f>
        <v>O230117</v>
      </c>
      <c r="Q131" s="160" t="str">
        <f>IFERROR(VLOOKUP(C131,TD!$B$32:$F$36,3,0)," ")</f>
        <v>4503</v>
      </c>
      <c r="R131" s="160">
        <f>IFERROR(VLOOKUP(C131,TD!$B$32:$F$36,4,0)," ")</f>
        <v>20240255</v>
      </c>
      <c r="S131" s="51" t="s">
        <v>183</v>
      </c>
      <c r="T131" s="160" t="str">
        <f>IFERROR(VLOOKUP(S131,TD!$J$33:$K$43,2,0)," ")</f>
        <v>Servicio de formación en gestión del riesgo de incendios para el personal UAECOB</v>
      </c>
      <c r="U131" s="161" t="str">
        <f>CONCATENATE(S131,"-",T131)</f>
        <v>07-Servicio de formación en gestión del riesgo de incendios para el personal UAECOB</v>
      </c>
      <c r="V131" s="51" t="s">
        <v>233</v>
      </c>
      <c r="W131" s="160" t="str">
        <f>IFERROR(VLOOKUP(V131,TD!$N$33:$O$45,2,0)," ")</f>
        <v>Servicio de educación informal</v>
      </c>
      <c r="X131" s="161" t="str">
        <f>CONCATENATE(V131,"_",W131)</f>
        <v>002_Servicio de educación informal</v>
      </c>
      <c r="Y131" s="161" t="str">
        <f>CONCATENATE(U131," ",X131)</f>
        <v>07-Servicio de formación en gestión del riesgo de incendios para el personal UAECOB 002_Servicio de educación informal</v>
      </c>
      <c r="Z131" s="160" t="str">
        <f>CONCATENATE(P131,Q131,R131,S131,V131)</f>
        <v>O23011745032024025507002</v>
      </c>
      <c r="AA131" s="160" t="str">
        <f>IFERROR(VLOOKUP(Y131,TD!$K$46:$L$64,2,0)," ")</f>
        <v>PM/0131/0107/45030020255</v>
      </c>
      <c r="AB131" s="150" t="s">
        <v>138</v>
      </c>
      <c r="AC131" s="162" t="s">
        <v>204</v>
      </c>
    </row>
    <row r="132" spans="2:29" s="28" customFormat="1" ht="99" customHeight="1" x14ac:dyDescent="0.35">
      <c r="B132" s="77">
        <v>20250124</v>
      </c>
      <c r="C132" s="50" t="s">
        <v>209</v>
      </c>
      <c r="D132" s="158" t="s">
        <v>165</v>
      </c>
      <c r="E132" s="51" t="s">
        <v>495</v>
      </c>
      <c r="F132" s="158" t="s">
        <v>436</v>
      </c>
      <c r="G132" s="158" t="s">
        <v>155</v>
      </c>
      <c r="H132" s="97">
        <v>80111600</v>
      </c>
      <c r="I132" s="159">
        <v>3</v>
      </c>
      <c r="J132" s="159">
        <v>10</v>
      </c>
      <c r="K132" s="52">
        <v>0</v>
      </c>
      <c r="L132" s="153">
        <f>68549000-29063490-12185510</f>
        <v>27300000</v>
      </c>
      <c r="M132" s="158" t="s">
        <v>473</v>
      </c>
      <c r="N132" s="53" t="s">
        <v>113</v>
      </c>
      <c r="O132" s="51" t="s">
        <v>229</v>
      </c>
      <c r="P132" s="160" t="str">
        <f>IFERROR(VLOOKUP(C132,TD!$B$32:$F$36,2,0)," ")</f>
        <v>O230117</v>
      </c>
      <c r="Q132" s="160" t="str">
        <f>IFERROR(VLOOKUP(C132,TD!$B$32:$F$36,3,0)," ")</f>
        <v>4503</v>
      </c>
      <c r="R132" s="160">
        <f>IFERROR(VLOOKUP(C132,TD!$B$32:$F$36,4,0)," ")</f>
        <v>20240255</v>
      </c>
      <c r="S132" s="51" t="s">
        <v>183</v>
      </c>
      <c r="T132" s="160" t="str">
        <f>IFERROR(VLOOKUP(S132,TD!$J$33:$K$43,2,0)," ")</f>
        <v>Servicio de formación en gestión del riesgo de incendios para el personal UAECOB</v>
      </c>
      <c r="U132" s="161" t="str">
        <f>CONCATENATE(S132,"-",T132)</f>
        <v>07-Servicio de formación en gestión del riesgo de incendios para el personal UAECOB</v>
      </c>
      <c r="V132" s="51" t="s">
        <v>233</v>
      </c>
      <c r="W132" s="160" t="str">
        <f>IFERROR(VLOOKUP(V132,TD!$N$33:$O$45,2,0)," ")</f>
        <v>Servicio de educación informal</v>
      </c>
      <c r="X132" s="161" t="str">
        <f>CONCATENATE(V132,"_",W132)</f>
        <v>002_Servicio de educación informal</v>
      </c>
      <c r="Y132" s="161" t="str">
        <f>CONCATENATE(U132," ",X132)</f>
        <v>07-Servicio de formación en gestión del riesgo de incendios para el personal UAECOB 002_Servicio de educación informal</v>
      </c>
      <c r="Z132" s="160" t="str">
        <f>CONCATENATE(P132,Q132,R132,S132,V132)</f>
        <v>O23011745032024025507002</v>
      </c>
      <c r="AA132" s="160" t="str">
        <f>IFERROR(VLOOKUP(Y132,TD!$K$46:$L$64,2,0)," ")</f>
        <v>PM/0131/0107/45030020255</v>
      </c>
      <c r="AB132" s="150" t="s">
        <v>120</v>
      </c>
      <c r="AC132" s="162" t="s">
        <v>204</v>
      </c>
    </row>
    <row r="133" spans="2:29" s="28" customFormat="1" ht="99" customHeight="1" x14ac:dyDescent="0.35">
      <c r="B133" s="77">
        <v>20250125</v>
      </c>
      <c r="C133" s="50" t="s">
        <v>209</v>
      </c>
      <c r="D133" s="158" t="s">
        <v>165</v>
      </c>
      <c r="E133" s="51" t="s">
        <v>495</v>
      </c>
      <c r="F133" s="158" t="s">
        <v>765</v>
      </c>
      <c r="G133" s="158" t="s">
        <v>155</v>
      </c>
      <c r="H133" s="97">
        <v>80111600</v>
      </c>
      <c r="I133" s="159">
        <v>2</v>
      </c>
      <c r="J133" s="159">
        <v>11</v>
      </c>
      <c r="K133" s="52">
        <v>0</v>
      </c>
      <c r="L133" s="153">
        <f>59163060+3836940</f>
        <v>63000000</v>
      </c>
      <c r="M133" s="158" t="s">
        <v>473</v>
      </c>
      <c r="N133" s="53" t="s">
        <v>113</v>
      </c>
      <c r="O133" s="51" t="s">
        <v>229</v>
      </c>
      <c r="P133" s="160" t="str">
        <f>IFERROR(VLOOKUP(C133,TD!$B$32:$F$36,2,0)," ")</f>
        <v>O230117</v>
      </c>
      <c r="Q133" s="160" t="str">
        <f>IFERROR(VLOOKUP(C133,TD!$B$32:$F$36,3,0)," ")</f>
        <v>4503</v>
      </c>
      <c r="R133" s="160">
        <f>IFERROR(VLOOKUP(C133,TD!$B$32:$F$36,4,0)," ")</f>
        <v>20240255</v>
      </c>
      <c r="S133" s="51" t="s">
        <v>183</v>
      </c>
      <c r="T133" s="160" t="str">
        <f>IFERROR(VLOOKUP(S133,TD!$J$33:$K$43,2,0)," ")</f>
        <v>Servicio de formación en gestión del riesgo de incendios para el personal UAECOB</v>
      </c>
      <c r="U133" s="161" t="str">
        <f>CONCATENATE(S133,"-",T133)</f>
        <v>07-Servicio de formación en gestión del riesgo de incendios para el personal UAECOB</v>
      </c>
      <c r="V133" s="51" t="s">
        <v>233</v>
      </c>
      <c r="W133" s="160" t="str">
        <f>IFERROR(VLOOKUP(V133,TD!$N$33:$O$45,2,0)," ")</f>
        <v>Servicio de educación informal</v>
      </c>
      <c r="X133" s="161" t="str">
        <f>CONCATENATE(V133,"_",W133)</f>
        <v>002_Servicio de educación informal</v>
      </c>
      <c r="Y133" s="161" t="str">
        <f>CONCATENATE(U133," ",X133)</f>
        <v>07-Servicio de formación en gestión del riesgo de incendios para el personal UAECOB 002_Servicio de educación informal</v>
      </c>
      <c r="Z133" s="160" t="str">
        <f>CONCATENATE(P133,Q133,R133,S133,V133)</f>
        <v>O23011745032024025507002</v>
      </c>
      <c r="AA133" s="160" t="str">
        <f>IFERROR(VLOOKUP(Y133,TD!$K$46:$L$64,2,0)," ")</f>
        <v>PM/0131/0107/45030020255</v>
      </c>
      <c r="AB133" s="150" t="s">
        <v>138</v>
      </c>
      <c r="AC133" s="162" t="s">
        <v>204</v>
      </c>
    </row>
    <row r="134" spans="2:29" s="28" customFormat="1" ht="99" customHeight="1" x14ac:dyDescent="0.35">
      <c r="B134" s="77">
        <v>20250126</v>
      </c>
      <c r="C134" s="50" t="s">
        <v>209</v>
      </c>
      <c r="D134" s="158" t="s">
        <v>165</v>
      </c>
      <c r="E134" s="51" t="s">
        <v>495</v>
      </c>
      <c r="F134" s="158" t="s">
        <v>437</v>
      </c>
      <c r="G134" s="158" t="s">
        <v>155</v>
      </c>
      <c r="H134" s="97">
        <v>80111600</v>
      </c>
      <c r="I134" s="159">
        <v>3</v>
      </c>
      <c r="J134" s="159">
        <v>10</v>
      </c>
      <c r="K134" s="52">
        <v>0</v>
      </c>
      <c r="L134" s="153">
        <f>68549000-13949000</f>
        <v>54600000</v>
      </c>
      <c r="M134" s="158" t="s">
        <v>473</v>
      </c>
      <c r="N134" s="53" t="s">
        <v>113</v>
      </c>
      <c r="O134" s="51" t="s">
        <v>229</v>
      </c>
      <c r="P134" s="160" t="str">
        <f>IFERROR(VLOOKUP(C134,TD!$B$32:$F$36,2,0)," ")</f>
        <v>O230117</v>
      </c>
      <c r="Q134" s="160" t="str">
        <f>IFERROR(VLOOKUP(C134,TD!$B$32:$F$36,3,0)," ")</f>
        <v>4503</v>
      </c>
      <c r="R134" s="160">
        <f>IFERROR(VLOOKUP(C134,TD!$B$32:$F$36,4,0)," ")</f>
        <v>20240255</v>
      </c>
      <c r="S134" s="51" t="s">
        <v>183</v>
      </c>
      <c r="T134" s="160" t="str">
        <f>IFERROR(VLOOKUP(S134,TD!$J$33:$K$43,2,0)," ")</f>
        <v>Servicio de formación en gestión del riesgo de incendios para el personal UAECOB</v>
      </c>
      <c r="U134" s="161" t="str">
        <f>CONCATENATE(S134,"-",T134)</f>
        <v>07-Servicio de formación en gestión del riesgo de incendios para el personal UAECOB</v>
      </c>
      <c r="V134" s="51" t="s">
        <v>233</v>
      </c>
      <c r="W134" s="160" t="str">
        <f>IFERROR(VLOOKUP(V134,TD!$N$33:$O$45,2,0)," ")</f>
        <v>Servicio de educación informal</v>
      </c>
      <c r="X134" s="161" t="str">
        <f>CONCATENATE(V134,"_",W134)</f>
        <v>002_Servicio de educación informal</v>
      </c>
      <c r="Y134" s="161" t="str">
        <f>CONCATENATE(U134," ",X134)</f>
        <v>07-Servicio de formación en gestión del riesgo de incendios para el personal UAECOB 002_Servicio de educación informal</v>
      </c>
      <c r="Z134" s="160" t="str">
        <f>CONCATENATE(P134,Q134,R134,S134,V134)</f>
        <v>O23011745032024025507002</v>
      </c>
      <c r="AA134" s="160" t="str">
        <f>IFERROR(VLOOKUP(Y134,TD!$K$46:$L$64,2,0)," ")</f>
        <v>PM/0131/0107/45030020255</v>
      </c>
      <c r="AB134" s="150" t="s">
        <v>138</v>
      </c>
      <c r="AC134" s="162" t="s">
        <v>204</v>
      </c>
    </row>
    <row r="135" spans="2:29" s="28" customFormat="1" ht="99" customHeight="1" x14ac:dyDescent="0.35">
      <c r="B135" s="77">
        <v>20250127</v>
      </c>
      <c r="C135" s="50" t="s">
        <v>209</v>
      </c>
      <c r="D135" s="158" t="s">
        <v>165</v>
      </c>
      <c r="E135" s="51" t="s">
        <v>495</v>
      </c>
      <c r="F135" s="158" t="s">
        <v>438</v>
      </c>
      <c r="G135" s="158" t="s">
        <v>155</v>
      </c>
      <c r="H135" s="97">
        <v>80111600</v>
      </c>
      <c r="I135" s="159">
        <v>3</v>
      </c>
      <c r="J135" s="159">
        <v>10</v>
      </c>
      <c r="K135" s="52">
        <v>0</v>
      </c>
      <c r="L135" s="153">
        <f>57697166-17610266</f>
        <v>40086900</v>
      </c>
      <c r="M135" s="158" t="s">
        <v>473</v>
      </c>
      <c r="N135" s="53" t="s">
        <v>113</v>
      </c>
      <c r="O135" s="51" t="s">
        <v>229</v>
      </c>
      <c r="P135" s="160" t="str">
        <f>IFERROR(VLOOKUP(C135,TD!$B$32:$F$36,2,0)," ")</f>
        <v>O230117</v>
      </c>
      <c r="Q135" s="160" t="str">
        <f>IFERROR(VLOOKUP(C135,TD!$B$32:$F$36,3,0)," ")</f>
        <v>4503</v>
      </c>
      <c r="R135" s="160">
        <f>IFERROR(VLOOKUP(C135,TD!$B$32:$F$36,4,0)," ")</f>
        <v>20240255</v>
      </c>
      <c r="S135" s="51" t="s">
        <v>183</v>
      </c>
      <c r="T135" s="160" t="str">
        <f>IFERROR(VLOOKUP(S135,TD!$J$33:$K$43,2,0)," ")</f>
        <v>Servicio de formación en gestión del riesgo de incendios para el personal UAECOB</v>
      </c>
      <c r="U135" s="161" t="str">
        <f>CONCATENATE(S135,"-",T135)</f>
        <v>07-Servicio de formación en gestión del riesgo de incendios para el personal UAECOB</v>
      </c>
      <c r="V135" s="51" t="s">
        <v>233</v>
      </c>
      <c r="W135" s="160" t="str">
        <f>IFERROR(VLOOKUP(V135,TD!$N$33:$O$45,2,0)," ")</f>
        <v>Servicio de educación informal</v>
      </c>
      <c r="X135" s="161" t="str">
        <f>CONCATENATE(V135,"_",W135)</f>
        <v>002_Servicio de educación informal</v>
      </c>
      <c r="Y135" s="161" t="str">
        <f>CONCATENATE(U135," ",X135)</f>
        <v>07-Servicio de formación en gestión del riesgo de incendios para el personal UAECOB 002_Servicio de educación informal</v>
      </c>
      <c r="Z135" s="160" t="str">
        <f>CONCATENATE(P135,Q135,R135,S135,V135)</f>
        <v>O23011745032024025507002</v>
      </c>
      <c r="AA135" s="160" t="str">
        <f>IFERROR(VLOOKUP(Y135,TD!$K$46:$L$64,2,0)," ")</f>
        <v>PM/0131/0107/45030020255</v>
      </c>
      <c r="AB135" s="150" t="s">
        <v>138</v>
      </c>
      <c r="AC135" s="162" t="s">
        <v>204</v>
      </c>
    </row>
    <row r="136" spans="2:29" s="28" customFormat="1" ht="99" customHeight="1" x14ac:dyDescent="0.35">
      <c r="B136" s="77">
        <v>20250128</v>
      </c>
      <c r="C136" s="50" t="s">
        <v>209</v>
      </c>
      <c r="D136" s="158" t="s">
        <v>165</v>
      </c>
      <c r="E136" s="51" t="s">
        <v>495</v>
      </c>
      <c r="F136" s="158" t="s">
        <v>438</v>
      </c>
      <c r="G136" s="158" t="s">
        <v>155</v>
      </c>
      <c r="H136" s="97">
        <v>80111600</v>
      </c>
      <c r="I136" s="159">
        <v>3</v>
      </c>
      <c r="J136" s="159">
        <v>10</v>
      </c>
      <c r="K136" s="52">
        <v>0</v>
      </c>
      <c r="L136" s="153">
        <f>57697166-1255224-7613267</f>
        <v>48828675</v>
      </c>
      <c r="M136" s="158" t="s">
        <v>473</v>
      </c>
      <c r="N136" s="53" t="s">
        <v>113</v>
      </c>
      <c r="O136" s="51" t="s">
        <v>229</v>
      </c>
      <c r="P136" s="160" t="str">
        <f>IFERROR(VLOOKUP(C136,TD!$B$32:$F$36,2,0)," ")</f>
        <v>O230117</v>
      </c>
      <c r="Q136" s="160" t="str">
        <f>IFERROR(VLOOKUP(C136,TD!$B$32:$F$36,3,0)," ")</f>
        <v>4503</v>
      </c>
      <c r="R136" s="160">
        <f>IFERROR(VLOOKUP(C136,TD!$B$32:$F$36,4,0)," ")</f>
        <v>20240255</v>
      </c>
      <c r="S136" s="51" t="s">
        <v>183</v>
      </c>
      <c r="T136" s="160" t="str">
        <f>IFERROR(VLOOKUP(S136,TD!$J$33:$K$43,2,0)," ")</f>
        <v>Servicio de formación en gestión del riesgo de incendios para el personal UAECOB</v>
      </c>
      <c r="U136" s="161" t="str">
        <f>CONCATENATE(S136,"-",T136)</f>
        <v>07-Servicio de formación en gestión del riesgo de incendios para el personal UAECOB</v>
      </c>
      <c r="V136" s="51" t="s">
        <v>233</v>
      </c>
      <c r="W136" s="160" t="str">
        <f>IFERROR(VLOOKUP(V136,TD!$N$33:$O$45,2,0)," ")</f>
        <v>Servicio de educación informal</v>
      </c>
      <c r="X136" s="161" t="str">
        <f>CONCATENATE(V136,"_",W136)</f>
        <v>002_Servicio de educación informal</v>
      </c>
      <c r="Y136" s="161" t="str">
        <f>CONCATENATE(U136," ",X136)</f>
        <v>07-Servicio de formación en gestión del riesgo de incendios para el personal UAECOB 002_Servicio de educación informal</v>
      </c>
      <c r="Z136" s="160" t="str">
        <f>CONCATENATE(P136,Q136,R136,S136,V136)</f>
        <v>O23011745032024025507002</v>
      </c>
      <c r="AA136" s="160" t="str">
        <f>IFERROR(VLOOKUP(Y136,TD!$K$46:$L$64,2,0)," ")</f>
        <v>PM/0131/0107/45030020255</v>
      </c>
      <c r="AB136" s="150" t="s">
        <v>138</v>
      </c>
      <c r="AC136" s="162" t="s">
        <v>204</v>
      </c>
    </row>
    <row r="137" spans="2:29" s="28" customFormat="1" ht="99" customHeight="1" x14ac:dyDescent="0.35">
      <c r="B137" s="77">
        <v>20250129</v>
      </c>
      <c r="C137" s="50" t="s">
        <v>209</v>
      </c>
      <c r="D137" s="158" t="s">
        <v>165</v>
      </c>
      <c r="E137" s="51" t="s">
        <v>495</v>
      </c>
      <c r="F137" s="158" t="s">
        <v>439</v>
      </c>
      <c r="G137" s="158" t="s">
        <v>155</v>
      </c>
      <c r="H137" s="97">
        <v>80111600</v>
      </c>
      <c r="I137" s="159">
        <v>4</v>
      </c>
      <c r="J137" s="159">
        <v>9</v>
      </c>
      <c r="K137" s="52">
        <v>0</v>
      </c>
      <c r="L137" s="153">
        <f>75931200-12931200</f>
        <v>63000000</v>
      </c>
      <c r="M137" s="158" t="s">
        <v>473</v>
      </c>
      <c r="N137" s="53" t="s">
        <v>113</v>
      </c>
      <c r="O137" s="51" t="s">
        <v>229</v>
      </c>
      <c r="P137" s="160" t="str">
        <f>IFERROR(VLOOKUP(C137,TD!$B$32:$F$36,2,0)," ")</f>
        <v>O230117</v>
      </c>
      <c r="Q137" s="160" t="str">
        <f>IFERROR(VLOOKUP(C137,TD!$B$32:$F$36,3,0)," ")</f>
        <v>4503</v>
      </c>
      <c r="R137" s="160">
        <f>IFERROR(VLOOKUP(C137,TD!$B$32:$F$36,4,0)," ")</f>
        <v>20240255</v>
      </c>
      <c r="S137" s="51" t="s">
        <v>183</v>
      </c>
      <c r="T137" s="160" t="str">
        <f>IFERROR(VLOOKUP(S137,TD!$J$33:$K$43,2,0)," ")</f>
        <v>Servicio de formación en gestión del riesgo de incendios para el personal UAECOB</v>
      </c>
      <c r="U137" s="161" t="str">
        <f>CONCATENATE(S137,"-",T137)</f>
        <v>07-Servicio de formación en gestión del riesgo de incendios para el personal UAECOB</v>
      </c>
      <c r="V137" s="51" t="s">
        <v>233</v>
      </c>
      <c r="W137" s="160" t="str">
        <f>IFERROR(VLOOKUP(V137,TD!$N$33:$O$45,2,0)," ")</f>
        <v>Servicio de educación informal</v>
      </c>
      <c r="X137" s="161" t="str">
        <f>CONCATENATE(V137,"_",W137)</f>
        <v>002_Servicio de educación informal</v>
      </c>
      <c r="Y137" s="161" t="str">
        <f>CONCATENATE(U137," ",X137)</f>
        <v>07-Servicio de formación en gestión del riesgo de incendios para el personal UAECOB 002_Servicio de educación informal</v>
      </c>
      <c r="Z137" s="160" t="str">
        <f>CONCATENATE(P137,Q137,R137,S137,V137)</f>
        <v>O23011745032024025507002</v>
      </c>
      <c r="AA137" s="160" t="str">
        <f>IFERROR(VLOOKUP(Y137,TD!$K$46:$L$64,2,0)," ")</f>
        <v>PM/0131/0107/45030020255</v>
      </c>
      <c r="AB137" s="150" t="s">
        <v>120</v>
      </c>
      <c r="AC137" s="162" t="s">
        <v>204</v>
      </c>
    </row>
    <row r="138" spans="2:29" s="28" customFormat="1" ht="99" customHeight="1" x14ac:dyDescent="0.35">
      <c r="B138" s="77">
        <v>20250130</v>
      </c>
      <c r="C138" s="50" t="s">
        <v>209</v>
      </c>
      <c r="D138" s="158" t="s">
        <v>165</v>
      </c>
      <c r="E138" s="51" t="s">
        <v>495</v>
      </c>
      <c r="F138" s="158" t="s">
        <v>496</v>
      </c>
      <c r="G138" s="158" t="s">
        <v>156</v>
      </c>
      <c r="H138" s="97">
        <v>80111600</v>
      </c>
      <c r="I138" s="159">
        <v>2</v>
      </c>
      <c r="J138" s="159">
        <v>11</v>
      </c>
      <c r="K138" s="52">
        <v>0</v>
      </c>
      <c r="L138" s="153">
        <f>30045554-2131554</f>
        <v>27914000</v>
      </c>
      <c r="M138" s="158" t="s">
        <v>473</v>
      </c>
      <c r="N138" s="53" t="s">
        <v>113</v>
      </c>
      <c r="O138" s="51" t="s">
        <v>229</v>
      </c>
      <c r="P138" s="160" t="str">
        <f>IFERROR(VLOOKUP(C138,TD!$B$32:$F$36,2,0)," ")</f>
        <v>O230117</v>
      </c>
      <c r="Q138" s="160" t="str">
        <f>IFERROR(VLOOKUP(C138,TD!$B$32:$F$36,3,0)," ")</f>
        <v>4503</v>
      </c>
      <c r="R138" s="160">
        <f>IFERROR(VLOOKUP(C138,TD!$B$32:$F$36,4,0)," ")</f>
        <v>20240255</v>
      </c>
      <c r="S138" s="51" t="s">
        <v>183</v>
      </c>
      <c r="T138" s="160" t="str">
        <f>IFERROR(VLOOKUP(S138,TD!$J$33:$K$43,2,0)," ")</f>
        <v>Servicio de formación en gestión del riesgo de incendios para el personal UAECOB</v>
      </c>
      <c r="U138" s="161" t="str">
        <f>CONCATENATE(S138,"-",T138)</f>
        <v>07-Servicio de formación en gestión del riesgo de incendios para el personal UAECOB</v>
      </c>
      <c r="V138" s="51" t="s">
        <v>233</v>
      </c>
      <c r="W138" s="160" t="str">
        <f>IFERROR(VLOOKUP(V138,TD!$N$33:$O$45,2,0)," ")</f>
        <v>Servicio de educación informal</v>
      </c>
      <c r="X138" s="161" t="str">
        <f>CONCATENATE(V138,"_",W138)</f>
        <v>002_Servicio de educación informal</v>
      </c>
      <c r="Y138" s="161" t="str">
        <f>CONCATENATE(U138," ",X138)</f>
        <v>07-Servicio de formación en gestión del riesgo de incendios para el personal UAECOB 002_Servicio de educación informal</v>
      </c>
      <c r="Z138" s="160" t="str">
        <f>CONCATENATE(P138,Q138,R138,S138,V138)</f>
        <v>O23011745032024025507002</v>
      </c>
      <c r="AA138" s="160" t="str">
        <f>IFERROR(VLOOKUP(Y138,TD!$K$46:$L$64,2,0)," ")</f>
        <v>PM/0131/0107/45030020255</v>
      </c>
      <c r="AB138" s="150" t="s">
        <v>138</v>
      </c>
      <c r="AC138" s="162" t="s">
        <v>204</v>
      </c>
    </row>
    <row r="139" spans="2:29" s="28" customFormat="1" ht="99" customHeight="1" x14ac:dyDescent="0.35">
      <c r="B139" s="77">
        <v>20250132</v>
      </c>
      <c r="C139" s="50" t="s">
        <v>209</v>
      </c>
      <c r="D139" s="158" t="s">
        <v>165</v>
      </c>
      <c r="E139" s="51" t="s">
        <v>495</v>
      </c>
      <c r="F139" s="158" t="s">
        <v>767</v>
      </c>
      <c r="G139" s="158" t="s">
        <v>155</v>
      </c>
      <c r="H139" s="97">
        <v>80111600</v>
      </c>
      <c r="I139" s="159">
        <v>2</v>
      </c>
      <c r="J139" s="159">
        <v>11</v>
      </c>
      <c r="K139" s="52">
        <v>0</v>
      </c>
      <c r="L139" s="153">
        <f>75403900-16427900</f>
        <v>58976000</v>
      </c>
      <c r="M139" s="158" t="s">
        <v>473</v>
      </c>
      <c r="N139" s="53" t="s">
        <v>113</v>
      </c>
      <c r="O139" s="51" t="s">
        <v>229</v>
      </c>
      <c r="P139" s="160" t="str">
        <f>IFERROR(VLOOKUP(C139,TD!$B$32:$F$36,2,0)," ")</f>
        <v>O230117</v>
      </c>
      <c r="Q139" s="160" t="str">
        <f>IFERROR(VLOOKUP(C139,TD!$B$32:$F$36,3,0)," ")</f>
        <v>4503</v>
      </c>
      <c r="R139" s="160">
        <f>IFERROR(VLOOKUP(C139,TD!$B$32:$F$36,4,0)," ")</f>
        <v>20240255</v>
      </c>
      <c r="S139" s="51" t="s">
        <v>183</v>
      </c>
      <c r="T139" s="160" t="str">
        <f>IFERROR(VLOOKUP(S139,TD!$J$33:$K$43,2,0)," ")</f>
        <v>Servicio de formación en gestión del riesgo de incendios para el personal UAECOB</v>
      </c>
      <c r="U139" s="161" t="str">
        <f>CONCATENATE(S139,"-",T139)</f>
        <v>07-Servicio de formación en gestión del riesgo de incendios para el personal UAECOB</v>
      </c>
      <c r="V139" s="51" t="s">
        <v>233</v>
      </c>
      <c r="W139" s="160" t="str">
        <f>IFERROR(VLOOKUP(V139,TD!$N$33:$O$45,2,0)," ")</f>
        <v>Servicio de educación informal</v>
      </c>
      <c r="X139" s="161" t="str">
        <f>CONCATENATE(V139,"_",W139)</f>
        <v>002_Servicio de educación informal</v>
      </c>
      <c r="Y139" s="161" t="str">
        <f>CONCATENATE(U139," ",X139)</f>
        <v>07-Servicio de formación en gestión del riesgo de incendios para el personal UAECOB 002_Servicio de educación informal</v>
      </c>
      <c r="Z139" s="160" t="str">
        <f>CONCATENATE(P139,Q139,R139,S139,V139)</f>
        <v>O23011745032024025507002</v>
      </c>
      <c r="AA139" s="160" t="str">
        <f>IFERROR(VLOOKUP(Y139,TD!$K$46:$L$64,2,0)," ")</f>
        <v>PM/0131/0107/45030020255</v>
      </c>
      <c r="AB139" s="150" t="s">
        <v>138</v>
      </c>
      <c r="AC139" s="162" t="s">
        <v>204</v>
      </c>
    </row>
    <row r="140" spans="2:29" s="28" customFormat="1" ht="99" customHeight="1" x14ac:dyDescent="0.35">
      <c r="B140" s="77">
        <v>20250133</v>
      </c>
      <c r="C140" s="50" t="s">
        <v>209</v>
      </c>
      <c r="D140" s="158" t="s">
        <v>165</v>
      </c>
      <c r="E140" s="51" t="s">
        <v>495</v>
      </c>
      <c r="F140" s="158" t="s">
        <v>457</v>
      </c>
      <c r="G140" s="158" t="s">
        <v>155</v>
      </c>
      <c r="H140" s="97">
        <v>80111600</v>
      </c>
      <c r="I140" s="159">
        <v>3</v>
      </c>
      <c r="J140" s="159">
        <v>10</v>
      </c>
      <c r="K140" s="52">
        <v>0</v>
      </c>
      <c r="L140" s="153">
        <f>73822000-9413579-15408421</f>
        <v>49000000</v>
      </c>
      <c r="M140" s="158" t="s">
        <v>473</v>
      </c>
      <c r="N140" s="53" t="s">
        <v>113</v>
      </c>
      <c r="O140" s="51" t="s">
        <v>229</v>
      </c>
      <c r="P140" s="160" t="str">
        <f>IFERROR(VLOOKUP(C140,TD!$B$32:$F$36,2,0)," ")</f>
        <v>O230117</v>
      </c>
      <c r="Q140" s="160" t="str">
        <f>IFERROR(VLOOKUP(C140,TD!$B$32:$F$36,3,0)," ")</f>
        <v>4503</v>
      </c>
      <c r="R140" s="160">
        <f>IFERROR(VLOOKUP(C140,TD!$B$32:$F$36,4,0)," ")</f>
        <v>20240255</v>
      </c>
      <c r="S140" s="51" t="s">
        <v>183</v>
      </c>
      <c r="T140" s="160" t="str">
        <f>IFERROR(VLOOKUP(S140,TD!$J$33:$K$43,2,0)," ")</f>
        <v>Servicio de formación en gestión del riesgo de incendios para el personal UAECOB</v>
      </c>
      <c r="U140" s="161" t="str">
        <f>CONCATENATE(S140,"-",T140)</f>
        <v>07-Servicio de formación en gestión del riesgo de incendios para el personal UAECOB</v>
      </c>
      <c r="V140" s="51" t="s">
        <v>233</v>
      </c>
      <c r="W140" s="160" t="str">
        <f>IFERROR(VLOOKUP(V140,TD!$N$33:$O$45,2,0)," ")</f>
        <v>Servicio de educación informal</v>
      </c>
      <c r="X140" s="161" t="str">
        <f>CONCATENATE(V140,"_",W140)</f>
        <v>002_Servicio de educación informal</v>
      </c>
      <c r="Y140" s="161" t="str">
        <f>CONCATENATE(U140," ",X140)</f>
        <v>07-Servicio de formación en gestión del riesgo de incendios para el personal UAECOB 002_Servicio de educación informal</v>
      </c>
      <c r="Z140" s="160" t="str">
        <f>CONCATENATE(P140,Q140,R140,S140,V140)</f>
        <v>O23011745032024025507002</v>
      </c>
      <c r="AA140" s="160" t="str">
        <f>IFERROR(VLOOKUP(Y140,TD!$K$46:$L$64,2,0)," ")</f>
        <v>PM/0131/0107/45030020255</v>
      </c>
      <c r="AB140" s="150" t="s">
        <v>138</v>
      </c>
      <c r="AC140" s="162" t="s">
        <v>204</v>
      </c>
    </row>
    <row r="141" spans="2:29" s="28" customFormat="1" ht="99" customHeight="1" x14ac:dyDescent="0.35">
      <c r="B141" s="77">
        <v>20250135</v>
      </c>
      <c r="C141" s="50" t="s">
        <v>209</v>
      </c>
      <c r="D141" s="158" t="s">
        <v>165</v>
      </c>
      <c r="E141" s="51" t="s">
        <v>495</v>
      </c>
      <c r="F141" s="158" t="s">
        <v>458</v>
      </c>
      <c r="G141" s="158" t="s">
        <v>155</v>
      </c>
      <c r="H141" s="97">
        <v>80111600</v>
      </c>
      <c r="I141" s="159">
        <v>3</v>
      </c>
      <c r="J141" s="159">
        <v>10</v>
      </c>
      <c r="K141" s="52">
        <v>0</v>
      </c>
      <c r="L141" s="153">
        <f>52730000-36570966-4492367</f>
        <v>11666667</v>
      </c>
      <c r="M141" s="158" t="s">
        <v>473</v>
      </c>
      <c r="N141" s="53" t="s">
        <v>113</v>
      </c>
      <c r="O141" s="51" t="s">
        <v>229</v>
      </c>
      <c r="P141" s="160" t="str">
        <f>IFERROR(VLOOKUP(C141,TD!$B$32:$F$36,2,0)," ")</f>
        <v>O230117</v>
      </c>
      <c r="Q141" s="160" t="str">
        <f>IFERROR(VLOOKUP(C141,TD!$B$32:$F$36,3,0)," ")</f>
        <v>4503</v>
      </c>
      <c r="R141" s="160">
        <f>IFERROR(VLOOKUP(C141,TD!$B$32:$F$36,4,0)," ")</f>
        <v>20240255</v>
      </c>
      <c r="S141" s="51" t="s">
        <v>183</v>
      </c>
      <c r="T141" s="160" t="str">
        <f>IFERROR(VLOOKUP(S141,TD!$J$33:$K$43,2,0)," ")</f>
        <v>Servicio de formación en gestión del riesgo de incendios para el personal UAECOB</v>
      </c>
      <c r="U141" s="161" t="str">
        <f>CONCATENATE(S141,"-",T141)</f>
        <v>07-Servicio de formación en gestión del riesgo de incendios para el personal UAECOB</v>
      </c>
      <c r="V141" s="51" t="s">
        <v>233</v>
      </c>
      <c r="W141" s="160" t="str">
        <f>IFERROR(VLOOKUP(V141,TD!$N$33:$O$45,2,0)," ")</f>
        <v>Servicio de educación informal</v>
      </c>
      <c r="X141" s="161" t="str">
        <f>CONCATENATE(V141,"_",W141)</f>
        <v>002_Servicio de educación informal</v>
      </c>
      <c r="Y141" s="161" t="str">
        <f>CONCATENATE(U141," ",X141)</f>
        <v>07-Servicio de formación en gestión del riesgo de incendios para el personal UAECOB 002_Servicio de educación informal</v>
      </c>
      <c r="Z141" s="160" t="str">
        <f>CONCATENATE(P141,Q141,R141,S141,V141)</f>
        <v>O23011745032024025507002</v>
      </c>
      <c r="AA141" s="160" t="str">
        <f>IFERROR(VLOOKUP(Y141,TD!$K$46:$L$64,2,0)," ")</f>
        <v>PM/0131/0107/45030020255</v>
      </c>
      <c r="AB141" s="150" t="s">
        <v>138</v>
      </c>
      <c r="AC141" s="162" t="s">
        <v>204</v>
      </c>
    </row>
    <row r="142" spans="2:29" s="28" customFormat="1" ht="99" customHeight="1" x14ac:dyDescent="0.35">
      <c r="B142" s="77">
        <v>20250136</v>
      </c>
      <c r="C142" s="50" t="s">
        <v>209</v>
      </c>
      <c r="D142" s="158" t="s">
        <v>165</v>
      </c>
      <c r="E142" s="51" t="s">
        <v>495</v>
      </c>
      <c r="F142" s="158" t="s">
        <v>460</v>
      </c>
      <c r="G142" s="158" t="s">
        <v>155</v>
      </c>
      <c r="H142" s="97">
        <v>80111600</v>
      </c>
      <c r="I142" s="159">
        <v>3</v>
      </c>
      <c r="J142" s="159">
        <v>10</v>
      </c>
      <c r="K142" s="52">
        <v>0</v>
      </c>
      <c r="L142" s="153">
        <f>58003000-19503000</f>
        <v>38500000</v>
      </c>
      <c r="M142" s="158" t="s">
        <v>473</v>
      </c>
      <c r="N142" s="53" t="s">
        <v>113</v>
      </c>
      <c r="O142" s="51" t="s">
        <v>229</v>
      </c>
      <c r="P142" s="160" t="str">
        <f>IFERROR(VLOOKUP(C142,TD!$B$32:$F$36,2,0)," ")</f>
        <v>O230117</v>
      </c>
      <c r="Q142" s="160" t="str">
        <f>IFERROR(VLOOKUP(C142,TD!$B$32:$F$36,3,0)," ")</f>
        <v>4503</v>
      </c>
      <c r="R142" s="160">
        <f>IFERROR(VLOOKUP(C142,TD!$B$32:$F$36,4,0)," ")</f>
        <v>20240255</v>
      </c>
      <c r="S142" s="51" t="s">
        <v>183</v>
      </c>
      <c r="T142" s="160" t="str">
        <f>IFERROR(VLOOKUP(S142,TD!$J$33:$K$43,2,0)," ")</f>
        <v>Servicio de formación en gestión del riesgo de incendios para el personal UAECOB</v>
      </c>
      <c r="U142" s="161" t="str">
        <f>CONCATENATE(S142,"-",T142)</f>
        <v>07-Servicio de formación en gestión del riesgo de incendios para el personal UAECOB</v>
      </c>
      <c r="V142" s="51" t="s">
        <v>233</v>
      </c>
      <c r="W142" s="160" t="str">
        <f>IFERROR(VLOOKUP(V142,TD!$N$33:$O$45,2,0)," ")</f>
        <v>Servicio de educación informal</v>
      </c>
      <c r="X142" s="161" t="str">
        <f>CONCATENATE(V142,"_",W142)</f>
        <v>002_Servicio de educación informal</v>
      </c>
      <c r="Y142" s="161" t="str">
        <f>CONCATENATE(U142," ",X142)</f>
        <v>07-Servicio de formación en gestión del riesgo de incendios para el personal UAECOB 002_Servicio de educación informal</v>
      </c>
      <c r="Z142" s="160" t="str">
        <f>CONCATENATE(P142,Q142,R142,S142,V142)</f>
        <v>O23011745032024025507002</v>
      </c>
      <c r="AA142" s="160" t="str">
        <f>IFERROR(VLOOKUP(Y142,TD!$K$46:$L$64,2,0)," ")</f>
        <v>PM/0131/0107/45030020255</v>
      </c>
      <c r="AB142" s="150" t="s">
        <v>138</v>
      </c>
      <c r="AC142" s="162" t="s">
        <v>204</v>
      </c>
    </row>
    <row r="143" spans="2:29" s="28" customFormat="1" ht="99" customHeight="1" x14ac:dyDescent="0.35">
      <c r="B143" s="77">
        <v>20250138</v>
      </c>
      <c r="C143" s="50" t="s">
        <v>209</v>
      </c>
      <c r="D143" s="158" t="s">
        <v>165</v>
      </c>
      <c r="E143" s="51" t="s">
        <v>495</v>
      </c>
      <c r="F143" s="158" t="s">
        <v>881</v>
      </c>
      <c r="G143" s="158" t="s">
        <v>156</v>
      </c>
      <c r="H143" s="97">
        <v>80111600</v>
      </c>
      <c r="I143" s="159">
        <v>3</v>
      </c>
      <c r="J143" s="159">
        <v>10</v>
      </c>
      <c r="K143" s="52">
        <v>0</v>
      </c>
      <c r="L143" s="153">
        <f>32806497-19605807</f>
        <v>13200690</v>
      </c>
      <c r="M143" s="158" t="s">
        <v>473</v>
      </c>
      <c r="N143" s="53" t="s">
        <v>113</v>
      </c>
      <c r="O143" s="51" t="s">
        <v>229</v>
      </c>
      <c r="P143" s="160" t="str">
        <f>IFERROR(VLOOKUP(C143,TD!$B$32:$F$36,2,0)," ")</f>
        <v>O230117</v>
      </c>
      <c r="Q143" s="160" t="str">
        <f>IFERROR(VLOOKUP(C143,TD!$B$32:$F$36,3,0)," ")</f>
        <v>4503</v>
      </c>
      <c r="R143" s="160">
        <f>IFERROR(VLOOKUP(C143,TD!$B$32:$F$36,4,0)," ")</f>
        <v>20240255</v>
      </c>
      <c r="S143" s="51" t="s">
        <v>183</v>
      </c>
      <c r="T143" s="160" t="str">
        <f>IFERROR(VLOOKUP(S143,TD!$J$33:$K$43,2,0)," ")</f>
        <v>Servicio de formación en gestión del riesgo de incendios para el personal UAECOB</v>
      </c>
      <c r="U143" s="161" t="str">
        <f>CONCATENATE(S143,"-",T143)</f>
        <v>07-Servicio de formación en gestión del riesgo de incendios para el personal UAECOB</v>
      </c>
      <c r="V143" s="51" t="s">
        <v>233</v>
      </c>
      <c r="W143" s="160" t="str">
        <f>IFERROR(VLOOKUP(V143,TD!$N$33:$O$45,2,0)," ")</f>
        <v>Servicio de educación informal</v>
      </c>
      <c r="X143" s="161" t="str">
        <f>CONCATENATE(V143,"_",W143)</f>
        <v>002_Servicio de educación informal</v>
      </c>
      <c r="Y143" s="161" t="str">
        <f>CONCATENATE(U143," ",X143)</f>
        <v>07-Servicio de formación en gestión del riesgo de incendios para el personal UAECOB 002_Servicio de educación informal</v>
      </c>
      <c r="Z143" s="160" t="str">
        <f>CONCATENATE(P143,Q143,R143,S143,V143)</f>
        <v>O23011745032024025507002</v>
      </c>
      <c r="AA143" s="160" t="str">
        <f>IFERROR(VLOOKUP(Y143,TD!$K$46:$L$64,2,0)," ")</f>
        <v>PM/0131/0107/45030020255</v>
      </c>
      <c r="AB143" s="150" t="s">
        <v>138</v>
      </c>
      <c r="AC143" s="162" t="s">
        <v>204</v>
      </c>
    </row>
    <row r="144" spans="2:29" s="28" customFormat="1" ht="99" customHeight="1" x14ac:dyDescent="0.35">
      <c r="B144" s="77">
        <v>20250139</v>
      </c>
      <c r="C144" s="50" t="s">
        <v>209</v>
      </c>
      <c r="D144" s="158" t="s">
        <v>165</v>
      </c>
      <c r="E144" s="51" t="s">
        <v>495</v>
      </c>
      <c r="F144" s="158" t="s">
        <v>463</v>
      </c>
      <c r="G144" s="158" t="s">
        <v>133</v>
      </c>
      <c r="H144" s="97">
        <v>80111600</v>
      </c>
      <c r="I144" s="159">
        <v>3</v>
      </c>
      <c r="J144" s="159">
        <v>10</v>
      </c>
      <c r="K144" s="52">
        <v>0</v>
      </c>
      <c r="L144" s="153">
        <v>57697166</v>
      </c>
      <c r="M144" s="158" t="s">
        <v>473</v>
      </c>
      <c r="N144" s="53" t="s">
        <v>113</v>
      </c>
      <c r="O144" s="51" t="s">
        <v>229</v>
      </c>
      <c r="P144" s="160" t="str">
        <f>IFERROR(VLOOKUP(C144,TD!$B$32:$F$36,2,0)," ")</f>
        <v>O230117</v>
      </c>
      <c r="Q144" s="160" t="str">
        <f>IFERROR(VLOOKUP(C144,TD!$B$32:$F$36,3,0)," ")</f>
        <v>4503</v>
      </c>
      <c r="R144" s="160">
        <f>IFERROR(VLOOKUP(C144,TD!$B$32:$F$36,4,0)," ")</f>
        <v>20240255</v>
      </c>
      <c r="S144" s="51" t="s">
        <v>183</v>
      </c>
      <c r="T144" s="160" t="str">
        <f>IFERROR(VLOOKUP(S144,TD!$J$33:$K$43,2,0)," ")</f>
        <v>Servicio de formación en gestión del riesgo de incendios para el personal UAECOB</v>
      </c>
      <c r="U144" s="161" t="str">
        <f>CONCATENATE(S144,"-",T144)</f>
        <v>07-Servicio de formación en gestión del riesgo de incendios para el personal UAECOB</v>
      </c>
      <c r="V144" s="51" t="s">
        <v>233</v>
      </c>
      <c r="W144" s="160" t="str">
        <f>IFERROR(VLOOKUP(V144,TD!$N$33:$O$45,2,0)," ")</f>
        <v>Servicio de educación informal</v>
      </c>
      <c r="X144" s="161" t="str">
        <f>CONCATENATE(V144,"_",W144)</f>
        <v>002_Servicio de educación informal</v>
      </c>
      <c r="Y144" s="161" t="str">
        <f>CONCATENATE(U144," ",X144)</f>
        <v>07-Servicio de formación en gestión del riesgo de incendios para el personal UAECOB 002_Servicio de educación informal</v>
      </c>
      <c r="Z144" s="160" t="str">
        <f>CONCATENATE(P144,Q144,R144,S144,V144)</f>
        <v>O23011745032024025507002</v>
      </c>
      <c r="AA144" s="160" t="str">
        <f>IFERROR(VLOOKUP(Y144,TD!$K$46:$L$64,2,0)," ")</f>
        <v>PM/0131/0107/45030020255</v>
      </c>
      <c r="AB144" s="150" t="s">
        <v>138</v>
      </c>
      <c r="AC144" s="162" t="s">
        <v>204</v>
      </c>
    </row>
    <row r="145" spans="2:29" s="28" customFormat="1" ht="99" customHeight="1" x14ac:dyDescent="0.35">
      <c r="B145" s="186">
        <v>20250142</v>
      </c>
      <c r="C145" s="187" t="s">
        <v>209</v>
      </c>
      <c r="D145" s="188" t="s">
        <v>165</v>
      </c>
      <c r="E145" s="189" t="s">
        <v>495</v>
      </c>
      <c r="F145" s="188" t="s">
        <v>936</v>
      </c>
      <c r="G145" s="188" t="s">
        <v>96</v>
      </c>
      <c r="H145" s="190" t="s">
        <v>497</v>
      </c>
      <c r="I145" s="191">
        <v>5</v>
      </c>
      <c r="J145" s="191">
        <v>6</v>
      </c>
      <c r="K145" s="192">
        <v>0</v>
      </c>
      <c r="L145" s="193">
        <f>500000000-260000000</f>
        <v>240000000</v>
      </c>
      <c r="M145" s="188" t="s">
        <v>473</v>
      </c>
      <c r="N145" s="194" t="s">
        <v>90</v>
      </c>
      <c r="O145" s="189" t="s">
        <v>229</v>
      </c>
      <c r="P145" s="195" t="str">
        <f>IFERROR(VLOOKUP(C145,TD!$B$32:$F$36,2,0)," ")</f>
        <v>O230117</v>
      </c>
      <c r="Q145" s="195" t="str">
        <f>IFERROR(VLOOKUP(C145,TD!$B$32:$F$36,3,0)," ")</f>
        <v>4503</v>
      </c>
      <c r="R145" s="195">
        <f>IFERROR(VLOOKUP(C145,TD!$B$32:$F$36,4,0)," ")</f>
        <v>20240255</v>
      </c>
      <c r="S145" s="189" t="s">
        <v>183</v>
      </c>
      <c r="T145" s="195" t="str">
        <f>IFERROR(VLOOKUP(S145,TD!$J$33:$K$43,2,0)," ")</f>
        <v>Servicio de formación en gestión del riesgo de incendios para el personal UAECOB</v>
      </c>
      <c r="U145" s="161" t="str">
        <f>CONCATENATE(S145,"-",T145)</f>
        <v>07-Servicio de formación en gestión del riesgo de incendios para el personal UAECOB</v>
      </c>
      <c r="V145" s="189" t="s">
        <v>233</v>
      </c>
      <c r="W145" s="195" t="str">
        <f>IFERROR(VLOOKUP(V145,TD!$N$33:$O$45,2,0)," ")</f>
        <v>Servicio de educación informal</v>
      </c>
      <c r="X145" s="161" t="str">
        <f>CONCATENATE(V145,"_",W145)</f>
        <v>002_Servicio de educación informal</v>
      </c>
      <c r="Y145" s="161" t="str">
        <f>CONCATENATE(U145," ",X145)</f>
        <v>07-Servicio de formación en gestión del riesgo de incendios para el personal UAECOB 002_Servicio de educación informal</v>
      </c>
      <c r="Z145" s="195" t="str">
        <f>CONCATENATE(P145,Q145,R145,S145,V145)</f>
        <v>O23011745032024025507002</v>
      </c>
      <c r="AA145" s="195" t="str">
        <f>IFERROR(VLOOKUP(Y145,TD!$K$46:$L$64,2,0)," ")</f>
        <v>PM/0131/0107/45030020255</v>
      </c>
      <c r="AB145" s="194" t="s">
        <v>138</v>
      </c>
      <c r="AC145" s="196" t="s">
        <v>204</v>
      </c>
    </row>
    <row r="146" spans="2:29" s="28" customFormat="1" ht="99" customHeight="1" x14ac:dyDescent="0.35">
      <c r="B146" s="186">
        <v>20250143</v>
      </c>
      <c r="C146" s="187" t="s">
        <v>209</v>
      </c>
      <c r="D146" s="188" t="s">
        <v>165</v>
      </c>
      <c r="E146" s="189" t="s">
        <v>495</v>
      </c>
      <c r="F146" s="188" t="s">
        <v>937</v>
      </c>
      <c r="G146" s="188" t="s">
        <v>96</v>
      </c>
      <c r="H146" s="190" t="s">
        <v>498</v>
      </c>
      <c r="I146" s="191">
        <v>5</v>
      </c>
      <c r="J146" s="191">
        <v>4</v>
      </c>
      <c r="K146" s="192">
        <v>0</v>
      </c>
      <c r="L146" s="193">
        <f>50000000+100000000</f>
        <v>150000000</v>
      </c>
      <c r="M146" s="188" t="s">
        <v>473</v>
      </c>
      <c r="N146" s="194" t="s">
        <v>113</v>
      </c>
      <c r="O146" s="189" t="s">
        <v>229</v>
      </c>
      <c r="P146" s="195" t="str">
        <f>IFERROR(VLOOKUP(C146,TD!$B$32:$F$36,2,0)," ")</f>
        <v>O230117</v>
      </c>
      <c r="Q146" s="195" t="str">
        <f>IFERROR(VLOOKUP(C146,TD!$B$32:$F$36,3,0)," ")</f>
        <v>4503</v>
      </c>
      <c r="R146" s="195">
        <f>IFERROR(VLOOKUP(C146,TD!$B$32:$F$36,4,0)," ")</f>
        <v>20240255</v>
      </c>
      <c r="S146" s="189" t="s">
        <v>183</v>
      </c>
      <c r="T146" s="195" t="str">
        <f>IFERROR(VLOOKUP(S146,TD!$J$33:$K$43,2,0)," ")</f>
        <v>Servicio de formación en gestión del riesgo de incendios para el personal UAECOB</v>
      </c>
      <c r="U146" s="161" t="str">
        <f>CONCATENATE(S146,"-",T146)</f>
        <v>07-Servicio de formación en gestión del riesgo de incendios para el personal UAECOB</v>
      </c>
      <c r="V146" s="189" t="s">
        <v>233</v>
      </c>
      <c r="W146" s="195" t="str">
        <f>IFERROR(VLOOKUP(V146,TD!$N$33:$O$45,2,0)," ")</f>
        <v>Servicio de educación informal</v>
      </c>
      <c r="X146" s="161" t="str">
        <f>CONCATENATE(V146,"_",W146)</f>
        <v>002_Servicio de educación informal</v>
      </c>
      <c r="Y146" s="161" t="str">
        <f>CONCATENATE(U146," ",X146)</f>
        <v>07-Servicio de formación en gestión del riesgo de incendios para el personal UAECOB 002_Servicio de educación informal</v>
      </c>
      <c r="Z146" s="195" t="str">
        <f>CONCATENATE(P146,Q146,R146,S146,V146)</f>
        <v>O23011745032024025507002</v>
      </c>
      <c r="AA146" s="195" t="str">
        <f>IFERROR(VLOOKUP(Y146,TD!$K$46:$L$64,2,0)," ")</f>
        <v>PM/0131/0107/45030020255</v>
      </c>
      <c r="AB146" s="194" t="s">
        <v>138</v>
      </c>
      <c r="AC146" s="196" t="s">
        <v>204</v>
      </c>
    </row>
    <row r="147" spans="2:29" s="28" customFormat="1" ht="99" customHeight="1" x14ac:dyDescent="0.35">
      <c r="B147" s="77">
        <v>20250144</v>
      </c>
      <c r="C147" s="50" t="s">
        <v>209</v>
      </c>
      <c r="D147" s="158" t="s">
        <v>165</v>
      </c>
      <c r="E147" s="51" t="s">
        <v>495</v>
      </c>
      <c r="F147" s="158" t="s">
        <v>499</v>
      </c>
      <c r="G147" s="158" t="s">
        <v>133</v>
      </c>
      <c r="H147" s="97" t="s">
        <v>498</v>
      </c>
      <c r="I147" s="159">
        <v>3</v>
      </c>
      <c r="J147" s="159">
        <v>4</v>
      </c>
      <c r="K147" s="52">
        <v>0</v>
      </c>
      <c r="L147" s="153">
        <v>200000000</v>
      </c>
      <c r="M147" s="158" t="s">
        <v>473</v>
      </c>
      <c r="N147" s="53" t="s">
        <v>90</v>
      </c>
      <c r="O147" s="51" t="s">
        <v>229</v>
      </c>
      <c r="P147" s="160" t="str">
        <f>IFERROR(VLOOKUP(C147,TD!$B$32:$F$36,2,0)," ")</f>
        <v>O230117</v>
      </c>
      <c r="Q147" s="160" t="str">
        <f>IFERROR(VLOOKUP(C147,TD!$B$32:$F$36,3,0)," ")</f>
        <v>4503</v>
      </c>
      <c r="R147" s="160">
        <f>IFERROR(VLOOKUP(C147,TD!$B$32:$F$36,4,0)," ")</f>
        <v>20240255</v>
      </c>
      <c r="S147" s="51" t="s">
        <v>183</v>
      </c>
      <c r="T147" s="160" t="str">
        <f>IFERROR(VLOOKUP(S147,TD!$J$33:$K$43,2,0)," ")</f>
        <v>Servicio de formación en gestión del riesgo de incendios para el personal UAECOB</v>
      </c>
      <c r="U147" s="161" t="str">
        <f>CONCATENATE(S147,"-",T147)</f>
        <v>07-Servicio de formación en gestión del riesgo de incendios para el personal UAECOB</v>
      </c>
      <c r="V147" s="51" t="s">
        <v>233</v>
      </c>
      <c r="W147" s="160" t="str">
        <f>IFERROR(VLOOKUP(V147,TD!$N$33:$O$45,2,0)," ")</f>
        <v>Servicio de educación informal</v>
      </c>
      <c r="X147" s="161" t="str">
        <f>CONCATENATE(V147,"_",W147)</f>
        <v>002_Servicio de educación informal</v>
      </c>
      <c r="Y147" s="161" t="str">
        <f>CONCATENATE(U147," ",X147)</f>
        <v>07-Servicio de formación en gestión del riesgo de incendios para el personal UAECOB 002_Servicio de educación informal</v>
      </c>
      <c r="Z147" s="160" t="str">
        <f>CONCATENATE(P147,Q147,R147,S147,V147)</f>
        <v>O23011745032024025507002</v>
      </c>
      <c r="AA147" s="160" t="str">
        <f>IFERROR(VLOOKUP(Y147,TD!$K$46:$L$64,2,0)," ")</f>
        <v>PM/0131/0107/45030020255</v>
      </c>
      <c r="AB147" s="150" t="s">
        <v>138</v>
      </c>
      <c r="AC147" s="162" t="s">
        <v>204</v>
      </c>
    </row>
    <row r="148" spans="2:29" s="28" customFormat="1" ht="99" customHeight="1" x14ac:dyDescent="0.35">
      <c r="B148" s="186">
        <v>20250145</v>
      </c>
      <c r="C148" s="187" t="s">
        <v>209</v>
      </c>
      <c r="D148" s="188" t="s">
        <v>165</v>
      </c>
      <c r="E148" s="189" t="s">
        <v>495</v>
      </c>
      <c r="F148" s="188" t="s">
        <v>938</v>
      </c>
      <c r="G148" s="188" t="s">
        <v>109</v>
      </c>
      <c r="H148" s="190" t="s">
        <v>956</v>
      </c>
      <c r="I148" s="191">
        <v>4</v>
      </c>
      <c r="J148" s="191">
        <v>4</v>
      </c>
      <c r="K148" s="192">
        <v>0</v>
      </c>
      <c r="L148" s="193">
        <v>150000000</v>
      </c>
      <c r="M148" s="188" t="s">
        <v>473</v>
      </c>
      <c r="N148" s="194" t="s">
        <v>90</v>
      </c>
      <c r="O148" s="189" t="s">
        <v>229</v>
      </c>
      <c r="P148" s="195" t="str">
        <f>IFERROR(VLOOKUP(C148,TD!$B$32:$F$36,2,0)," ")</f>
        <v>O230117</v>
      </c>
      <c r="Q148" s="195" t="str">
        <f>IFERROR(VLOOKUP(C148,TD!$B$32:$F$36,3,0)," ")</f>
        <v>4503</v>
      </c>
      <c r="R148" s="195">
        <f>IFERROR(VLOOKUP(C148,TD!$B$32:$F$36,4,0)," ")</f>
        <v>20240255</v>
      </c>
      <c r="S148" s="189" t="s">
        <v>183</v>
      </c>
      <c r="T148" s="195" t="str">
        <f>IFERROR(VLOOKUP(S148,TD!$J$33:$K$43,2,0)," ")</f>
        <v>Servicio de formación en gestión del riesgo de incendios para el personal UAECOB</v>
      </c>
      <c r="U148" s="161" t="str">
        <f>CONCATENATE(S148,"-",T148)</f>
        <v>07-Servicio de formación en gestión del riesgo de incendios para el personal UAECOB</v>
      </c>
      <c r="V148" s="189" t="s">
        <v>233</v>
      </c>
      <c r="W148" s="195" t="str">
        <f>IFERROR(VLOOKUP(V148,TD!$N$33:$O$45,2,0)," ")</f>
        <v>Servicio de educación informal</v>
      </c>
      <c r="X148" s="161" t="str">
        <f>CONCATENATE(V148,"_",W148)</f>
        <v>002_Servicio de educación informal</v>
      </c>
      <c r="Y148" s="161" t="str">
        <f>CONCATENATE(U148," ",X148)</f>
        <v>07-Servicio de formación en gestión del riesgo de incendios para el personal UAECOB 002_Servicio de educación informal</v>
      </c>
      <c r="Z148" s="195" t="str">
        <f>CONCATENATE(P148,Q148,R148,S148,V148)</f>
        <v>O23011745032024025507002</v>
      </c>
      <c r="AA148" s="195" t="str">
        <f>IFERROR(VLOOKUP(Y148,TD!$K$46:$L$64,2,0)," ")</f>
        <v>PM/0131/0107/45030020255</v>
      </c>
      <c r="AB148" s="194" t="s">
        <v>138</v>
      </c>
      <c r="AC148" s="196" t="s">
        <v>204</v>
      </c>
    </row>
    <row r="149" spans="2:29" s="28" customFormat="1" ht="99" customHeight="1" x14ac:dyDescent="0.35">
      <c r="B149" s="186">
        <v>20250146</v>
      </c>
      <c r="C149" s="187" t="s">
        <v>209</v>
      </c>
      <c r="D149" s="188" t="s">
        <v>165</v>
      </c>
      <c r="E149" s="189" t="s">
        <v>495</v>
      </c>
      <c r="F149" s="188" t="s">
        <v>939</v>
      </c>
      <c r="G149" s="188" t="s">
        <v>109</v>
      </c>
      <c r="H149" s="190" t="s">
        <v>957</v>
      </c>
      <c r="I149" s="191">
        <v>7</v>
      </c>
      <c r="J149" s="191">
        <v>2</v>
      </c>
      <c r="K149" s="192">
        <v>0</v>
      </c>
      <c r="L149" s="193">
        <f>30000000+20000000</f>
        <v>50000000</v>
      </c>
      <c r="M149" s="188" t="s">
        <v>473</v>
      </c>
      <c r="N149" s="194" t="s">
        <v>100</v>
      </c>
      <c r="O149" s="189" t="s">
        <v>229</v>
      </c>
      <c r="P149" s="195" t="str">
        <f>IFERROR(VLOOKUP(C149,TD!$B$32:$F$36,2,0)," ")</f>
        <v>O230117</v>
      </c>
      <c r="Q149" s="195" t="str">
        <f>IFERROR(VLOOKUP(C149,TD!$B$32:$F$36,3,0)," ")</f>
        <v>4503</v>
      </c>
      <c r="R149" s="195">
        <f>IFERROR(VLOOKUP(C149,TD!$B$32:$F$36,4,0)," ")</f>
        <v>20240255</v>
      </c>
      <c r="S149" s="189" t="s">
        <v>183</v>
      </c>
      <c r="T149" s="195" t="str">
        <f>IFERROR(VLOOKUP(S149,TD!$J$33:$K$43,2,0)," ")</f>
        <v>Servicio de formación en gestión del riesgo de incendios para el personal UAECOB</v>
      </c>
      <c r="U149" s="161" t="str">
        <f>CONCATENATE(S149,"-",T149)</f>
        <v>07-Servicio de formación en gestión del riesgo de incendios para el personal UAECOB</v>
      </c>
      <c r="V149" s="189" t="s">
        <v>233</v>
      </c>
      <c r="W149" s="195" t="str">
        <f>IFERROR(VLOOKUP(V149,TD!$N$33:$O$45,2,0)," ")</f>
        <v>Servicio de educación informal</v>
      </c>
      <c r="X149" s="161" t="str">
        <f>CONCATENATE(V149,"_",W149)</f>
        <v>002_Servicio de educación informal</v>
      </c>
      <c r="Y149" s="161" t="str">
        <f>CONCATENATE(U149," ",X149)</f>
        <v>07-Servicio de formación en gestión del riesgo de incendios para el personal UAECOB 002_Servicio de educación informal</v>
      </c>
      <c r="Z149" s="195" t="str">
        <f>CONCATENATE(P149,Q149,R149,S149,V149)</f>
        <v>O23011745032024025507002</v>
      </c>
      <c r="AA149" s="195" t="str">
        <f>IFERROR(VLOOKUP(Y149,TD!$K$46:$L$64,2,0)," ")</f>
        <v>PM/0131/0107/45030020255</v>
      </c>
      <c r="AB149" s="194" t="s">
        <v>138</v>
      </c>
      <c r="AC149" s="196" t="s">
        <v>204</v>
      </c>
    </row>
    <row r="150" spans="2:29" s="28" customFormat="1" ht="99" customHeight="1" x14ac:dyDescent="0.35">
      <c r="B150" s="186">
        <v>20250147</v>
      </c>
      <c r="C150" s="187" t="s">
        <v>209</v>
      </c>
      <c r="D150" s="188" t="s">
        <v>165</v>
      </c>
      <c r="E150" s="189" t="s">
        <v>495</v>
      </c>
      <c r="F150" s="188" t="s">
        <v>940</v>
      </c>
      <c r="G150" s="188" t="s">
        <v>109</v>
      </c>
      <c r="H150" s="190" t="s">
        <v>957</v>
      </c>
      <c r="I150" s="191">
        <v>6</v>
      </c>
      <c r="J150" s="191">
        <v>4</v>
      </c>
      <c r="K150" s="192">
        <v>0</v>
      </c>
      <c r="L150" s="193">
        <v>30000000</v>
      </c>
      <c r="M150" s="188" t="s">
        <v>473</v>
      </c>
      <c r="N150" s="194" t="s">
        <v>100</v>
      </c>
      <c r="O150" s="189" t="s">
        <v>229</v>
      </c>
      <c r="P150" s="195" t="str">
        <f>IFERROR(VLOOKUP(C150,TD!$B$32:$F$36,2,0)," ")</f>
        <v>O230117</v>
      </c>
      <c r="Q150" s="195" t="str">
        <f>IFERROR(VLOOKUP(C150,TD!$B$32:$F$36,3,0)," ")</f>
        <v>4503</v>
      </c>
      <c r="R150" s="195">
        <f>IFERROR(VLOOKUP(C150,TD!$B$32:$F$36,4,0)," ")</f>
        <v>20240255</v>
      </c>
      <c r="S150" s="189" t="s">
        <v>183</v>
      </c>
      <c r="T150" s="195" t="str">
        <f>IFERROR(VLOOKUP(S150,TD!$J$33:$K$43,2,0)," ")</f>
        <v>Servicio de formación en gestión del riesgo de incendios para el personal UAECOB</v>
      </c>
      <c r="U150" s="161" t="str">
        <f>CONCATENATE(S150,"-",T150)</f>
        <v>07-Servicio de formación en gestión del riesgo de incendios para el personal UAECOB</v>
      </c>
      <c r="V150" s="189" t="s">
        <v>233</v>
      </c>
      <c r="W150" s="195" t="str">
        <f>IFERROR(VLOOKUP(V150,TD!$N$33:$O$45,2,0)," ")</f>
        <v>Servicio de educación informal</v>
      </c>
      <c r="X150" s="161" t="str">
        <f>CONCATENATE(V150,"_",W150)</f>
        <v>002_Servicio de educación informal</v>
      </c>
      <c r="Y150" s="161" t="str">
        <f>CONCATENATE(U150," ",X150)</f>
        <v>07-Servicio de formación en gestión del riesgo de incendios para el personal UAECOB 002_Servicio de educación informal</v>
      </c>
      <c r="Z150" s="195" t="str">
        <f>CONCATENATE(P150,Q150,R150,S150,V150)</f>
        <v>O23011745032024025507002</v>
      </c>
      <c r="AA150" s="195" t="str">
        <f>IFERROR(VLOOKUP(Y150,TD!$K$46:$L$64,2,0)," ")</f>
        <v>PM/0131/0107/45030020255</v>
      </c>
      <c r="AB150" s="194" t="s">
        <v>138</v>
      </c>
      <c r="AC150" s="196" t="s">
        <v>204</v>
      </c>
    </row>
    <row r="151" spans="2:29" s="28" customFormat="1" ht="99" customHeight="1" x14ac:dyDescent="0.35">
      <c r="B151" s="186">
        <v>20250148</v>
      </c>
      <c r="C151" s="187" t="s">
        <v>209</v>
      </c>
      <c r="D151" s="188" t="s">
        <v>165</v>
      </c>
      <c r="E151" s="189" t="s">
        <v>495</v>
      </c>
      <c r="F151" s="188" t="s">
        <v>941</v>
      </c>
      <c r="G151" s="188" t="s">
        <v>109</v>
      </c>
      <c r="H151" s="190" t="s">
        <v>500</v>
      </c>
      <c r="I151" s="191">
        <v>4</v>
      </c>
      <c r="J151" s="191">
        <v>4</v>
      </c>
      <c r="K151" s="192">
        <v>0</v>
      </c>
      <c r="L151" s="193">
        <v>80000000</v>
      </c>
      <c r="M151" s="188" t="s">
        <v>473</v>
      </c>
      <c r="N151" s="194" t="s">
        <v>90</v>
      </c>
      <c r="O151" s="189" t="s">
        <v>229</v>
      </c>
      <c r="P151" s="195" t="str">
        <f>IFERROR(VLOOKUP(C151,TD!$B$32:$F$36,2,0)," ")</f>
        <v>O230117</v>
      </c>
      <c r="Q151" s="195" t="str">
        <f>IFERROR(VLOOKUP(C151,TD!$B$32:$F$36,3,0)," ")</f>
        <v>4503</v>
      </c>
      <c r="R151" s="195">
        <f>IFERROR(VLOOKUP(C151,TD!$B$32:$F$36,4,0)," ")</f>
        <v>20240255</v>
      </c>
      <c r="S151" s="189" t="s">
        <v>183</v>
      </c>
      <c r="T151" s="195" t="str">
        <f>IFERROR(VLOOKUP(S151,TD!$J$33:$K$43,2,0)," ")</f>
        <v>Servicio de formación en gestión del riesgo de incendios para el personal UAECOB</v>
      </c>
      <c r="U151" s="161" t="str">
        <f>CONCATENATE(S151,"-",T151)</f>
        <v>07-Servicio de formación en gestión del riesgo de incendios para el personal UAECOB</v>
      </c>
      <c r="V151" s="189" t="s">
        <v>233</v>
      </c>
      <c r="W151" s="195" t="str">
        <f>IFERROR(VLOOKUP(V151,TD!$N$33:$O$45,2,0)," ")</f>
        <v>Servicio de educación informal</v>
      </c>
      <c r="X151" s="161" t="str">
        <f>CONCATENATE(V151,"_",W151)</f>
        <v>002_Servicio de educación informal</v>
      </c>
      <c r="Y151" s="161" t="str">
        <f>CONCATENATE(U151," ",X151)</f>
        <v>07-Servicio de formación en gestión del riesgo de incendios para el personal UAECOB 002_Servicio de educación informal</v>
      </c>
      <c r="Z151" s="195" t="str">
        <f>CONCATENATE(P151,Q151,R151,S151,V151)</f>
        <v>O23011745032024025507002</v>
      </c>
      <c r="AA151" s="195" t="str">
        <f>IFERROR(VLOOKUP(Y151,TD!$K$46:$L$64,2,0)," ")</f>
        <v>PM/0131/0107/45030020255</v>
      </c>
      <c r="AB151" s="194" t="s">
        <v>138</v>
      </c>
      <c r="AC151" s="196" t="s">
        <v>204</v>
      </c>
    </row>
    <row r="152" spans="2:29" s="28" customFormat="1" ht="99" customHeight="1" x14ac:dyDescent="0.35">
      <c r="B152" s="186">
        <v>20250149</v>
      </c>
      <c r="C152" s="187" t="s">
        <v>209</v>
      </c>
      <c r="D152" s="188" t="s">
        <v>165</v>
      </c>
      <c r="E152" s="189" t="s">
        <v>495</v>
      </c>
      <c r="F152" s="188" t="s">
        <v>501</v>
      </c>
      <c r="G152" s="188" t="s">
        <v>101</v>
      </c>
      <c r="H152" s="190" t="s">
        <v>502</v>
      </c>
      <c r="I152" s="191">
        <v>3</v>
      </c>
      <c r="J152" s="191">
        <v>4</v>
      </c>
      <c r="K152" s="192">
        <v>0</v>
      </c>
      <c r="L152" s="193">
        <v>150000000</v>
      </c>
      <c r="M152" s="188" t="s">
        <v>473</v>
      </c>
      <c r="N152" s="194" t="s">
        <v>108</v>
      </c>
      <c r="O152" s="189" t="s">
        <v>229</v>
      </c>
      <c r="P152" s="195" t="str">
        <f>IFERROR(VLOOKUP(C152,TD!$B$32:$F$36,2,0)," ")</f>
        <v>O230117</v>
      </c>
      <c r="Q152" s="195" t="str">
        <f>IFERROR(VLOOKUP(C152,TD!$B$32:$F$36,3,0)," ")</f>
        <v>4503</v>
      </c>
      <c r="R152" s="195">
        <f>IFERROR(VLOOKUP(C152,TD!$B$32:$F$36,4,0)," ")</f>
        <v>20240255</v>
      </c>
      <c r="S152" s="189" t="s">
        <v>183</v>
      </c>
      <c r="T152" s="195" t="str">
        <f>IFERROR(VLOOKUP(S152,TD!$J$33:$K$43,2,0)," ")</f>
        <v>Servicio de formación en gestión del riesgo de incendios para el personal UAECOB</v>
      </c>
      <c r="U152" s="161" t="str">
        <f>CONCATENATE(S152,"-",T152)</f>
        <v>07-Servicio de formación en gestión del riesgo de incendios para el personal UAECOB</v>
      </c>
      <c r="V152" s="189" t="s">
        <v>233</v>
      </c>
      <c r="W152" s="195" t="str">
        <f>IFERROR(VLOOKUP(V152,TD!$N$33:$O$45,2,0)," ")</f>
        <v>Servicio de educación informal</v>
      </c>
      <c r="X152" s="161" t="str">
        <f>CONCATENATE(V152,"_",W152)</f>
        <v>002_Servicio de educación informal</v>
      </c>
      <c r="Y152" s="161" t="str">
        <f>CONCATENATE(U152," ",X152)</f>
        <v>07-Servicio de formación en gestión del riesgo de incendios para el personal UAECOB 002_Servicio de educación informal</v>
      </c>
      <c r="Z152" s="195" t="str">
        <f>CONCATENATE(P152,Q152,R152,S152,V152)</f>
        <v>O23011745032024025507002</v>
      </c>
      <c r="AA152" s="195" t="str">
        <f>IFERROR(VLOOKUP(Y152,TD!$K$46:$L$64,2,0)," ")</f>
        <v>PM/0131/0107/45030020255</v>
      </c>
      <c r="AB152" s="194" t="s">
        <v>138</v>
      </c>
      <c r="AC152" s="196" t="s">
        <v>204</v>
      </c>
    </row>
    <row r="153" spans="2:29" s="28" customFormat="1" ht="99" customHeight="1" x14ac:dyDescent="0.35">
      <c r="B153" s="186">
        <v>20250150</v>
      </c>
      <c r="C153" s="187" t="s">
        <v>209</v>
      </c>
      <c r="D153" s="188" t="s">
        <v>165</v>
      </c>
      <c r="E153" s="189" t="s">
        <v>495</v>
      </c>
      <c r="F153" s="188" t="s">
        <v>391</v>
      </c>
      <c r="G153" s="188" t="s">
        <v>96</v>
      </c>
      <c r="H153" s="190">
        <v>90121800</v>
      </c>
      <c r="I153" s="191">
        <v>2</v>
      </c>
      <c r="J153" s="191">
        <v>11</v>
      </c>
      <c r="K153" s="192">
        <v>0</v>
      </c>
      <c r="L153" s="193">
        <f>50000000+70000000</f>
        <v>120000000</v>
      </c>
      <c r="M153" s="188" t="s">
        <v>473</v>
      </c>
      <c r="N153" s="194" t="s">
        <v>113</v>
      </c>
      <c r="O153" s="189" t="s">
        <v>229</v>
      </c>
      <c r="P153" s="195" t="str">
        <f>IFERROR(VLOOKUP(C153,TD!$B$32:$F$36,2,0)," ")</f>
        <v>O230117</v>
      </c>
      <c r="Q153" s="195" t="str">
        <f>IFERROR(VLOOKUP(C153,TD!$B$32:$F$36,3,0)," ")</f>
        <v>4503</v>
      </c>
      <c r="R153" s="195">
        <f>IFERROR(VLOOKUP(C153,TD!$B$32:$F$36,4,0)," ")</f>
        <v>20240255</v>
      </c>
      <c r="S153" s="189" t="s">
        <v>183</v>
      </c>
      <c r="T153" s="195" t="str">
        <f>IFERROR(VLOOKUP(S153,TD!$J$33:$K$43,2,0)," ")</f>
        <v>Servicio de formación en gestión del riesgo de incendios para el personal UAECOB</v>
      </c>
      <c r="U153" s="161" t="str">
        <f>CONCATENATE(S153,"-",T153)</f>
        <v>07-Servicio de formación en gestión del riesgo de incendios para el personal UAECOB</v>
      </c>
      <c r="V153" s="189" t="s">
        <v>233</v>
      </c>
      <c r="W153" s="195" t="str">
        <f>IFERROR(VLOOKUP(V153,TD!$N$33:$O$45,2,0)," ")</f>
        <v>Servicio de educación informal</v>
      </c>
      <c r="X153" s="161" t="str">
        <f>CONCATENATE(V153,"_",W153)</f>
        <v>002_Servicio de educación informal</v>
      </c>
      <c r="Y153" s="161" t="str">
        <f>CONCATENATE(U153," ",X153)</f>
        <v>07-Servicio de formación en gestión del riesgo de incendios para el personal UAECOB 002_Servicio de educación informal</v>
      </c>
      <c r="Z153" s="195" t="str">
        <f>CONCATENATE(P153,Q153,R153,S153,V153)</f>
        <v>O23011745032024025507002</v>
      </c>
      <c r="AA153" s="195" t="str">
        <f>IFERROR(VLOOKUP(Y153,TD!$K$46:$L$64,2,0)," ")</f>
        <v>PM/0131/0107/45030020255</v>
      </c>
      <c r="AB153" s="194" t="s">
        <v>138</v>
      </c>
      <c r="AC153" s="196" t="s">
        <v>204</v>
      </c>
    </row>
    <row r="154" spans="2:29" s="28" customFormat="1" ht="99" customHeight="1" x14ac:dyDescent="0.35">
      <c r="B154" s="186">
        <v>20250151</v>
      </c>
      <c r="C154" s="187" t="s">
        <v>209</v>
      </c>
      <c r="D154" s="188" t="s">
        <v>165</v>
      </c>
      <c r="E154" s="189" t="s">
        <v>495</v>
      </c>
      <c r="F154" s="188" t="s">
        <v>390</v>
      </c>
      <c r="G154" s="188" t="s">
        <v>96</v>
      </c>
      <c r="H154" s="190">
        <v>90121800</v>
      </c>
      <c r="I154" s="191">
        <v>2</v>
      </c>
      <c r="J154" s="191">
        <v>11</v>
      </c>
      <c r="K154" s="192">
        <v>0</v>
      </c>
      <c r="L154" s="193">
        <f>150000000+70000000</f>
        <v>220000000</v>
      </c>
      <c r="M154" s="188" t="s">
        <v>473</v>
      </c>
      <c r="N154" s="194" t="s">
        <v>113</v>
      </c>
      <c r="O154" s="189" t="s">
        <v>229</v>
      </c>
      <c r="P154" s="195" t="str">
        <f>IFERROR(VLOOKUP(C154,TD!$B$32:$F$36,2,0)," ")</f>
        <v>O230117</v>
      </c>
      <c r="Q154" s="195" t="str">
        <f>IFERROR(VLOOKUP(C154,TD!$B$32:$F$36,3,0)," ")</f>
        <v>4503</v>
      </c>
      <c r="R154" s="195">
        <f>IFERROR(VLOOKUP(C154,TD!$B$32:$F$36,4,0)," ")</f>
        <v>20240255</v>
      </c>
      <c r="S154" s="189" t="s">
        <v>183</v>
      </c>
      <c r="T154" s="195" t="str">
        <f>IFERROR(VLOOKUP(S154,TD!$J$33:$K$43,2,0)," ")</f>
        <v>Servicio de formación en gestión del riesgo de incendios para el personal UAECOB</v>
      </c>
      <c r="U154" s="161" t="str">
        <f>CONCATENATE(S154,"-",T154)</f>
        <v>07-Servicio de formación en gestión del riesgo de incendios para el personal UAECOB</v>
      </c>
      <c r="V154" s="189" t="s">
        <v>233</v>
      </c>
      <c r="W154" s="195" t="str">
        <f>IFERROR(VLOOKUP(V154,TD!$N$33:$O$45,2,0)," ")</f>
        <v>Servicio de educación informal</v>
      </c>
      <c r="X154" s="161" t="str">
        <f>CONCATENATE(V154,"_",W154)</f>
        <v>002_Servicio de educación informal</v>
      </c>
      <c r="Y154" s="161" t="str">
        <f>CONCATENATE(U154," ",X154)</f>
        <v>07-Servicio de formación en gestión del riesgo de incendios para el personal UAECOB 002_Servicio de educación informal</v>
      </c>
      <c r="Z154" s="195" t="str">
        <f>CONCATENATE(P154,Q154,R154,S154,V154)</f>
        <v>O23011745032024025507002</v>
      </c>
      <c r="AA154" s="195" t="str">
        <f>IFERROR(VLOOKUP(Y154,TD!$K$46:$L$64,2,0)," ")</f>
        <v>PM/0131/0107/45030020255</v>
      </c>
      <c r="AB154" s="194" t="s">
        <v>138</v>
      </c>
      <c r="AC154" s="196" t="s">
        <v>204</v>
      </c>
    </row>
    <row r="155" spans="2:29" s="28" customFormat="1" ht="99" customHeight="1" x14ac:dyDescent="0.35">
      <c r="B155" s="186">
        <v>20250152</v>
      </c>
      <c r="C155" s="187" t="s">
        <v>346</v>
      </c>
      <c r="D155" s="188" t="s">
        <v>165</v>
      </c>
      <c r="E155" s="189" t="s">
        <v>495</v>
      </c>
      <c r="F155" s="188" t="s">
        <v>942</v>
      </c>
      <c r="G155" s="188" t="s">
        <v>96</v>
      </c>
      <c r="H155" s="190" t="s">
        <v>421</v>
      </c>
      <c r="I155" s="191">
        <v>3</v>
      </c>
      <c r="J155" s="191">
        <v>9</v>
      </c>
      <c r="K155" s="192">
        <v>0</v>
      </c>
      <c r="L155" s="193">
        <v>750000000</v>
      </c>
      <c r="M155" s="188" t="s">
        <v>172</v>
      </c>
      <c r="N155" s="194" t="s">
        <v>90</v>
      </c>
      <c r="O155" s="189" t="s">
        <v>347</v>
      </c>
      <c r="P155" s="195" t="str">
        <f>IFERROR(VLOOKUP(C155,TD!$B$32:$F$36,2,0)," ")</f>
        <v>NA</v>
      </c>
      <c r="Q155" s="195" t="str">
        <f>IFERROR(VLOOKUP(C155,TD!$B$32:$F$36,3,0)," ")</f>
        <v>NA</v>
      </c>
      <c r="R155" s="195" t="str">
        <f>IFERROR(VLOOKUP(C155,TD!$B$32:$F$36,4,0)," ")</f>
        <v>NA</v>
      </c>
      <c r="S155" s="189" t="s">
        <v>406</v>
      </c>
      <c r="T155" s="195" t="str">
        <f>IFERROR(VLOOKUP(S155,TD!$J$33:$K$43,2,0)," ")</f>
        <v>N/A</v>
      </c>
      <c r="U155" s="161" t="str">
        <f>CONCATENATE(S155,"-",T155)</f>
        <v>N/A-N/A</v>
      </c>
      <c r="V155" s="189" t="s">
        <v>406</v>
      </c>
      <c r="W155" s="195" t="str">
        <f>IFERROR(VLOOKUP(V155,TD!$N$33:$O$45,2,0)," ")</f>
        <v>N/A</v>
      </c>
      <c r="X155" s="161" t="str">
        <f>CONCATENATE(V155,"_",W155)</f>
        <v>N/A_N/A</v>
      </c>
      <c r="Y155" s="161" t="str">
        <f>CONCATENATE(U155," ",X155)</f>
        <v>N/A-N/A N/A_N/A</v>
      </c>
      <c r="Z155" s="195" t="str">
        <f>CONCATENATE(P155,Q155,R155,S155,V155)</f>
        <v>NANANAN/AN/A</v>
      </c>
      <c r="AA155" s="195" t="str">
        <f>IFERROR(VLOOKUP(Y155,TD!$K$46:$L$64,2,0)," ")</f>
        <v>N/A</v>
      </c>
      <c r="AB155" s="194" t="s">
        <v>348</v>
      </c>
      <c r="AC155" s="196" t="s">
        <v>204</v>
      </c>
    </row>
    <row r="156" spans="2:29" s="28" customFormat="1" ht="99" customHeight="1" x14ac:dyDescent="0.35">
      <c r="B156" s="77">
        <v>20250153</v>
      </c>
      <c r="C156" s="50" t="s">
        <v>346</v>
      </c>
      <c r="D156" s="158" t="s">
        <v>165</v>
      </c>
      <c r="E156" s="51" t="s">
        <v>495</v>
      </c>
      <c r="F156" s="158" t="s">
        <v>503</v>
      </c>
      <c r="G156" s="158" t="s">
        <v>137</v>
      </c>
      <c r="H156" s="97" t="s">
        <v>406</v>
      </c>
      <c r="I156" s="159">
        <v>9</v>
      </c>
      <c r="J156" s="159">
        <v>9</v>
      </c>
      <c r="K156" s="52">
        <v>0</v>
      </c>
      <c r="L156" s="153">
        <v>179741000</v>
      </c>
      <c r="M156" s="158" t="s">
        <v>172</v>
      </c>
      <c r="N156" s="53" t="s">
        <v>128</v>
      </c>
      <c r="O156" s="51" t="s">
        <v>347</v>
      </c>
      <c r="P156" s="160" t="str">
        <f>IFERROR(VLOOKUP(C156,TD!$B$32:$F$36,2,0)," ")</f>
        <v>NA</v>
      </c>
      <c r="Q156" s="160" t="str">
        <f>IFERROR(VLOOKUP(C156,TD!$B$32:$F$36,3,0)," ")</f>
        <v>NA</v>
      </c>
      <c r="R156" s="160" t="str">
        <f>IFERROR(VLOOKUP(C156,TD!$B$32:$F$36,4,0)," ")</f>
        <v>NA</v>
      </c>
      <c r="S156" s="51" t="s">
        <v>406</v>
      </c>
      <c r="T156" s="160" t="str">
        <f>IFERROR(VLOOKUP(S156,TD!$J$33:$K$43,2,0)," ")</f>
        <v>N/A</v>
      </c>
      <c r="U156" s="161" t="str">
        <f>CONCATENATE(S156,"-",T156)</f>
        <v>N/A-N/A</v>
      </c>
      <c r="V156" s="51" t="s">
        <v>406</v>
      </c>
      <c r="W156" s="160" t="str">
        <f>IFERROR(VLOOKUP(V156,TD!$N$33:$O$45,2,0)," ")</f>
        <v>N/A</v>
      </c>
      <c r="X156" s="161" t="str">
        <f>CONCATENATE(V156,"_",W156)</f>
        <v>N/A_N/A</v>
      </c>
      <c r="Y156" s="161" t="str">
        <f>CONCATENATE(U156," ",X156)</f>
        <v>N/A-N/A N/A_N/A</v>
      </c>
      <c r="Z156" s="160" t="str">
        <f>CONCATENATE(P156,Q156,R156,S156,V156)</f>
        <v>NANANAN/AN/A</v>
      </c>
      <c r="AA156" s="160" t="str">
        <f>IFERROR(VLOOKUP(Y156,TD!$K$46:$L$64,2,0)," ")</f>
        <v>N/A</v>
      </c>
      <c r="AB156" s="150" t="s">
        <v>348</v>
      </c>
      <c r="AC156" s="162" t="s">
        <v>204</v>
      </c>
    </row>
    <row r="157" spans="2:29" s="28" customFormat="1" ht="99" customHeight="1" x14ac:dyDescent="0.35">
      <c r="B157" s="186">
        <v>20250154</v>
      </c>
      <c r="C157" s="187" t="s">
        <v>346</v>
      </c>
      <c r="D157" s="188" t="s">
        <v>165</v>
      </c>
      <c r="E157" s="189" t="s">
        <v>495</v>
      </c>
      <c r="F157" s="188" t="s">
        <v>943</v>
      </c>
      <c r="G157" s="188" t="s">
        <v>96</v>
      </c>
      <c r="H157" s="190" t="s">
        <v>447</v>
      </c>
      <c r="I157" s="191">
        <v>3</v>
      </c>
      <c r="J157" s="191">
        <v>8</v>
      </c>
      <c r="K157" s="192">
        <v>0</v>
      </c>
      <c r="L157" s="193">
        <v>1620259000</v>
      </c>
      <c r="M157" s="188" t="s">
        <v>172</v>
      </c>
      <c r="N157" s="194" t="s">
        <v>113</v>
      </c>
      <c r="O157" s="189" t="s">
        <v>347</v>
      </c>
      <c r="P157" s="195" t="str">
        <f>IFERROR(VLOOKUP(C157,TD!$B$32:$F$36,2,0)," ")</f>
        <v>NA</v>
      </c>
      <c r="Q157" s="195" t="str">
        <f>IFERROR(VLOOKUP(C157,TD!$B$32:$F$36,3,0)," ")</f>
        <v>NA</v>
      </c>
      <c r="R157" s="195" t="str">
        <f>IFERROR(VLOOKUP(C157,TD!$B$32:$F$36,4,0)," ")</f>
        <v>NA</v>
      </c>
      <c r="S157" s="189" t="s">
        <v>406</v>
      </c>
      <c r="T157" s="195" t="str">
        <f>IFERROR(VLOOKUP(S157,TD!$J$33:$K$43,2,0)," ")</f>
        <v>N/A</v>
      </c>
      <c r="U157" s="161" t="str">
        <f>CONCATENATE(S157,"-",T157)</f>
        <v>N/A-N/A</v>
      </c>
      <c r="V157" s="189" t="s">
        <v>406</v>
      </c>
      <c r="W157" s="195" t="str">
        <f>IFERROR(VLOOKUP(V157,TD!$N$33:$O$45,2,0)," ")</f>
        <v>N/A</v>
      </c>
      <c r="X157" s="161" t="str">
        <f>CONCATENATE(V157,"_",W157)</f>
        <v>N/A_N/A</v>
      </c>
      <c r="Y157" s="161" t="str">
        <f>CONCATENATE(U157," ",X157)</f>
        <v>N/A-N/A N/A_N/A</v>
      </c>
      <c r="Z157" s="195" t="str">
        <f>CONCATENATE(P157,Q157,R157,S157,V157)</f>
        <v>NANANAN/AN/A</v>
      </c>
      <c r="AA157" s="195" t="str">
        <f>IFERROR(VLOOKUP(Y157,TD!$K$46:$L$64,2,0)," ")</f>
        <v>N/A</v>
      </c>
      <c r="AB157" s="194" t="s">
        <v>348</v>
      </c>
      <c r="AC157" s="196" t="s">
        <v>204</v>
      </c>
    </row>
    <row r="158" spans="2:29" s="28" customFormat="1" ht="99" customHeight="1" x14ac:dyDescent="0.35">
      <c r="B158" s="186">
        <v>20250155</v>
      </c>
      <c r="C158" s="187" t="s">
        <v>346</v>
      </c>
      <c r="D158" s="188" t="s">
        <v>165</v>
      </c>
      <c r="E158" s="189" t="s">
        <v>495</v>
      </c>
      <c r="F158" s="188" t="s">
        <v>944</v>
      </c>
      <c r="G158" s="188" t="s">
        <v>96</v>
      </c>
      <c r="H158" s="190" t="s">
        <v>422</v>
      </c>
      <c r="I158" s="191">
        <v>3</v>
      </c>
      <c r="J158" s="191">
        <v>4</v>
      </c>
      <c r="K158" s="192">
        <v>0</v>
      </c>
      <c r="L158" s="193">
        <v>61199000</v>
      </c>
      <c r="M158" s="188" t="s">
        <v>172</v>
      </c>
      <c r="N158" s="194" t="s">
        <v>100</v>
      </c>
      <c r="O158" s="189" t="s">
        <v>347</v>
      </c>
      <c r="P158" s="195" t="str">
        <f>IFERROR(VLOOKUP(C158,TD!$B$32:$F$36,2,0)," ")</f>
        <v>NA</v>
      </c>
      <c r="Q158" s="195" t="str">
        <f>IFERROR(VLOOKUP(C158,TD!$B$32:$F$36,3,0)," ")</f>
        <v>NA</v>
      </c>
      <c r="R158" s="195" t="str">
        <f>IFERROR(VLOOKUP(C158,TD!$B$32:$F$36,4,0)," ")</f>
        <v>NA</v>
      </c>
      <c r="S158" s="189" t="s">
        <v>406</v>
      </c>
      <c r="T158" s="195" t="str">
        <f>IFERROR(VLOOKUP(S158,TD!$J$33:$K$43,2,0)," ")</f>
        <v>N/A</v>
      </c>
      <c r="U158" s="161" t="str">
        <f>CONCATENATE(S158,"-",T158)</f>
        <v>N/A-N/A</v>
      </c>
      <c r="V158" s="189" t="s">
        <v>406</v>
      </c>
      <c r="W158" s="195" t="str">
        <f>IFERROR(VLOOKUP(V158,TD!$N$33:$O$45,2,0)," ")</f>
        <v>N/A</v>
      </c>
      <c r="X158" s="161" t="str">
        <f>CONCATENATE(V158,"_",W158)</f>
        <v>N/A_N/A</v>
      </c>
      <c r="Y158" s="161" t="str">
        <f>CONCATENATE(U158," ",X158)</f>
        <v>N/A-N/A N/A_N/A</v>
      </c>
      <c r="Z158" s="195" t="str">
        <f>CONCATENATE(P158,Q158,R158,S158,V158)</f>
        <v>NANANAN/AN/A</v>
      </c>
      <c r="AA158" s="195" t="str">
        <f>IFERROR(VLOOKUP(Y158,TD!$K$46:$L$64,2,0)," ")</f>
        <v>N/A</v>
      </c>
      <c r="AB158" s="194" t="s">
        <v>348</v>
      </c>
      <c r="AC158" s="196" t="s">
        <v>204</v>
      </c>
    </row>
    <row r="159" spans="2:29" s="28" customFormat="1" ht="99" customHeight="1" x14ac:dyDescent="0.35">
      <c r="B159" s="77">
        <v>20250156</v>
      </c>
      <c r="C159" s="50" t="s">
        <v>209</v>
      </c>
      <c r="D159" s="158" t="s">
        <v>168</v>
      </c>
      <c r="E159" s="51" t="s">
        <v>640</v>
      </c>
      <c r="F159" s="158" t="s">
        <v>504</v>
      </c>
      <c r="G159" s="158" t="s">
        <v>96</v>
      </c>
      <c r="H159" s="97">
        <v>25172500</v>
      </c>
      <c r="I159" s="159">
        <v>2</v>
      </c>
      <c r="J159" s="159">
        <v>12</v>
      </c>
      <c r="K159" s="52">
        <v>0</v>
      </c>
      <c r="L159" s="153">
        <v>150000000</v>
      </c>
      <c r="M159" s="158" t="s">
        <v>473</v>
      </c>
      <c r="N159" s="53" t="s">
        <v>95</v>
      </c>
      <c r="O159" s="51" t="s">
        <v>224</v>
      </c>
      <c r="P159" s="160" t="str">
        <f>IFERROR(VLOOKUP(C159,TD!$B$32:$F$36,2,0)," ")</f>
        <v>O230117</v>
      </c>
      <c r="Q159" s="160" t="str">
        <f>IFERROR(VLOOKUP(C159,TD!$B$32:$F$36,3,0)," ")</f>
        <v>4503</v>
      </c>
      <c r="R159" s="160">
        <f>IFERROR(VLOOKUP(C159,TD!$B$32:$F$36,4,0)," ")</f>
        <v>20240255</v>
      </c>
      <c r="S159" s="51" t="s">
        <v>187</v>
      </c>
      <c r="T159" s="160" t="str">
        <f>IFERROR(VLOOKUP(S159,TD!$J$33:$K$43,2,0)," ")</f>
        <v>Servicio de mantenimiento, dotación (HEA´s y equipo menor) y adquisición de vehiculos   especializados para la atención de emergencias.</v>
      </c>
      <c r="U159" s="161" t="str">
        <f>CONCATENATE(S159,"-",T159)</f>
        <v>09-Servicio de mantenimiento, dotación (HEA´s y equipo menor) y adquisición de vehiculos   especializados para la atención de emergencias.</v>
      </c>
      <c r="V159" s="51" t="s">
        <v>232</v>
      </c>
      <c r="W159" s="160" t="str">
        <f>IFERROR(VLOOKUP(V159,TD!$N$33:$O$45,2,0)," ")</f>
        <v>Servicio de atención a emergencias y desastres</v>
      </c>
      <c r="X159" s="161" t="str">
        <f>CONCATENATE(V159,"_",W159)</f>
        <v>004_Servicio de atención a emergencias y desastres</v>
      </c>
      <c r="Y159" s="161" t="str">
        <f>CONCATENATE(U159," ",X159)</f>
        <v>09-Servicio de mantenimiento, dotación (HEA´s y equipo menor) y adquisición de vehiculos   especializados para la atención de emergencias. 004_Servicio de atención a emergencias y desastres</v>
      </c>
      <c r="Z159" s="160" t="str">
        <f>CONCATENATE(P159,Q159,R159,S159,V159)</f>
        <v>O23011745032024025509004</v>
      </c>
      <c r="AA159" s="160" t="str">
        <f>IFERROR(VLOOKUP(Y159,TD!$K$46:$L$64,2,0)," ")</f>
        <v>PM/0131/0109/45030040255</v>
      </c>
      <c r="AB159" s="53" t="s">
        <v>87</v>
      </c>
      <c r="AC159" s="162" t="s">
        <v>204</v>
      </c>
    </row>
    <row r="160" spans="2:29" s="28" customFormat="1" ht="99" customHeight="1" x14ac:dyDescent="0.35">
      <c r="B160" s="77">
        <v>20250157</v>
      </c>
      <c r="C160" s="50" t="s">
        <v>209</v>
      </c>
      <c r="D160" s="158" t="s">
        <v>168</v>
      </c>
      <c r="E160" s="51" t="s">
        <v>640</v>
      </c>
      <c r="F160" s="158" t="s">
        <v>505</v>
      </c>
      <c r="G160" s="158" t="s">
        <v>96</v>
      </c>
      <c r="H160" s="97">
        <v>46161600</v>
      </c>
      <c r="I160" s="159">
        <v>4</v>
      </c>
      <c r="J160" s="159">
        <v>12</v>
      </c>
      <c r="K160" s="52">
        <v>0</v>
      </c>
      <c r="L160" s="153">
        <v>74633400</v>
      </c>
      <c r="M160" s="158" t="s">
        <v>473</v>
      </c>
      <c r="N160" s="53" t="s">
        <v>113</v>
      </c>
      <c r="O160" s="51" t="s">
        <v>224</v>
      </c>
      <c r="P160" s="160" t="str">
        <f>IFERROR(VLOOKUP(C160,TD!$B$32:$F$36,2,0)," ")</f>
        <v>O230117</v>
      </c>
      <c r="Q160" s="160" t="str">
        <f>IFERROR(VLOOKUP(C160,TD!$B$32:$F$36,3,0)," ")</f>
        <v>4503</v>
      </c>
      <c r="R160" s="160">
        <f>IFERROR(VLOOKUP(C160,TD!$B$32:$F$36,4,0)," ")</f>
        <v>20240255</v>
      </c>
      <c r="S160" s="51" t="s">
        <v>187</v>
      </c>
      <c r="T160" s="160" t="str">
        <f>IFERROR(VLOOKUP(S160,TD!$J$33:$K$43,2,0)," ")</f>
        <v>Servicio de mantenimiento, dotación (HEA´s y equipo menor) y adquisición de vehiculos   especializados para la atención de emergencias.</v>
      </c>
      <c r="U160" s="161" t="str">
        <f>CONCATENATE(S160,"-",T160)</f>
        <v>09-Servicio de mantenimiento, dotación (HEA´s y equipo menor) y adquisición de vehiculos   especializados para la atención de emergencias.</v>
      </c>
      <c r="V160" s="51" t="s">
        <v>232</v>
      </c>
      <c r="W160" s="160" t="str">
        <f>IFERROR(VLOOKUP(V160,TD!$N$33:$O$45,2,0)," ")</f>
        <v>Servicio de atención a emergencias y desastres</v>
      </c>
      <c r="X160" s="161" t="str">
        <f>CONCATENATE(V160,"_",W160)</f>
        <v>004_Servicio de atención a emergencias y desastres</v>
      </c>
      <c r="Y160" s="161" t="str">
        <f>CONCATENATE(U160," ",X160)</f>
        <v>09-Servicio de mantenimiento, dotación (HEA´s y equipo menor) y adquisición de vehiculos   especializados para la atención de emergencias. 004_Servicio de atención a emergencias y desastres</v>
      </c>
      <c r="Z160" s="160" t="str">
        <f>CONCATENATE(P160,Q160,R160,S160,V160)</f>
        <v>O23011745032024025509004</v>
      </c>
      <c r="AA160" s="160" t="str">
        <f>IFERROR(VLOOKUP(Y160,TD!$K$46:$L$64,2,0)," ")</f>
        <v>PM/0131/0109/45030040255</v>
      </c>
      <c r="AB160" s="53" t="s">
        <v>87</v>
      </c>
      <c r="AC160" s="162" t="s">
        <v>204</v>
      </c>
    </row>
    <row r="161" spans="2:29" s="28" customFormat="1" ht="99" customHeight="1" x14ac:dyDescent="0.35">
      <c r="B161" s="186">
        <v>20250158</v>
      </c>
      <c r="C161" s="187" t="s">
        <v>209</v>
      </c>
      <c r="D161" s="188" t="s">
        <v>168</v>
      </c>
      <c r="E161" s="189" t="s">
        <v>640</v>
      </c>
      <c r="F161" s="188" t="s">
        <v>506</v>
      </c>
      <c r="G161" s="188" t="s">
        <v>146</v>
      </c>
      <c r="H161" s="190">
        <v>78181500</v>
      </c>
      <c r="I161" s="191">
        <v>3</v>
      </c>
      <c r="J161" s="191">
        <v>12</v>
      </c>
      <c r="K161" s="192">
        <v>0</v>
      </c>
      <c r="L161" s="193">
        <v>3350000000</v>
      </c>
      <c r="M161" s="188" t="s">
        <v>473</v>
      </c>
      <c r="N161" s="194" t="s">
        <v>85</v>
      </c>
      <c r="O161" s="189" t="s">
        <v>224</v>
      </c>
      <c r="P161" s="195" t="str">
        <f>IFERROR(VLOOKUP(C161,TD!$B$32:$F$36,2,0)," ")</f>
        <v>O230117</v>
      </c>
      <c r="Q161" s="195" t="str">
        <f>IFERROR(VLOOKUP(C161,TD!$B$32:$F$36,3,0)," ")</f>
        <v>4503</v>
      </c>
      <c r="R161" s="195">
        <f>IFERROR(VLOOKUP(C161,TD!$B$32:$F$36,4,0)," ")</f>
        <v>20240255</v>
      </c>
      <c r="S161" s="189" t="s">
        <v>187</v>
      </c>
      <c r="T161" s="195" t="str">
        <f>IFERROR(VLOOKUP(S161,TD!$J$33:$K$43,2,0)," ")</f>
        <v>Servicio de mantenimiento, dotación (HEA´s y equipo menor) y adquisición de vehiculos   especializados para la atención de emergencias.</v>
      </c>
      <c r="U161" s="161" t="str">
        <f>CONCATENATE(S161,"-",T161)</f>
        <v>09-Servicio de mantenimiento, dotación (HEA´s y equipo menor) y adquisición de vehiculos   especializados para la atención de emergencias.</v>
      </c>
      <c r="V161" s="189" t="s">
        <v>232</v>
      </c>
      <c r="W161" s="195" t="str">
        <f>IFERROR(VLOOKUP(V161,TD!$N$33:$O$45,2,0)," ")</f>
        <v>Servicio de atención a emergencias y desastres</v>
      </c>
      <c r="X161" s="161" t="str">
        <f>CONCATENATE(V161,"_",W161)</f>
        <v>004_Servicio de atención a emergencias y desastres</v>
      </c>
      <c r="Y161" s="161" t="str">
        <f>CONCATENATE(U161," ",X161)</f>
        <v>09-Servicio de mantenimiento, dotación (HEA´s y equipo menor) y adquisición de vehiculos   especializados para la atención de emergencias. 004_Servicio de atención a emergencias y desastres</v>
      </c>
      <c r="Z161" s="195" t="str">
        <f>CONCATENATE(P161,Q161,R161,S161,V161)</f>
        <v>O23011745032024025509004</v>
      </c>
      <c r="AA161" s="195" t="str">
        <f>IFERROR(VLOOKUP(Y161,TD!$K$46:$L$64,2,0)," ")</f>
        <v>PM/0131/0109/45030040255</v>
      </c>
      <c r="AB161" s="194" t="s">
        <v>145</v>
      </c>
      <c r="AC161" s="196" t="s">
        <v>204</v>
      </c>
    </row>
    <row r="162" spans="2:29" s="28" customFormat="1" ht="99" customHeight="1" x14ac:dyDescent="0.35">
      <c r="B162" s="77">
        <v>20250159</v>
      </c>
      <c r="C162" s="50" t="s">
        <v>209</v>
      </c>
      <c r="D162" s="158" t="s">
        <v>168</v>
      </c>
      <c r="E162" s="51" t="s">
        <v>640</v>
      </c>
      <c r="F162" s="158" t="s">
        <v>507</v>
      </c>
      <c r="G162" s="158" t="s">
        <v>119</v>
      </c>
      <c r="H162" s="97" t="s">
        <v>386</v>
      </c>
      <c r="I162" s="159">
        <v>2</v>
      </c>
      <c r="J162" s="159">
        <v>12</v>
      </c>
      <c r="K162" s="52">
        <v>0</v>
      </c>
      <c r="L162" s="153">
        <v>65000000</v>
      </c>
      <c r="M162" s="158" t="s">
        <v>473</v>
      </c>
      <c r="N162" s="53" t="s">
        <v>90</v>
      </c>
      <c r="O162" s="51" t="s">
        <v>224</v>
      </c>
      <c r="P162" s="160" t="str">
        <f>IFERROR(VLOOKUP(C162,TD!$B$32:$F$36,2,0)," ")</f>
        <v>O230117</v>
      </c>
      <c r="Q162" s="160" t="str">
        <f>IFERROR(VLOOKUP(C162,TD!$B$32:$F$36,3,0)," ")</f>
        <v>4503</v>
      </c>
      <c r="R162" s="160">
        <f>IFERROR(VLOOKUP(C162,TD!$B$32:$F$36,4,0)," ")</f>
        <v>20240255</v>
      </c>
      <c r="S162" s="51" t="s">
        <v>191</v>
      </c>
      <c r="T162" s="160" t="str">
        <f>IFERROR(VLOOKUP(S162,TD!$J$33:$K$43,2,0)," ")</f>
        <v>Servicio de apoyo   logístico  en eventos operativos y/o emergencias.</v>
      </c>
      <c r="U162" s="161" t="str">
        <f>CONCATENATE(S162,"-",T162)</f>
        <v>12-Servicio de apoyo   logístico  en eventos operativos y/o emergencias.</v>
      </c>
      <c r="V162" s="51" t="s">
        <v>232</v>
      </c>
      <c r="W162" s="160" t="str">
        <f>IFERROR(VLOOKUP(V162,TD!$N$33:$O$45,2,0)," ")</f>
        <v>Servicio de atención a emergencias y desastres</v>
      </c>
      <c r="X162" s="161" t="str">
        <f>CONCATENATE(V162,"_",W162)</f>
        <v>004_Servicio de atención a emergencias y desastres</v>
      </c>
      <c r="Y162" s="161" t="str">
        <f>CONCATENATE(U162," ",X162)</f>
        <v>12-Servicio de apoyo   logístico  en eventos operativos y/o emergencias. 004_Servicio de atención a emergencias y desastres</v>
      </c>
      <c r="Z162" s="160" t="str">
        <f>CONCATENATE(P162,Q162,R162,S162,V162)</f>
        <v>O23011745032024025512004</v>
      </c>
      <c r="AA162" s="160" t="str">
        <f>IFERROR(VLOOKUP(Y162,TD!$K$46:$L$64,2,0)," ")</f>
        <v>PM/0131/0112/45030040255</v>
      </c>
      <c r="AB162" s="53" t="s">
        <v>97</v>
      </c>
      <c r="AC162" s="162" t="s">
        <v>204</v>
      </c>
    </row>
    <row r="163" spans="2:29" s="28" customFormat="1" ht="99" customHeight="1" x14ac:dyDescent="0.35">
      <c r="B163" s="77">
        <v>20250160</v>
      </c>
      <c r="C163" s="50" t="s">
        <v>209</v>
      </c>
      <c r="D163" s="158" t="s">
        <v>168</v>
      </c>
      <c r="E163" s="51" t="s">
        <v>640</v>
      </c>
      <c r="F163" s="158" t="s">
        <v>508</v>
      </c>
      <c r="G163" s="158" t="s">
        <v>119</v>
      </c>
      <c r="H163" s="97" t="s">
        <v>387</v>
      </c>
      <c r="I163" s="159">
        <v>5</v>
      </c>
      <c r="J163" s="159">
        <v>7</v>
      </c>
      <c r="K163" s="52">
        <v>0</v>
      </c>
      <c r="L163" s="153">
        <v>260000000</v>
      </c>
      <c r="M163" s="158" t="s">
        <v>473</v>
      </c>
      <c r="N163" s="53" t="s">
        <v>95</v>
      </c>
      <c r="O163" s="51" t="s">
        <v>224</v>
      </c>
      <c r="P163" s="160" t="str">
        <f>IFERROR(VLOOKUP(C163,TD!$B$32:$F$36,2,0)," ")</f>
        <v>O230117</v>
      </c>
      <c r="Q163" s="160" t="str">
        <f>IFERROR(VLOOKUP(C163,TD!$B$32:$F$36,3,0)," ")</f>
        <v>4503</v>
      </c>
      <c r="R163" s="160">
        <f>IFERROR(VLOOKUP(C163,TD!$B$32:$F$36,4,0)," ")</f>
        <v>20240255</v>
      </c>
      <c r="S163" s="51" t="s">
        <v>191</v>
      </c>
      <c r="T163" s="160" t="str">
        <f>IFERROR(VLOOKUP(S163,TD!$J$33:$K$43,2,0)," ")</f>
        <v>Servicio de apoyo   logístico  en eventos operativos y/o emergencias.</v>
      </c>
      <c r="U163" s="161" t="str">
        <f>CONCATENATE(S163,"-",T163)</f>
        <v>12-Servicio de apoyo   logístico  en eventos operativos y/o emergencias.</v>
      </c>
      <c r="V163" s="51" t="s">
        <v>232</v>
      </c>
      <c r="W163" s="160" t="str">
        <f>IFERROR(VLOOKUP(V163,TD!$N$33:$O$45,2,0)," ")</f>
        <v>Servicio de atención a emergencias y desastres</v>
      </c>
      <c r="X163" s="161" t="str">
        <f>CONCATENATE(V163,"_",W163)</f>
        <v>004_Servicio de atención a emergencias y desastres</v>
      </c>
      <c r="Y163" s="161" t="str">
        <f>CONCATENATE(U163," ",X163)</f>
        <v>12-Servicio de apoyo   logístico  en eventos operativos y/o emergencias. 004_Servicio de atención a emergencias y desastres</v>
      </c>
      <c r="Z163" s="160" t="str">
        <f>CONCATENATE(P163,Q163,R163,S163,V163)</f>
        <v>O23011745032024025512004</v>
      </c>
      <c r="AA163" s="160" t="str">
        <f>IFERROR(VLOOKUP(Y163,TD!$K$46:$L$64,2,0)," ")</f>
        <v>PM/0131/0112/45030040255</v>
      </c>
      <c r="AB163" s="53" t="s">
        <v>110</v>
      </c>
      <c r="AC163" s="162" t="s">
        <v>204</v>
      </c>
    </row>
    <row r="164" spans="2:29" s="28" customFormat="1" ht="99" customHeight="1" x14ac:dyDescent="0.35">
      <c r="B164" s="77">
        <v>20250161</v>
      </c>
      <c r="C164" s="50" t="s">
        <v>209</v>
      </c>
      <c r="D164" s="158" t="s">
        <v>168</v>
      </c>
      <c r="E164" s="51" t="s">
        <v>640</v>
      </c>
      <c r="F164" s="158" t="s">
        <v>509</v>
      </c>
      <c r="G164" s="158" t="s">
        <v>119</v>
      </c>
      <c r="H164" s="97">
        <v>15101500</v>
      </c>
      <c r="I164" s="159">
        <v>2</v>
      </c>
      <c r="J164" s="159">
        <v>12</v>
      </c>
      <c r="K164" s="52">
        <v>0</v>
      </c>
      <c r="L164" s="153">
        <v>1080000000</v>
      </c>
      <c r="M164" s="158" t="s">
        <v>473</v>
      </c>
      <c r="N164" s="53" t="s">
        <v>123</v>
      </c>
      <c r="O164" s="51" t="s">
        <v>224</v>
      </c>
      <c r="P164" s="160" t="str">
        <f>IFERROR(VLOOKUP(C164,TD!$B$32:$F$36,2,0)," ")</f>
        <v>O230117</v>
      </c>
      <c r="Q164" s="160" t="str">
        <f>IFERROR(VLOOKUP(C164,TD!$B$32:$F$36,3,0)," ")</f>
        <v>4503</v>
      </c>
      <c r="R164" s="160">
        <f>IFERROR(VLOOKUP(C164,TD!$B$32:$F$36,4,0)," ")</f>
        <v>20240255</v>
      </c>
      <c r="S164" s="51" t="s">
        <v>191</v>
      </c>
      <c r="T164" s="160" t="str">
        <f>IFERROR(VLOOKUP(S164,TD!$J$33:$K$43,2,0)," ")</f>
        <v>Servicio de apoyo   logístico  en eventos operativos y/o emergencias.</v>
      </c>
      <c r="U164" s="161" t="str">
        <f>CONCATENATE(S164,"-",T164)</f>
        <v>12-Servicio de apoyo   logístico  en eventos operativos y/o emergencias.</v>
      </c>
      <c r="V164" s="51" t="s">
        <v>232</v>
      </c>
      <c r="W164" s="160" t="str">
        <f>IFERROR(VLOOKUP(V164,TD!$N$33:$O$45,2,0)," ")</f>
        <v>Servicio de atención a emergencias y desastres</v>
      </c>
      <c r="X164" s="161" t="str">
        <f>CONCATENATE(V164,"_",W164)</f>
        <v>004_Servicio de atención a emergencias y desastres</v>
      </c>
      <c r="Y164" s="161" t="str">
        <f>CONCATENATE(U164," ",X164)</f>
        <v>12-Servicio de apoyo   logístico  en eventos operativos y/o emergencias. 004_Servicio de atención a emergencias y desastres</v>
      </c>
      <c r="Z164" s="160" t="str">
        <f>CONCATENATE(P164,Q164,R164,S164,V164)</f>
        <v>O23011745032024025512004</v>
      </c>
      <c r="AA164" s="160" t="str">
        <f>IFERROR(VLOOKUP(Y164,TD!$K$46:$L$64,2,0)," ")</f>
        <v>PM/0131/0112/45030040255</v>
      </c>
      <c r="AB164" s="53" t="s">
        <v>92</v>
      </c>
      <c r="AC164" s="162" t="s">
        <v>204</v>
      </c>
    </row>
    <row r="165" spans="2:29" s="28" customFormat="1" ht="99" customHeight="1" x14ac:dyDescent="0.35">
      <c r="B165" s="77">
        <v>20250162</v>
      </c>
      <c r="C165" s="50" t="s">
        <v>209</v>
      </c>
      <c r="D165" s="158" t="s">
        <v>168</v>
      </c>
      <c r="E165" s="51" t="s">
        <v>640</v>
      </c>
      <c r="F165" s="158" t="s">
        <v>510</v>
      </c>
      <c r="G165" s="158" t="s">
        <v>119</v>
      </c>
      <c r="H165" s="97" t="s">
        <v>426</v>
      </c>
      <c r="I165" s="159">
        <v>2</v>
      </c>
      <c r="J165" s="159">
        <v>12</v>
      </c>
      <c r="K165" s="52">
        <v>0</v>
      </c>
      <c r="L165" s="153">
        <v>100000000</v>
      </c>
      <c r="M165" s="158" t="s">
        <v>473</v>
      </c>
      <c r="N165" s="53" t="s">
        <v>95</v>
      </c>
      <c r="O165" s="51" t="s">
        <v>224</v>
      </c>
      <c r="P165" s="160" t="str">
        <f>IFERROR(VLOOKUP(C165,TD!$B$32:$F$36,2,0)," ")</f>
        <v>O230117</v>
      </c>
      <c r="Q165" s="160" t="str">
        <f>IFERROR(VLOOKUP(C165,TD!$B$32:$F$36,3,0)," ")</f>
        <v>4503</v>
      </c>
      <c r="R165" s="160">
        <f>IFERROR(VLOOKUP(C165,TD!$B$32:$F$36,4,0)," ")</f>
        <v>20240255</v>
      </c>
      <c r="S165" s="51" t="s">
        <v>191</v>
      </c>
      <c r="T165" s="160" t="str">
        <f>IFERROR(VLOOKUP(S165,TD!$J$33:$K$43,2,0)," ")</f>
        <v>Servicio de apoyo   logístico  en eventos operativos y/o emergencias.</v>
      </c>
      <c r="U165" s="161" t="str">
        <f>CONCATENATE(S165,"-",T165)</f>
        <v>12-Servicio de apoyo   logístico  en eventos operativos y/o emergencias.</v>
      </c>
      <c r="V165" s="51" t="s">
        <v>232</v>
      </c>
      <c r="W165" s="160" t="str">
        <f>IFERROR(VLOOKUP(V165,TD!$N$33:$O$45,2,0)," ")</f>
        <v>Servicio de atención a emergencias y desastres</v>
      </c>
      <c r="X165" s="161" t="str">
        <f>CONCATENATE(V165,"_",W165)</f>
        <v>004_Servicio de atención a emergencias y desastres</v>
      </c>
      <c r="Y165" s="161" t="str">
        <f>CONCATENATE(U165," ",X165)</f>
        <v>12-Servicio de apoyo   logístico  en eventos operativos y/o emergencias. 004_Servicio de atención a emergencias y desastres</v>
      </c>
      <c r="Z165" s="160" t="str">
        <f>CONCATENATE(P165,Q165,R165,S165,V165)</f>
        <v>O23011745032024025512004</v>
      </c>
      <c r="AA165" s="160" t="str">
        <f>IFERROR(VLOOKUP(Y165,TD!$K$46:$L$64,2,0)," ")</f>
        <v>PM/0131/0112/45030040255</v>
      </c>
      <c r="AB165" s="53" t="s">
        <v>134</v>
      </c>
      <c r="AC165" s="162" t="s">
        <v>204</v>
      </c>
    </row>
    <row r="166" spans="2:29" s="28" customFormat="1" ht="99" customHeight="1" x14ac:dyDescent="0.35">
      <c r="B166" s="77">
        <v>20250163</v>
      </c>
      <c r="C166" s="50" t="s">
        <v>209</v>
      </c>
      <c r="D166" s="158" t="s">
        <v>168</v>
      </c>
      <c r="E166" s="51" t="s">
        <v>640</v>
      </c>
      <c r="F166" s="158" t="s">
        <v>511</v>
      </c>
      <c r="G166" s="158" t="s">
        <v>119</v>
      </c>
      <c r="H166" s="97" t="s">
        <v>427</v>
      </c>
      <c r="I166" s="159">
        <v>2</v>
      </c>
      <c r="J166" s="159">
        <v>12</v>
      </c>
      <c r="K166" s="52">
        <v>0</v>
      </c>
      <c r="L166" s="153">
        <v>120000000</v>
      </c>
      <c r="M166" s="158" t="s">
        <v>473</v>
      </c>
      <c r="N166" s="53" t="s">
        <v>113</v>
      </c>
      <c r="O166" s="51" t="s">
        <v>224</v>
      </c>
      <c r="P166" s="160" t="str">
        <f>IFERROR(VLOOKUP(C166,TD!$B$32:$F$36,2,0)," ")</f>
        <v>O230117</v>
      </c>
      <c r="Q166" s="160" t="str">
        <f>IFERROR(VLOOKUP(C166,TD!$B$32:$F$36,3,0)," ")</f>
        <v>4503</v>
      </c>
      <c r="R166" s="160">
        <f>IFERROR(VLOOKUP(C166,TD!$B$32:$F$36,4,0)," ")</f>
        <v>20240255</v>
      </c>
      <c r="S166" s="51" t="s">
        <v>187</v>
      </c>
      <c r="T166" s="160" t="str">
        <f>IFERROR(VLOOKUP(S166,TD!$J$33:$K$43,2,0)," ")</f>
        <v>Servicio de mantenimiento, dotación (HEA´s y equipo menor) y adquisición de vehiculos   especializados para la atención de emergencias.</v>
      </c>
      <c r="U166" s="161" t="str">
        <f>CONCATENATE(S166,"-",T166)</f>
        <v>09-Servicio de mantenimiento, dotación (HEA´s y equipo menor) y adquisición de vehiculos   especializados para la atención de emergencias.</v>
      </c>
      <c r="V166" s="51" t="s">
        <v>232</v>
      </c>
      <c r="W166" s="160" t="str">
        <f>IFERROR(VLOOKUP(V166,TD!$N$33:$O$45,2,0)," ")</f>
        <v>Servicio de atención a emergencias y desastres</v>
      </c>
      <c r="X166" s="161" t="str">
        <f>CONCATENATE(V166,"_",W166)</f>
        <v>004_Servicio de atención a emergencias y desastres</v>
      </c>
      <c r="Y166" s="161" t="str">
        <f>CONCATENATE(U166," ",X166)</f>
        <v>09-Servicio de mantenimiento, dotación (HEA´s y equipo menor) y adquisición de vehiculos   especializados para la atención de emergencias. 004_Servicio de atención a emergencias y desastres</v>
      </c>
      <c r="Z166" s="160" t="str">
        <f>CONCATENATE(P166,Q166,R166,S166,V166)</f>
        <v>O23011745032024025509004</v>
      </c>
      <c r="AA166" s="160" t="str">
        <f>IFERROR(VLOOKUP(Y166,TD!$K$46:$L$64,2,0)," ")</f>
        <v>PM/0131/0109/45030040255</v>
      </c>
      <c r="AB166" s="53" t="s">
        <v>87</v>
      </c>
      <c r="AC166" s="162" t="s">
        <v>204</v>
      </c>
    </row>
    <row r="167" spans="2:29" s="28" customFormat="1" ht="99" customHeight="1" x14ac:dyDescent="0.35">
      <c r="B167" s="77">
        <v>20250164</v>
      </c>
      <c r="C167" s="50" t="s">
        <v>209</v>
      </c>
      <c r="D167" s="158" t="s">
        <v>168</v>
      </c>
      <c r="E167" s="51" t="s">
        <v>640</v>
      </c>
      <c r="F167" s="158" t="s">
        <v>512</v>
      </c>
      <c r="G167" s="158" t="s">
        <v>157</v>
      </c>
      <c r="H167" s="97" t="s">
        <v>428</v>
      </c>
      <c r="I167" s="159">
        <v>2</v>
      </c>
      <c r="J167" s="159">
        <v>12</v>
      </c>
      <c r="K167" s="52">
        <v>0</v>
      </c>
      <c r="L167" s="153">
        <v>120000000</v>
      </c>
      <c r="M167" s="158" t="s">
        <v>473</v>
      </c>
      <c r="N167" s="53" t="s">
        <v>113</v>
      </c>
      <c r="O167" s="51" t="s">
        <v>224</v>
      </c>
      <c r="P167" s="160" t="str">
        <f>IFERROR(VLOOKUP(C167,TD!$B$32:$F$36,2,0)," ")</f>
        <v>O230117</v>
      </c>
      <c r="Q167" s="160" t="str">
        <f>IFERROR(VLOOKUP(C167,TD!$B$32:$F$36,3,0)," ")</f>
        <v>4503</v>
      </c>
      <c r="R167" s="160">
        <f>IFERROR(VLOOKUP(C167,TD!$B$32:$F$36,4,0)," ")</f>
        <v>20240255</v>
      </c>
      <c r="S167" s="51" t="s">
        <v>187</v>
      </c>
      <c r="T167" s="160" t="str">
        <f>IFERROR(VLOOKUP(S167,TD!$J$33:$K$43,2,0)," ")</f>
        <v>Servicio de mantenimiento, dotación (HEA´s y equipo menor) y adquisición de vehiculos   especializados para la atención de emergencias.</v>
      </c>
      <c r="U167" s="161" t="str">
        <f>CONCATENATE(S167,"-",T167)</f>
        <v>09-Servicio de mantenimiento, dotación (HEA´s y equipo menor) y adquisición de vehiculos   especializados para la atención de emergencias.</v>
      </c>
      <c r="V167" s="51" t="s">
        <v>232</v>
      </c>
      <c r="W167" s="160" t="str">
        <f>IFERROR(VLOOKUP(V167,TD!$N$33:$O$45,2,0)," ")</f>
        <v>Servicio de atención a emergencias y desastres</v>
      </c>
      <c r="X167" s="161" t="str">
        <f>CONCATENATE(V167,"_",W167)</f>
        <v>004_Servicio de atención a emergencias y desastres</v>
      </c>
      <c r="Y167" s="161" t="str">
        <f>CONCATENATE(U167," ",X167)</f>
        <v>09-Servicio de mantenimiento, dotación (HEA´s y equipo menor) y adquisición de vehiculos   especializados para la atención de emergencias. 004_Servicio de atención a emergencias y desastres</v>
      </c>
      <c r="Z167" s="160" t="str">
        <f>CONCATENATE(P167,Q167,R167,S167,V167)</f>
        <v>O23011745032024025509004</v>
      </c>
      <c r="AA167" s="160" t="str">
        <f>IFERROR(VLOOKUP(Y167,TD!$K$46:$L$64,2,0)," ")</f>
        <v>PM/0131/0109/45030040255</v>
      </c>
      <c r="AB167" s="53" t="s">
        <v>87</v>
      </c>
      <c r="AC167" s="162" t="s">
        <v>204</v>
      </c>
    </row>
    <row r="168" spans="2:29" s="28" customFormat="1" ht="99" customHeight="1" x14ac:dyDescent="0.35">
      <c r="B168" s="77">
        <v>20250165</v>
      </c>
      <c r="C168" s="50" t="s">
        <v>209</v>
      </c>
      <c r="D168" s="158" t="s">
        <v>168</v>
      </c>
      <c r="E168" s="51" t="s">
        <v>640</v>
      </c>
      <c r="F168" s="158" t="s">
        <v>513</v>
      </c>
      <c r="G168" s="158" t="s">
        <v>119</v>
      </c>
      <c r="H168" s="97" t="s">
        <v>429</v>
      </c>
      <c r="I168" s="159">
        <v>3</v>
      </c>
      <c r="J168" s="159">
        <v>10</v>
      </c>
      <c r="K168" s="52">
        <v>0</v>
      </c>
      <c r="L168" s="153">
        <v>150000000</v>
      </c>
      <c r="M168" s="158" t="s">
        <v>473</v>
      </c>
      <c r="N168" s="53" t="s">
        <v>95</v>
      </c>
      <c r="O168" s="51" t="s">
        <v>224</v>
      </c>
      <c r="P168" s="160" t="str">
        <f>IFERROR(VLOOKUP(C168,TD!$B$32:$F$36,2,0)," ")</f>
        <v>O230117</v>
      </c>
      <c r="Q168" s="160" t="str">
        <f>IFERROR(VLOOKUP(C168,TD!$B$32:$F$36,3,0)," ")</f>
        <v>4503</v>
      </c>
      <c r="R168" s="160">
        <f>IFERROR(VLOOKUP(C168,TD!$B$32:$F$36,4,0)," ")</f>
        <v>20240255</v>
      </c>
      <c r="S168" s="51" t="s">
        <v>187</v>
      </c>
      <c r="T168" s="160" t="str">
        <f>IFERROR(VLOOKUP(S168,TD!$J$33:$K$43,2,0)," ")</f>
        <v>Servicio de mantenimiento, dotación (HEA´s y equipo menor) y adquisición de vehiculos   especializados para la atención de emergencias.</v>
      </c>
      <c r="U168" s="161" t="str">
        <f>CONCATENATE(S168,"-",T168)</f>
        <v>09-Servicio de mantenimiento, dotación (HEA´s y equipo menor) y adquisición de vehiculos   especializados para la atención de emergencias.</v>
      </c>
      <c r="V168" s="51" t="s">
        <v>232</v>
      </c>
      <c r="W168" s="160" t="str">
        <f>IFERROR(VLOOKUP(V168,TD!$N$33:$O$45,2,0)," ")</f>
        <v>Servicio de atención a emergencias y desastres</v>
      </c>
      <c r="X168" s="161" t="str">
        <f>CONCATENATE(V168,"_",W168)</f>
        <v>004_Servicio de atención a emergencias y desastres</v>
      </c>
      <c r="Y168" s="161" t="str">
        <f>CONCATENATE(U168," ",X168)</f>
        <v>09-Servicio de mantenimiento, dotación (HEA´s y equipo menor) y adquisición de vehiculos   especializados para la atención de emergencias. 004_Servicio de atención a emergencias y desastres</v>
      </c>
      <c r="Z168" s="160" t="str">
        <f>CONCATENATE(P168,Q168,R168,S168,V168)</f>
        <v>O23011745032024025509004</v>
      </c>
      <c r="AA168" s="160" t="str">
        <f>IFERROR(VLOOKUP(Y168,TD!$K$46:$L$64,2,0)," ")</f>
        <v>PM/0131/0109/45030040255</v>
      </c>
      <c r="AB168" s="53" t="s">
        <v>87</v>
      </c>
      <c r="AC168" s="162" t="s">
        <v>204</v>
      </c>
    </row>
    <row r="169" spans="2:29" s="28" customFormat="1" ht="99" customHeight="1" x14ac:dyDescent="0.35">
      <c r="B169" s="77">
        <v>20250166</v>
      </c>
      <c r="C169" s="50" t="s">
        <v>209</v>
      </c>
      <c r="D169" s="158" t="s">
        <v>168</v>
      </c>
      <c r="E169" s="51" t="s">
        <v>640</v>
      </c>
      <c r="F169" s="158" t="s">
        <v>514</v>
      </c>
      <c r="G169" s="158" t="s">
        <v>96</v>
      </c>
      <c r="H169" s="97" t="s">
        <v>430</v>
      </c>
      <c r="I169" s="159">
        <v>3</v>
      </c>
      <c r="J169" s="159">
        <v>12</v>
      </c>
      <c r="K169" s="52">
        <v>0</v>
      </c>
      <c r="L169" s="153">
        <v>40000000</v>
      </c>
      <c r="M169" s="158" t="s">
        <v>473</v>
      </c>
      <c r="N169" s="53" t="s">
        <v>100</v>
      </c>
      <c r="O169" s="51" t="s">
        <v>224</v>
      </c>
      <c r="P169" s="160" t="str">
        <f>IFERROR(VLOOKUP(C169,TD!$B$32:$F$36,2,0)," ")</f>
        <v>O230117</v>
      </c>
      <c r="Q169" s="160" t="str">
        <f>IFERROR(VLOOKUP(C169,TD!$B$32:$F$36,3,0)," ")</f>
        <v>4503</v>
      </c>
      <c r="R169" s="160">
        <f>IFERROR(VLOOKUP(C169,TD!$B$32:$F$36,4,0)," ")</f>
        <v>20240255</v>
      </c>
      <c r="S169" s="51" t="s">
        <v>191</v>
      </c>
      <c r="T169" s="160" t="str">
        <f>IFERROR(VLOOKUP(S169,TD!$J$33:$K$43,2,0)," ")</f>
        <v>Servicio de apoyo   logístico  en eventos operativos y/o emergencias.</v>
      </c>
      <c r="U169" s="161" t="str">
        <f>CONCATENATE(S169,"-",T169)</f>
        <v>12-Servicio de apoyo   logístico  en eventos operativos y/o emergencias.</v>
      </c>
      <c r="V169" s="51" t="s">
        <v>232</v>
      </c>
      <c r="W169" s="160" t="str">
        <f>IFERROR(VLOOKUP(V169,TD!$N$33:$O$45,2,0)," ")</f>
        <v>Servicio de atención a emergencias y desastres</v>
      </c>
      <c r="X169" s="161" t="str">
        <f>CONCATENATE(V169,"_",W169)</f>
        <v>004_Servicio de atención a emergencias y desastres</v>
      </c>
      <c r="Y169" s="161" t="str">
        <f>CONCATENATE(U169," ",X169)</f>
        <v>12-Servicio de apoyo   logístico  en eventos operativos y/o emergencias. 004_Servicio de atención a emergencias y desastres</v>
      </c>
      <c r="Z169" s="160" t="str">
        <f>CONCATENATE(P169,Q169,R169,S169,V169)</f>
        <v>O23011745032024025512004</v>
      </c>
      <c r="AA169" s="160" t="str">
        <f>IFERROR(VLOOKUP(Y169,TD!$K$46:$L$64,2,0)," ")</f>
        <v>PM/0131/0112/45030040255</v>
      </c>
      <c r="AB169" s="53" t="s">
        <v>134</v>
      </c>
      <c r="AC169" s="162" t="s">
        <v>204</v>
      </c>
    </row>
    <row r="170" spans="2:29" s="28" customFormat="1" ht="99" customHeight="1" x14ac:dyDescent="0.35">
      <c r="B170" s="77">
        <v>20250167</v>
      </c>
      <c r="C170" s="50" t="s">
        <v>209</v>
      </c>
      <c r="D170" s="158" t="s">
        <v>168</v>
      </c>
      <c r="E170" s="51" t="s">
        <v>640</v>
      </c>
      <c r="F170" s="158" t="s">
        <v>515</v>
      </c>
      <c r="G170" s="158" t="s">
        <v>119</v>
      </c>
      <c r="H170" s="97">
        <v>72101509</v>
      </c>
      <c r="I170" s="159">
        <v>2</v>
      </c>
      <c r="J170" s="159">
        <v>12</v>
      </c>
      <c r="K170" s="52">
        <v>0</v>
      </c>
      <c r="L170" s="153">
        <v>250000000</v>
      </c>
      <c r="M170" s="158" t="s">
        <v>473</v>
      </c>
      <c r="N170" s="53" t="s">
        <v>95</v>
      </c>
      <c r="O170" s="51" t="s">
        <v>224</v>
      </c>
      <c r="P170" s="160" t="str">
        <f>IFERROR(VLOOKUP(C170,TD!$B$32:$F$36,2,0)," ")</f>
        <v>O230117</v>
      </c>
      <c r="Q170" s="160" t="str">
        <f>IFERROR(VLOOKUP(C170,TD!$B$32:$F$36,3,0)," ")</f>
        <v>4503</v>
      </c>
      <c r="R170" s="160">
        <f>IFERROR(VLOOKUP(C170,TD!$B$32:$F$36,4,0)," ")</f>
        <v>20240255</v>
      </c>
      <c r="S170" s="51" t="s">
        <v>191</v>
      </c>
      <c r="T170" s="160" t="str">
        <f>IFERROR(VLOOKUP(S170,TD!$J$33:$K$43,2,0)," ")</f>
        <v>Servicio de apoyo   logístico  en eventos operativos y/o emergencias.</v>
      </c>
      <c r="U170" s="161" t="str">
        <f>CONCATENATE(S170,"-",T170)</f>
        <v>12-Servicio de apoyo   logístico  en eventos operativos y/o emergencias.</v>
      </c>
      <c r="V170" s="51" t="s">
        <v>232</v>
      </c>
      <c r="W170" s="160" t="str">
        <f>IFERROR(VLOOKUP(V170,TD!$N$33:$O$45,2,0)," ")</f>
        <v>Servicio de atención a emergencias y desastres</v>
      </c>
      <c r="X170" s="161" t="str">
        <f>CONCATENATE(V170,"_",W170)</f>
        <v>004_Servicio de atención a emergencias y desastres</v>
      </c>
      <c r="Y170" s="161" t="str">
        <f>CONCATENATE(U170," ",X170)</f>
        <v>12-Servicio de apoyo   logístico  en eventos operativos y/o emergencias. 004_Servicio de atención a emergencias y desastres</v>
      </c>
      <c r="Z170" s="160" t="str">
        <f>CONCATENATE(P170,Q170,R170,S170,V170)</f>
        <v>O23011745032024025512004</v>
      </c>
      <c r="AA170" s="160" t="str">
        <f>IFERROR(VLOOKUP(Y170,TD!$K$46:$L$64,2,0)," ")</f>
        <v>PM/0131/0112/45030040255</v>
      </c>
      <c r="AB170" s="53" t="s">
        <v>87</v>
      </c>
      <c r="AC170" s="162" t="s">
        <v>204</v>
      </c>
    </row>
    <row r="171" spans="2:29" s="28" customFormat="1" ht="99" customHeight="1" x14ac:dyDescent="0.35">
      <c r="B171" s="77">
        <v>20250168</v>
      </c>
      <c r="C171" s="50" t="s">
        <v>209</v>
      </c>
      <c r="D171" s="158" t="s">
        <v>168</v>
      </c>
      <c r="E171" s="51" t="s">
        <v>640</v>
      </c>
      <c r="F171" s="158" t="s">
        <v>821</v>
      </c>
      <c r="G171" s="158" t="s">
        <v>119</v>
      </c>
      <c r="H171" s="97" t="s">
        <v>787</v>
      </c>
      <c r="I171" s="159">
        <v>1</v>
      </c>
      <c r="J171" s="159">
        <v>12</v>
      </c>
      <c r="K171" s="52">
        <v>0</v>
      </c>
      <c r="L171" s="153">
        <v>305000000</v>
      </c>
      <c r="M171" s="158" t="s">
        <v>473</v>
      </c>
      <c r="N171" s="53" t="s">
        <v>95</v>
      </c>
      <c r="O171" s="51" t="s">
        <v>224</v>
      </c>
      <c r="P171" s="160" t="str">
        <f>IFERROR(VLOOKUP(C171,TD!$B$32:$F$36,2,0)," ")</f>
        <v>O230117</v>
      </c>
      <c r="Q171" s="160" t="str">
        <f>IFERROR(VLOOKUP(C171,TD!$B$32:$F$36,3,0)," ")</f>
        <v>4503</v>
      </c>
      <c r="R171" s="160">
        <f>IFERROR(VLOOKUP(C171,TD!$B$32:$F$36,4,0)," ")</f>
        <v>20240255</v>
      </c>
      <c r="S171" s="51" t="s">
        <v>187</v>
      </c>
      <c r="T171" s="160" t="str">
        <f>IFERROR(VLOOKUP(S171,TD!$J$33:$K$43,2,0)," ")</f>
        <v>Servicio de mantenimiento, dotación (HEA´s y equipo menor) y adquisición de vehiculos   especializados para la atención de emergencias.</v>
      </c>
      <c r="U171" s="161" t="str">
        <f>CONCATENATE(S171,"-",T171)</f>
        <v>09-Servicio de mantenimiento, dotación (HEA´s y equipo menor) y adquisición de vehiculos   especializados para la atención de emergencias.</v>
      </c>
      <c r="V171" s="51" t="s">
        <v>232</v>
      </c>
      <c r="W171" s="160" t="str">
        <f>IFERROR(VLOOKUP(V171,TD!$N$33:$O$45,2,0)," ")</f>
        <v>Servicio de atención a emergencias y desastres</v>
      </c>
      <c r="X171" s="161" t="str">
        <f>CONCATENATE(V171,"_",W171)</f>
        <v>004_Servicio de atención a emergencias y desastres</v>
      </c>
      <c r="Y171" s="161" t="str">
        <f>CONCATENATE(U171," ",X171)</f>
        <v>09-Servicio de mantenimiento, dotación (HEA´s y equipo menor) y adquisición de vehiculos   especializados para la atención de emergencias. 004_Servicio de atención a emergencias y desastres</v>
      </c>
      <c r="Z171" s="160" t="str">
        <f>CONCATENATE(P171,Q171,R171,S171,V171)</f>
        <v>O23011745032024025509004</v>
      </c>
      <c r="AA171" s="160" t="str">
        <f>IFERROR(VLOOKUP(Y171,TD!$K$46:$L$64,2,0)," ")</f>
        <v>PM/0131/0109/45030040255</v>
      </c>
      <c r="AB171" s="53" t="s">
        <v>87</v>
      </c>
      <c r="AC171" s="162" t="s">
        <v>204</v>
      </c>
    </row>
    <row r="172" spans="2:29" s="28" customFormat="1" ht="99" customHeight="1" x14ac:dyDescent="0.35">
      <c r="B172" s="77">
        <v>20250169</v>
      </c>
      <c r="C172" s="50" t="s">
        <v>209</v>
      </c>
      <c r="D172" s="158" t="s">
        <v>168</v>
      </c>
      <c r="E172" s="51" t="s">
        <v>640</v>
      </c>
      <c r="F172" s="158" t="s">
        <v>516</v>
      </c>
      <c r="G172" s="158" t="s">
        <v>96</v>
      </c>
      <c r="H172" s="97">
        <v>72101509</v>
      </c>
      <c r="I172" s="159">
        <v>2</v>
      </c>
      <c r="J172" s="159">
        <v>12</v>
      </c>
      <c r="K172" s="52">
        <v>0</v>
      </c>
      <c r="L172" s="153">
        <v>150864320</v>
      </c>
      <c r="M172" s="158" t="s">
        <v>473</v>
      </c>
      <c r="N172" s="53" t="s">
        <v>113</v>
      </c>
      <c r="O172" s="51" t="s">
        <v>224</v>
      </c>
      <c r="P172" s="160" t="str">
        <f>IFERROR(VLOOKUP(C172,TD!$B$32:$F$36,2,0)," ")</f>
        <v>O230117</v>
      </c>
      <c r="Q172" s="160" t="str">
        <f>IFERROR(VLOOKUP(C172,TD!$B$32:$F$36,3,0)," ")</f>
        <v>4503</v>
      </c>
      <c r="R172" s="160">
        <f>IFERROR(VLOOKUP(C172,TD!$B$32:$F$36,4,0)," ")</f>
        <v>20240255</v>
      </c>
      <c r="S172" s="51" t="s">
        <v>187</v>
      </c>
      <c r="T172" s="160" t="str">
        <f>IFERROR(VLOOKUP(S172,TD!$J$33:$K$43,2,0)," ")</f>
        <v>Servicio de mantenimiento, dotación (HEA´s y equipo menor) y adquisición de vehiculos   especializados para la atención de emergencias.</v>
      </c>
      <c r="U172" s="161" t="str">
        <f>CONCATENATE(S172,"-",T172)</f>
        <v>09-Servicio de mantenimiento, dotación (HEA´s y equipo menor) y adquisición de vehiculos   especializados para la atención de emergencias.</v>
      </c>
      <c r="V172" s="51" t="s">
        <v>232</v>
      </c>
      <c r="W172" s="160" t="str">
        <f>IFERROR(VLOOKUP(V172,TD!$N$33:$O$45,2,0)," ")</f>
        <v>Servicio de atención a emergencias y desastres</v>
      </c>
      <c r="X172" s="161" t="str">
        <f>CONCATENATE(V172,"_",W172)</f>
        <v>004_Servicio de atención a emergencias y desastres</v>
      </c>
      <c r="Y172" s="161" t="str">
        <f>CONCATENATE(U172," ",X172)</f>
        <v>09-Servicio de mantenimiento, dotación (HEA´s y equipo menor) y adquisición de vehiculos   especializados para la atención de emergencias. 004_Servicio de atención a emergencias y desastres</v>
      </c>
      <c r="Z172" s="160" t="str">
        <f>CONCATENATE(P172,Q172,R172,S172,V172)</f>
        <v>O23011745032024025509004</v>
      </c>
      <c r="AA172" s="160" t="str">
        <f>IFERROR(VLOOKUP(Y172,TD!$K$46:$L$64,2,0)," ")</f>
        <v>PM/0131/0109/45030040255</v>
      </c>
      <c r="AB172" s="53" t="s">
        <v>87</v>
      </c>
      <c r="AC172" s="162" t="s">
        <v>204</v>
      </c>
    </row>
    <row r="173" spans="2:29" s="28" customFormat="1" ht="99" customHeight="1" x14ac:dyDescent="0.35">
      <c r="B173" s="77">
        <v>20250170</v>
      </c>
      <c r="C173" s="50" t="s">
        <v>209</v>
      </c>
      <c r="D173" s="158" t="s">
        <v>168</v>
      </c>
      <c r="E173" s="51" t="s">
        <v>640</v>
      </c>
      <c r="F173" s="158" t="s">
        <v>517</v>
      </c>
      <c r="G173" s="158" t="s">
        <v>119</v>
      </c>
      <c r="H173" s="97" t="s">
        <v>518</v>
      </c>
      <c r="I173" s="159">
        <v>3</v>
      </c>
      <c r="J173" s="159">
        <v>12</v>
      </c>
      <c r="K173" s="52">
        <v>0</v>
      </c>
      <c r="L173" s="153">
        <v>100000000</v>
      </c>
      <c r="M173" s="158" t="s">
        <v>473</v>
      </c>
      <c r="N173" s="53" t="s">
        <v>113</v>
      </c>
      <c r="O173" s="51" t="s">
        <v>224</v>
      </c>
      <c r="P173" s="160" t="str">
        <f>IFERROR(VLOOKUP(C173,TD!$B$32:$F$36,2,0)," ")</f>
        <v>O230117</v>
      </c>
      <c r="Q173" s="160" t="str">
        <f>IFERROR(VLOOKUP(C173,TD!$B$32:$F$36,3,0)," ")</f>
        <v>4503</v>
      </c>
      <c r="R173" s="160">
        <f>IFERROR(VLOOKUP(C173,TD!$B$32:$F$36,4,0)," ")</f>
        <v>20240255</v>
      </c>
      <c r="S173" s="51" t="s">
        <v>187</v>
      </c>
      <c r="T173" s="160" t="str">
        <f>IFERROR(VLOOKUP(S173,TD!$J$33:$K$43,2,0)," ")</f>
        <v>Servicio de mantenimiento, dotación (HEA´s y equipo menor) y adquisición de vehiculos   especializados para la atención de emergencias.</v>
      </c>
      <c r="U173" s="161" t="str">
        <f>CONCATENATE(S173,"-",T173)</f>
        <v>09-Servicio de mantenimiento, dotación (HEA´s y equipo menor) y adquisición de vehiculos   especializados para la atención de emergencias.</v>
      </c>
      <c r="V173" s="51" t="s">
        <v>232</v>
      </c>
      <c r="W173" s="160" t="str">
        <f>IFERROR(VLOOKUP(V173,TD!$N$33:$O$45,2,0)," ")</f>
        <v>Servicio de atención a emergencias y desastres</v>
      </c>
      <c r="X173" s="161" t="str">
        <f>CONCATENATE(V173,"_",W173)</f>
        <v>004_Servicio de atención a emergencias y desastres</v>
      </c>
      <c r="Y173" s="161" t="str">
        <f>CONCATENATE(U173," ",X173)</f>
        <v>09-Servicio de mantenimiento, dotación (HEA´s y equipo menor) y adquisición de vehiculos   especializados para la atención de emergencias. 004_Servicio de atención a emergencias y desastres</v>
      </c>
      <c r="Z173" s="160" t="str">
        <f>CONCATENATE(P173,Q173,R173,S173,V173)</f>
        <v>O23011745032024025509004</v>
      </c>
      <c r="AA173" s="160" t="str">
        <f>IFERROR(VLOOKUP(Y173,TD!$K$46:$L$64,2,0)," ")</f>
        <v>PM/0131/0109/45030040255</v>
      </c>
      <c r="AB173" s="53" t="s">
        <v>87</v>
      </c>
      <c r="AC173" s="162" t="s">
        <v>204</v>
      </c>
    </row>
    <row r="174" spans="2:29" s="28" customFormat="1" ht="99" customHeight="1" x14ac:dyDescent="0.35">
      <c r="B174" s="77">
        <v>20250171</v>
      </c>
      <c r="C174" s="50" t="s">
        <v>209</v>
      </c>
      <c r="D174" s="158" t="s">
        <v>168</v>
      </c>
      <c r="E174" s="51" t="s">
        <v>640</v>
      </c>
      <c r="F174" s="158" t="s">
        <v>519</v>
      </c>
      <c r="G174" s="158" t="s">
        <v>96</v>
      </c>
      <c r="H174" s="97" t="s">
        <v>520</v>
      </c>
      <c r="I174" s="159">
        <v>3</v>
      </c>
      <c r="J174" s="159">
        <v>12</v>
      </c>
      <c r="K174" s="52">
        <v>0</v>
      </c>
      <c r="L174" s="153">
        <v>95347742</v>
      </c>
      <c r="M174" s="158" t="s">
        <v>473</v>
      </c>
      <c r="N174" s="53" t="s">
        <v>113</v>
      </c>
      <c r="O174" s="51" t="s">
        <v>224</v>
      </c>
      <c r="P174" s="160" t="str">
        <f>IFERROR(VLOOKUP(C174,TD!$B$32:$F$36,2,0)," ")</f>
        <v>O230117</v>
      </c>
      <c r="Q174" s="160" t="str">
        <f>IFERROR(VLOOKUP(C174,TD!$B$32:$F$36,3,0)," ")</f>
        <v>4503</v>
      </c>
      <c r="R174" s="160">
        <f>IFERROR(VLOOKUP(C174,TD!$B$32:$F$36,4,0)," ")</f>
        <v>20240255</v>
      </c>
      <c r="S174" s="51" t="s">
        <v>187</v>
      </c>
      <c r="T174" s="160" t="str">
        <f>IFERROR(VLOOKUP(S174,TD!$J$33:$K$43,2,0)," ")</f>
        <v>Servicio de mantenimiento, dotación (HEA´s y equipo menor) y adquisición de vehiculos   especializados para la atención de emergencias.</v>
      </c>
      <c r="U174" s="161" t="str">
        <f>CONCATENATE(S174,"-",T174)</f>
        <v>09-Servicio de mantenimiento, dotación (HEA´s y equipo menor) y adquisición de vehiculos   especializados para la atención de emergencias.</v>
      </c>
      <c r="V174" s="51" t="s">
        <v>232</v>
      </c>
      <c r="W174" s="160" t="str">
        <f>IFERROR(VLOOKUP(V174,TD!$N$33:$O$45,2,0)," ")</f>
        <v>Servicio de atención a emergencias y desastres</v>
      </c>
      <c r="X174" s="161" t="str">
        <f>CONCATENATE(V174,"_",W174)</f>
        <v>004_Servicio de atención a emergencias y desastres</v>
      </c>
      <c r="Y174" s="161" t="str">
        <f>CONCATENATE(U174," ",X174)</f>
        <v>09-Servicio de mantenimiento, dotación (HEA´s y equipo menor) y adquisición de vehiculos   especializados para la atención de emergencias. 004_Servicio de atención a emergencias y desastres</v>
      </c>
      <c r="Z174" s="160" t="str">
        <f>CONCATENATE(P174,Q174,R174,S174,V174)</f>
        <v>O23011745032024025509004</v>
      </c>
      <c r="AA174" s="160" t="str">
        <f>IFERROR(VLOOKUP(Y174,TD!$K$46:$L$64,2,0)," ")</f>
        <v>PM/0131/0109/45030040255</v>
      </c>
      <c r="AB174" s="53" t="s">
        <v>147</v>
      </c>
      <c r="AC174" s="162" t="s">
        <v>204</v>
      </c>
    </row>
    <row r="175" spans="2:29" s="28" customFormat="1" ht="99" customHeight="1" x14ac:dyDescent="0.35">
      <c r="B175" s="77">
        <v>20250172</v>
      </c>
      <c r="C175" s="50" t="s">
        <v>209</v>
      </c>
      <c r="D175" s="158" t="s">
        <v>168</v>
      </c>
      <c r="E175" s="51" t="s">
        <v>640</v>
      </c>
      <c r="F175" s="158" t="s">
        <v>521</v>
      </c>
      <c r="G175" s="158" t="s">
        <v>96</v>
      </c>
      <c r="H175" s="97" t="s">
        <v>520</v>
      </c>
      <c r="I175" s="159">
        <v>2</v>
      </c>
      <c r="J175" s="159">
        <v>12</v>
      </c>
      <c r="K175" s="52">
        <v>0</v>
      </c>
      <c r="L175" s="153">
        <v>100000000</v>
      </c>
      <c r="M175" s="158" t="s">
        <v>473</v>
      </c>
      <c r="N175" s="53" t="s">
        <v>95</v>
      </c>
      <c r="O175" s="51" t="s">
        <v>224</v>
      </c>
      <c r="P175" s="160" t="str">
        <f>IFERROR(VLOOKUP(C175,TD!$B$32:$F$36,2,0)," ")</f>
        <v>O230117</v>
      </c>
      <c r="Q175" s="160" t="str">
        <f>IFERROR(VLOOKUP(C175,TD!$B$32:$F$36,3,0)," ")</f>
        <v>4503</v>
      </c>
      <c r="R175" s="160">
        <f>IFERROR(VLOOKUP(C175,TD!$B$32:$F$36,4,0)," ")</f>
        <v>20240255</v>
      </c>
      <c r="S175" s="51" t="s">
        <v>187</v>
      </c>
      <c r="T175" s="160" t="str">
        <f>IFERROR(VLOOKUP(S175,TD!$J$33:$K$43,2,0)," ")</f>
        <v>Servicio de mantenimiento, dotación (HEA´s y equipo menor) y adquisición de vehiculos   especializados para la atención de emergencias.</v>
      </c>
      <c r="U175" s="161" t="str">
        <f>CONCATENATE(S175,"-",T175)</f>
        <v>09-Servicio de mantenimiento, dotación (HEA´s y equipo menor) y adquisición de vehiculos   especializados para la atención de emergencias.</v>
      </c>
      <c r="V175" s="51" t="s">
        <v>232</v>
      </c>
      <c r="W175" s="160" t="str">
        <f>IFERROR(VLOOKUP(V175,TD!$N$33:$O$45,2,0)," ")</f>
        <v>Servicio de atención a emergencias y desastres</v>
      </c>
      <c r="X175" s="161" t="str">
        <f>CONCATENATE(V175,"_",W175)</f>
        <v>004_Servicio de atención a emergencias y desastres</v>
      </c>
      <c r="Y175" s="161" t="str">
        <f>CONCATENATE(U175," ",X175)</f>
        <v>09-Servicio de mantenimiento, dotación (HEA´s y equipo menor) y adquisición de vehiculos   especializados para la atención de emergencias. 004_Servicio de atención a emergencias y desastres</v>
      </c>
      <c r="Z175" s="160" t="str">
        <f>CONCATENATE(P175,Q175,R175,S175,V175)</f>
        <v>O23011745032024025509004</v>
      </c>
      <c r="AA175" s="160" t="str">
        <f>IFERROR(VLOOKUP(Y175,TD!$K$46:$L$64,2,0)," ")</f>
        <v>PM/0131/0109/45030040255</v>
      </c>
      <c r="AB175" s="53" t="s">
        <v>87</v>
      </c>
      <c r="AC175" s="162" t="s">
        <v>204</v>
      </c>
    </row>
    <row r="176" spans="2:29" s="28" customFormat="1" ht="99" customHeight="1" x14ac:dyDescent="0.35">
      <c r="B176" s="77">
        <v>20250173</v>
      </c>
      <c r="C176" s="50" t="s">
        <v>209</v>
      </c>
      <c r="D176" s="158" t="s">
        <v>168</v>
      </c>
      <c r="E176" s="51" t="s">
        <v>640</v>
      </c>
      <c r="F176" s="158" t="s">
        <v>522</v>
      </c>
      <c r="G176" s="158" t="s">
        <v>96</v>
      </c>
      <c r="H176" s="97" t="s">
        <v>520</v>
      </c>
      <c r="I176" s="159">
        <v>2</v>
      </c>
      <c r="J176" s="159">
        <v>12</v>
      </c>
      <c r="K176" s="52">
        <v>0</v>
      </c>
      <c r="L176" s="153">
        <v>50000000</v>
      </c>
      <c r="M176" s="158" t="s">
        <v>473</v>
      </c>
      <c r="N176" s="53" t="s">
        <v>100</v>
      </c>
      <c r="O176" s="51" t="s">
        <v>224</v>
      </c>
      <c r="P176" s="160" t="str">
        <f>IFERROR(VLOOKUP(C176,TD!$B$32:$F$36,2,0)," ")</f>
        <v>O230117</v>
      </c>
      <c r="Q176" s="160" t="str">
        <f>IFERROR(VLOOKUP(C176,TD!$B$32:$F$36,3,0)," ")</f>
        <v>4503</v>
      </c>
      <c r="R176" s="160">
        <f>IFERROR(VLOOKUP(C176,TD!$B$32:$F$36,4,0)," ")</f>
        <v>20240255</v>
      </c>
      <c r="S176" s="51" t="s">
        <v>187</v>
      </c>
      <c r="T176" s="160" t="str">
        <f>IFERROR(VLOOKUP(S176,TD!$J$33:$K$43,2,0)," ")</f>
        <v>Servicio de mantenimiento, dotación (HEA´s y equipo menor) y adquisición de vehiculos   especializados para la atención de emergencias.</v>
      </c>
      <c r="U176" s="161" t="str">
        <f>CONCATENATE(S176,"-",T176)</f>
        <v>09-Servicio de mantenimiento, dotación (HEA´s y equipo menor) y adquisición de vehiculos   especializados para la atención de emergencias.</v>
      </c>
      <c r="V176" s="51" t="s">
        <v>232</v>
      </c>
      <c r="W176" s="160" t="str">
        <f>IFERROR(VLOOKUP(V176,TD!$N$33:$O$45,2,0)," ")</f>
        <v>Servicio de atención a emergencias y desastres</v>
      </c>
      <c r="X176" s="161" t="str">
        <f>CONCATENATE(V176,"_",W176)</f>
        <v>004_Servicio de atención a emergencias y desastres</v>
      </c>
      <c r="Y176" s="161" t="str">
        <f>CONCATENATE(U176," ",X176)</f>
        <v>09-Servicio de mantenimiento, dotación (HEA´s y equipo menor) y adquisición de vehiculos   especializados para la atención de emergencias. 004_Servicio de atención a emergencias y desastres</v>
      </c>
      <c r="Z176" s="160" t="str">
        <f>CONCATENATE(P176,Q176,R176,S176,V176)</f>
        <v>O23011745032024025509004</v>
      </c>
      <c r="AA176" s="160" t="str">
        <f>IFERROR(VLOOKUP(Y176,TD!$K$46:$L$64,2,0)," ")</f>
        <v>PM/0131/0109/45030040255</v>
      </c>
      <c r="AB176" s="53" t="s">
        <v>97</v>
      </c>
      <c r="AC176" s="162" t="s">
        <v>204</v>
      </c>
    </row>
    <row r="177" spans="2:29" s="28" customFormat="1" ht="99" customHeight="1" x14ac:dyDescent="0.35">
      <c r="B177" s="77">
        <v>20250174</v>
      </c>
      <c r="C177" s="50" t="s">
        <v>209</v>
      </c>
      <c r="D177" s="158" t="s">
        <v>168</v>
      </c>
      <c r="E177" s="51" t="s">
        <v>640</v>
      </c>
      <c r="F177" s="158" t="s">
        <v>788</v>
      </c>
      <c r="G177" s="158" t="s">
        <v>156</v>
      </c>
      <c r="H177" s="97">
        <v>80111600</v>
      </c>
      <c r="I177" s="159">
        <v>2</v>
      </c>
      <c r="J177" s="159">
        <v>9</v>
      </c>
      <c r="K177" s="52">
        <v>0</v>
      </c>
      <c r="L177" s="153">
        <v>29700000</v>
      </c>
      <c r="M177" s="158" t="s">
        <v>473</v>
      </c>
      <c r="N177" s="53" t="s">
        <v>113</v>
      </c>
      <c r="O177" s="51" t="s">
        <v>224</v>
      </c>
      <c r="P177" s="160" t="str">
        <f>IFERROR(VLOOKUP(C177,TD!$B$32:$F$36,2,0)," ")</f>
        <v>O230117</v>
      </c>
      <c r="Q177" s="160" t="str">
        <f>IFERROR(VLOOKUP(C177,TD!$B$32:$F$36,3,0)," ")</f>
        <v>4503</v>
      </c>
      <c r="R177" s="160">
        <f>IFERROR(VLOOKUP(C177,TD!$B$32:$F$36,4,0)," ")</f>
        <v>20240255</v>
      </c>
      <c r="S177" s="51" t="s">
        <v>187</v>
      </c>
      <c r="T177" s="160" t="str">
        <f>IFERROR(VLOOKUP(S177,TD!$J$33:$K$43,2,0)," ")</f>
        <v>Servicio de mantenimiento, dotación (HEA´s y equipo menor) y adquisición de vehiculos   especializados para la atención de emergencias.</v>
      </c>
      <c r="U177" s="161" t="str">
        <f>CONCATENATE(S177,"-",T177)</f>
        <v>09-Servicio de mantenimiento, dotación (HEA´s y equipo menor) y adquisición de vehiculos   especializados para la atención de emergencias.</v>
      </c>
      <c r="V177" s="51" t="s">
        <v>232</v>
      </c>
      <c r="W177" s="160" t="str">
        <f>IFERROR(VLOOKUP(V177,TD!$N$33:$O$45,2,0)," ")</f>
        <v>Servicio de atención a emergencias y desastres</v>
      </c>
      <c r="X177" s="161" t="str">
        <f>CONCATENATE(V177,"_",W177)</f>
        <v>004_Servicio de atención a emergencias y desastres</v>
      </c>
      <c r="Y177" s="161" t="str">
        <f>CONCATENATE(U177," ",X177)</f>
        <v>09-Servicio de mantenimiento, dotación (HEA´s y equipo menor) y adquisición de vehiculos   especializados para la atención de emergencias. 004_Servicio de atención a emergencias y desastres</v>
      </c>
      <c r="Z177" s="160" t="str">
        <f>CONCATENATE(P177,Q177,R177,S177,V177)</f>
        <v>O23011745032024025509004</v>
      </c>
      <c r="AA177" s="160" t="str">
        <f>IFERROR(VLOOKUP(Y177,TD!$K$46:$L$64,2,0)," ")</f>
        <v>PM/0131/0109/45030040255</v>
      </c>
      <c r="AB177" s="53" t="s">
        <v>138</v>
      </c>
      <c r="AC177" s="162" t="s">
        <v>204</v>
      </c>
    </row>
    <row r="178" spans="2:29" s="28" customFormat="1" ht="99" customHeight="1" x14ac:dyDescent="0.35">
      <c r="B178" s="77">
        <v>20250175</v>
      </c>
      <c r="C178" s="50" t="s">
        <v>209</v>
      </c>
      <c r="D178" s="158" t="s">
        <v>168</v>
      </c>
      <c r="E178" s="51" t="s">
        <v>640</v>
      </c>
      <c r="F178" s="158" t="s">
        <v>789</v>
      </c>
      <c r="G178" s="158" t="s">
        <v>155</v>
      </c>
      <c r="H178" s="97">
        <v>80111600</v>
      </c>
      <c r="I178" s="159">
        <v>2</v>
      </c>
      <c r="J178" s="159">
        <v>10</v>
      </c>
      <c r="K178" s="52">
        <v>0</v>
      </c>
      <c r="L178" s="153">
        <v>50000000</v>
      </c>
      <c r="M178" s="158" t="s">
        <v>473</v>
      </c>
      <c r="N178" s="53" t="s">
        <v>113</v>
      </c>
      <c r="O178" s="51" t="s">
        <v>224</v>
      </c>
      <c r="P178" s="160" t="str">
        <f>IFERROR(VLOOKUP(C178,TD!$B$32:$F$36,2,0)," ")</f>
        <v>O230117</v>
      </c>
      <c r="Q178" s="160" t="str">
        <f>IFERROR(VLOOKUP(C178,TD!$B$32:$F$36,3,0)," ")</f>
        <v>4503</v>
      </c>
      <c r="R178" s="160">
        <f>IFERROR(VLOOKUP(C178,TD!$B$32:$F$36,4,0)," ")</f>
        <v>20240255</v>
      </c>
      <c r="S178" s="51" t="s">
        <v>191</v>
      </c>
      <c r="T178" s="160" t="str">
        <f>IFERROR(VLOOKUP(S178,TD!$J$33:$K$43,2,0)," ")</f>
        <v>Servicio de apoyo   logístico  en eventos operativos y/o emergencias.</v>
      </c>
      <c r="U178" s="161" t="str">
        <f>CONCATENATE(S178,"-",T178)</f>
        <v>12-Servicio de apoyo   logístico  en eventos operativos y/o emergencias.</v>
      </c>
      <c r="V178" s="51" t="s">
        <v>232</v>
      </c>
      <c r="W178" s="160" t="str">
        <f>IFERROR(VLOOKUP(V178,TD!$N$33:$O$45,2,0)," ")</f>
        <v>Servicio de atención a emergencias y desastres</v>
      </c>
      <c r="X178" s="161" t="str">
        <f>CONCATENATE(V178,"_",W178)</f>
        <v>004_Servicio de atención a emergencias y desastres</v>
      </c>
      <c r="Y178" s="161" t="str">
        <f>CONCATENATE(U178," ",X178)</f>
        <v>12-Servicio de apoyo   logístico  en eventos operativos y/o emergencias. 004_Servicio de atención a emergencias y desastres</v>
      </c>
      <c r="Z178" s="160" t="str">
        <f>CONCATENATE(P178,Q178,R178,S178,V178)</f>
        <v>O23011745032024025512004</v>
      </c>
      <c r="AA178" s="160" t="str">
        <f>IFERROR(VLOOKUP(Y178,TD!$K$46:$L$64,2,0)," ")</f>
        <v>PM/0131/0112/45030040255</v>
      </c>
      <c r="AB178" s="53" t="s">
        <v>138</v>
      </c>
      <c r="AC178" s="162" t="s">
        <v>204</v>
      </c>
    </row>
    <row r="179" spans="2:29" s="28" customFormat="1" ht="99" customHeight="1" x14ac:dyDescent="0.35">
      <c r="B179" s="77">
        <v>20250176</v>
      </c>
      <c r="C179" s="50" t="s">
        <v>209</v>
      </c>
      <c r="D179" s="158" t="s">
        <v>168</v>
      </c>
      <c r="E179" s="51" t="s">
        <v>640</v>
      </c>
      <c r="F179" s="158" t="s">
        <v>790</v>
      </c>
      <c r="G179" s="158" t="s">
        <v>155</v>
      </c>
      <c r="H179" s="97">
        <v>80111600</v>
      </c>
      <c r="I179" s="159">
        <v>2</v>
      </c>
      <c r="J179" s="159">
        <v>8</v>
      </c>
      <c r="K179" s="52">
        <v>0</v>
      </c>
      <c r="L179" s="153">
        <v>100000000</v>
      </c>
      <c r="M179" s="158" t="s">
        <v>473</v>
      </c>
      <c r="N179" s="53" t="s">
        <v>113</v>
      </c>
      <c r="O179" s="51" t="s">
        <v>224</v>
      </c>
      <c r="P179" s="160" t="str">
        <f>IFERROR(VLOOKUP(C179,TD!$B$32:$F$36,2,0)," ")</f>
        <v>O230117</v>
      </c>
      <c r="Q179" s="160" t="str">
        <f>IFERROR(VLOOKUP(C179,TD!$B$32:$F$36,3,0)," ")</f>
        <v>4503</v>
      </c>
      <c r="R179" s="160">
        <f>IFERROR(VLOOKUP(C179,TD!$B$32:$F$36,4,0)," ")</f>
        <v>20240255</v>
      </c>
      <c r="S179" s="51" t="s">
        <v>191</v>
      </c>
      <c r="T179" s="160" t="str">
        <f>IFERROR(VLOOKUP(S179,TD!$J$33:$K$43,2,0)," ")</f>
        <v>Servicio de apoyo   logístico  en eventos operativos y/o emergencias.</v>
      </c>
      <c r="U179" s="161" t="str">
        <f>CONCATENATE(S179,"-",T179)</f>
        <v>12-Servicio de apoyo   logístico  en eventos operativos y/o emergencias.</v>
      </c>
      <c r="V179" s="51" t="s">
        <v>232</v>
      </c>
      <c r="W179" s="160" t="str">
        <f>IFERROR(VLOOKUP(V179,TD!$N$33:$O$45,2,0)," ")</f>
        <v>Servicio de atención a emergencias y desastres</v>
      </c>
      <c r="X179" s="161" t="str">
        <f>CONCATENATE(V179,"_",W179)</f>
        <v>004_Servicio de atención a emergencias y desastres</v>
      </c>
      <c r="Y179" s="161" t="str">
        <f>CONCATENATE(U179," ",X179)</f>
        <v>12-Servicio de apoyo   logístico  en eventos operativos y/o emergencias. 004_Servicio de atención a emergencias y desastres</v>
      </c>
      <c r="Z179" s="160" t="str">
        <f>CONCATENATE(P179,Q179,R179,S179,V179)</f>
        <v>O23011745032024025512004</v>
      </c>
      <c r="AA179" s="160" t="str">
        <f>IFERROR(VLOOKUP(Y179,TD!$K$46:$L$64,2,0)," ")</f>
        <v>PM/0131/0112/45030040255</v>
      </c>
      <c r="AB179" s="53" t="s">
        <v>120</v>
      </c>
      <c r="AC179" s="162" t="s">
        <v>204</v>
      </c>
    </row>
    <row r="180" spans="2:29" s="28" customFormat="1" ht="99" customHeight="1" x14ac:dyDescent="0.35">
      <c r="B180" s="77">
        <v>20250177</v>
      </c>
      <c r="C180" s="50" t="s">
        <v>209</v>
      </c>
      <c r="D180" s="158" t="s">
        <v>168</v>
      </c>
      <c r="E180" s="51" t="s">
        <v>640</v>
      </c>
      <c r="F180" s="158" t="s">
        <v>791</v>
      </c>
      <c r="G180" s="158" t="s">
        <v>156</v>
      </c>
      <c r="H180" s="97">
        <v>80111600</v>
      </c>
      <c r="I180" s="159">
        <v>2</v>
      </c>
      <c r="J180" s="159">
        <v>10</v>
      </c>
      <c r="K180" s="52">
        <v>0</v>
      </c>
      <c r="L180" s="153">
        <v>38000000</v>
      </c>
      <c r="M180" s="158" t="s">
        <v>473</v>
      </c>
      <c r="N180" s="53" t="s">
        <v>113</v>
      </c>
      <c r="O180" s="51" t="s">
        <v>224</v>
      </c>
      <c r="P180" s="160" t="str">
        <f>IFERROR(VLOOKUP(C180,TD!$B$32:$F$36,2,0)," ")</f>
        <v>O230117</v>
      </c>
      <c r="Q180" s="160" t="str">
        <f>IFERROR(VLOOKUP(C180,TD!$B$32:$F$36,3,0)," ")</f>
        <v>4503</v>
      </c>
      <c r="R180" s="160">
        <f>IFERROR(VLOOKUP(C180,TD!$B$32:$F$36,4,0)," ")</f>
        <v>20240255</v>
      </c>
      <c r="S180" s="51" t="s">
        <v>191</v>
      </c>
      <c r="T180" s="160" t="str">
        <f>IFERROR(VLOOKUP(S180,TD!$J$33:$K$43,2,0)," ")</f>
        <v>Servicio de apoyo   logístico  en eventos operativos y/o emergencias.</v>
      </c>
      <c r="U180" s="161" t="str">
        <f>CONCATENATE(S180,"-",T180)</f>
        <v>12-Servicio de apoyo   logístico  en eventos operativos y/o emergencias.</v>
      </c>
      <c r="V180" s="51" t="s">
        <v>232</v>
      </c>
      <c r="W180" s="160" t="str">
        <f>IFERROR(VLOOKUP(V180,TD!$N$33:$O$45,2,0)," ")</f>
        <v>Servicio de atención a emergencias y desastres</v>
      </c>
      <c r="X180" s="161" t="str">
        <f>CONCATENATE(V180,"_",W180)</f>
        <v>004_Servicio de atención a emergencias y desastres</v>
      </c>
      <c r="Y180" s="161" t="str">
        <f>CONCATENATE(U180," ",X180)</f>
        <v>12-Servicio de apoyo   logístico  en eventos operativos y/o emergencias. 004_Servicio de atención a emergencias y desastres</v>
      </c>
      <c r="Z180" s="160" t="str">
        <f>CONCATENATE(P180,Q180,R180,S180,V180)</f>
        <v>O23011745032024025512004</v>
      </c>
      <c r="AA180" s="160" t="str">
        <f>IFERROR(VLOOKUP(Y180,TD!$K$46:$L$64,2,0)," ")</f>
        <v>PM/0131/0112/45030040255</v>
      </c>
      <c r="AB180" s="53" t="s">
        <v>138</v>
      </c>
      <c r="AC180" s="162" t="s">
        <v>204</v>
      </c>
    </row>
    <row r="181" spans="2:29" s="28" customFormat="1" ht="99" customHeight="1" x14ac:dyDescent="0.35">
      <c r="B181" s="186">
        <v>20250178</v>
      </c>
      <c r="C181" s="187" t="s">
        <v>209</v>
      </c>
      <c r="D181" s="188" t="s">
        <v>168</v>
      </c>
      <c r="E181" s="189" t="s">
        <v>640</v>
      </c>
      <c r="F181" s="188" t="s">
        <v>792</v>
      </c>
      <c r="G181" s="188" t="s">
        <v>155</v>
      </c>
      <c r="H181" s="190">
        <v>80111600</v>
      </c>
      <c r="I181" s="191">
        <v>3</v>
      </c>
      <c r="J181" s="191">
        <v>6</v>
      </c>
      <c r="K181" s="192">
        <v>0</v>
      </c>
      <c r="L181" s="193">
        <v>31200000</v>
      </c>
      <c r="M181" s="188" t="s">
        <v>473</v>
      </c>
      <c r="N181" s="194" t="s">
        <v>113</v>
      </c>
      <c r="O181" s="189" t="s">
        <v>224</v>
      </c>
      <c r="P181" s="195" t="str">
        <f>IFERROR(VLOOKUP(C181,TD!$B$32:$F$36,2,0)," ")</f>
        <v>O230117</v>
      </c>
      <c r="Q181" s="195" t="str">
        <f>IFERROR(VLOOKUP(C181,TD!$B$32:$F$36,3,0)," ")</f>
        <v>4503</v>
      </c>
      <c r="R181" s="195">
        <f>IFERROR(VLOOKUP(C181,TD!$B$32:$F$36,4,0)," ")</f>
        <v>20240255</v>
      </c>
      <c r="S181" s="189" t="s">
        <v>191</v>
      </c>
      <c r="T181" s="195" t="str">
        <f>IFERROR(VLOOKUP(S181,TD!$J$33:$K$43,2,0)," ")</f>
        <v>Servicio de apoyo   logístico  en eventos operativos y/o emergencias.</v>
      </c>
      <c r="U181" s="161" t="str">
        <f>CONCATENATE(S181,"-",T181)</f>
        <v>12-Servicio de apoyo   logístico  en eventos operativos y/o emergencias.</v>
      </c>
      <c r="V181" s="189" t="s">
        <v>232</v>
      </c>
      <c r="W181" s="195" t="str">
        <f>IFERROR(VLOOKUP(V181,TD!$N$33:$O$45,2,0)," ")</f>
        <v>Servicio de atención a emergencias y desastres</v>
      </c>
      <c r="X181" s="161" t="str">
        <f>CONCATENATE(V181,"_",W181)</f>
        <v>004_Servicio de atención a emergencias y desastres</v>
      </c>
      <c r="Y181" s="161" t="str">
        <f>CONCATENATE(U181," ",X181)</f>
        <v>12-Servicio de apoyo   logístico  en eventos operativos y/o emergencias. 004_Servicio de atención a emergencias y desastres</v>
      </c>
      <c r="Z181" s="195" t="str">
        <f>CONCATENATE(P181,Q181,R181,S181,V181)</f>
        <v>O23011745032024025512004</v>
      </c>
      <c r="AA181" s="195" t="str">
        <f>IFERROR(VLOOKUP(Y181,TD!$K$46:$L$64,2,0)," ")</f>
        <v>PM/0131/0112/45030040255</v>
      </c>
      <c r="AB181" s="194" t="s">
        <v>138</v>
      </c>
      <c r="AC181" s="196" t="s">
        <v>204</v>
      </c>
    </row>
    <row r="182" spans="2:29" s="28" customFormat="1" ht="99" customHeight="1" x14ac:dyDescent="0.35">
      <c r="B182" s="77">
        <v>20250179</v>
      </c>
      <c r="C182" s="50" t="s">
        <v>209</v>
      </c>
      <c r="D182" s="158" t="s">
        <v>168</v>
      </c>
      <c r="E182" s="51" t="s">
        <v>640</v>
      </c>
      <c r="F182" s="158" t="s">
        <v>793</v>
      </c>
      <c r="G182" s="158" t="s">
        <v>156</v>
      </c>
      <c r="H182" s="97">
        <v>80111600</v>
      </c>
      <c r="I182" s="159">
        <v>2</v>
      </c>
      <c r="J182" s="159">
        <v>9</v>
      </c>
      <c r="K182" s="52">
        <v>0</v>
      </c>
      <c r="L182" s="153">
        <v>29700000</v>
      </c>
      <c r="M182" s="158" t="s">
        <v>473</v>
      </c>
      <c r="N182" s="53" t="s">
        <v>113</v>
      </c>
      <c r="O182" s="51" t="s">
        <v>224</v>
      </c>
      <c r="P182" s="160" t="str">
        <f>IFERROR(VLOOKUP(C182,TD!$B$32:$F$36,2,0)," ")</f>
        <v>O230117</v>
      </c>
      <c r="Q182" s="160" t="str">
        <f>IFERROR(VLOOKUP(C182,TD!$B$32:$F$36,3,0)," ")</f>
        <v>4503</v>
      </c>
      <c r="R182" s="160">
        <f>IFERROR(VLOOKUP(C182,TD!$B$32:$F$36,4,0)," ")</f>
        <v>20240255</v>
      </c>
      <c r="S182" s="51" t="s">
        <v>191</v>
      </c>
      <c r="T182" s="160" t="str">
        <f>IFERROR(VLOOKUP(S182,TD!$J$33:$K$43,2,0)," ")</f>
        <v>Servicio de apoyo   logístico  en eventos operativos y/o emergencias.</v>
      </c>
      <c r="U182" s="161" t="str">
        <f>CONCATENATE(S182,"-",T182)</f>
        <v>12-Servicio de apoyo   logístico  en eventos operativos y/o emergencias.</v>
      </c>
      <c r="V182" s="51" t="s">
        <v>232</v>
      </c>
      <c r="W182" s="160" t="str">
        <f>IFERROR(VLOOKUP(V182,TD!$N$33:$O$45,2,0)," ")</f>
        <v>Servicio de atención a emergencias y desastres</v>
      </c>
      <c r="X182" s="161" t="str">
        <f>CONCATENATE(V182,"_",W182)</f>
        <v>004_Servicio de atención a emergencias y desastres</v>
      </c>
      <c r="Y182" s="161" t="str">
        <f>CONCATENATE(U182," ",X182)</f>
        <v>12-Servicio de apoyo   logístico  en eventos operativos y/o emergencias. 004_Servicio de atención a emergencias y desastres</v>
      </c>
      <c r="Z182" s="160" t="str">
        <f>CONCATENATE(P182,Q182,R182,S182,V182)</f>
        <v>O23011745032024025512004</v>
      </c>
      <c r="AA182" s="160" t="str">
        <f>IFERROR(VLOOKUP(Y182,TD!$K$46:$L$64,2,0)," ")</f>
        <v>PM/0131/0112/45030040255</v>
      </c>
      <c r="AB182" s="53" t="s">
        <v>138</v>
      </c>
      <c r="AC182" s="162" t="s">
        <v>204</v>
      </c>
    </row>
    <row r="183" spans="2:29" s="28" customFormat="1" ht="99" customHeight="1" x14ac:dyDescent="0.35">
      <c r="B183" s="77">
        <v>20250180</v>
      </c>
      <c r="C183" s="50" t="s">
        <v>209</v>
      </c>
      <c r="D183" s="158" t="s">
        <v>168</v>
      </c>
      <c r="E183" s="51" t="s">
        <v>640</v>
      </c>
      <c r="F183" s="158" t="s">
        <v>794</v>
      </c>
      <c r="G183" s="158" t="s">
        <v>155</v>
      </c>
      <c r="H183" s="97">
        <v>80111600</v>
      </c>
      <c r="I183" s="159">
        <v>2</v>
      </c>
      <c r="J183" s="159">
        <v>9</v>
      </c>
      <c r="K183" s="52">
        <v>0</v>
      </c>
      <c r="L183" s="153">
        <v>56700000</v>
      </c>
      <c r="M183" s="158" t="s">
        <v>473</v>
      </c>
      <c r="N183" s="53" t="s">
        <v>113</v>
      </c>
      <c r="O183" s="51" t="s">
        <v>224</v>
      </c>
      <c r="P183" s="160" t="str">
        <f>IFERROR(VLOOKUP(C183,TD!$B$32:$F$36,2,0)," ")</f>
        <v>O230117</v>
      </c>
      <c r="Q183" s="160" t="str">
        <f>IFERROR(VLOOKUP(C183,TD!$B$32:$F$36,3,0)," ")</f>
        <v>4503</v>
      </c>
      <c r="R183" s="160">
        <f>IFERROR(VLOOKUP(C183,TD!$B$32:$F$36,4,0)," ")</f>
        <v>20240255</v>
      </c>
      <c r="S183" s="51" t="s">
        <v>191</v>
      </c>
      <c r="T183" s="160" t="str">
        <f>IFERROR(VLOOKUP(S183,TD!$J$33:$K$43,2,0)," ")</f>
        <v>Servicio de apoyo   logístico  en eventos operativos y/o emergencias.</v>
      </c>
      <c r="U183" s="161" t="str">
        <f>CONCATENATE(S183,"-",T183)</f>
        <v>12-Servicio de apoyo   logístico  en eventos operativos y/o emergencias.</v>
      </c>
      <c r="V183" s="51" t="s">
        <v>232</v>
      </c>
      <c r="W183" s="160" t="str">
        <f>IFERROR(VLOOKUP(V183,TD!$N$33:$O$45,2,0)," ")</f>
        <v>Servicio de atención a emergencias y desastres</v>
      </c>
      <c r="X183" s="161" t="str">
        <f>CONCATENATE(V183,"_",W183)</f>
        <v>004_Servicio de atención a emergencias y desastres</v>
      </c>
      <c r="Y183" s="161" t="str">
        <f>CONCATENATE(U183," ",X183)</f>
        <v>12-Servicio de apoyo   logístico  en eventos operativos y/o emergencias. 004_Servicio de atención a emergencias y desastres</v>
      </c>
      <c r="Z183" s="160" t="str">
        <f>CONCATENATE(P183,Q183,R183,S183,V183)</f>
        <v>O23011745032024025512004</v>
      </c>
      <c r="AA183" s="160" t="str">
        <f>IFERROR(VLOOKUP(Y183,TD!$K$46:$L$64,2,0)," ")</f>
        <v>PM/0131/0112/45030040255</v>
      </c>
      <c r="AB183" s="53" t="s">
        <v>138</v>
      </c>
      <c r="AC183" s="162" t="s">
        <v>204</v>
      </c>
    </row>
    <row r="184" spans="2:29" s="28" customFormat="1" ht="99" customHeight="1" x14ac:dyDescent="0.35">
      <c r="B184" s="77">
        <v>20250181</v>
      </c>
      <c r="C184" s="50" t="s">
        <v>209</v>
      </c>
      <c r="D184" s="158" t="s">
        <v>168</v>
      </c>
      <c r="E184" s="51" t="s">
        <v>640</v>
      </c>
      <c r="F184" s="158" t="s">
        <v>795</v>
      </c>
      <c r="G184" s="158" t="s">
        <v>155</v>
      </c>
      <c r="H184" s="97">
        <v>80111600</v>
      </c>
      <c r="I184" s="159">
        <v>2</v>
      </c>
      <c r="J184" s="159">
        <v>9</v>
      </c>
      <c r="K184" s="52">
        <v>0</v>
      </c>
      <c r="L184" s="153">
        <v>49500000</v>
      </c>
      <c r="M184" s="158" t="s">
        <v>473</v>
      </c>
      <c r="N184" s="53" t="s">
        <v>113</v>
      </c>
      <c r="O184" s="51" t="s">
        <v>224</v>
      </c>
      <c r="P184" s="160" t="str">
        <f>IFERROR(VLOOKUP(C184,TD!$B$32:$F$36,2,0)," ")</f>
        <v>O230117</v>
      </c>
      <c r="Q184" s="160" t="str">
        <f>IFERROR(VLOOKUP(C184,TD!$B$32:$F$36,3,0)," ")</f>
        <v>4503</v>
      </c>
      <c r="R184" s="160">
        <f>IFERROR(VLOOKUP(C184,TD!$B$32:$F$36,4,0)," ")</f>
        <v>20240255</v>
      </c>
      <c r="S184" s="51" t="s">
        <v>191</v>
      </c>
      <c r="T184" s="160" t="str">
        <f>IFERROR(VLOOKUP(S184,TD!$J$33:$K$43,2,0)," ")</f>
        <v>Servicio de apoyo   logístico  en eventos operativos y/o emergencias.</v>
      </c>
      <c r="U184" s="161" t="str">
        <f>CONCATENATE(S184,"-",T184)</f>
        <v>12-Servicio de apoyo   logístico  en eventos operativos y/o emergencias.</v>
      </c>
      <c r="V184" s="51" t="s">
        <v>232</v>
      </c>
      <c r="W184" s="160" t="str">
        <f>IFERROR(VLOOKUP(V184,TD!$N$33:$O$45,2,0)," ")</f>
        <v>Servicio de atención a emergencias y desastres</v>
      </c>
      <c r="X184" s="161" t="str">
        <f>CONCATENATE(V184,"_",W184)</f>
        <v>004_Servicio de atención a emergencias y desastres</v>
      </c>
      <c r="Y184" s="161" t="str">
        <f>CONCATENATE(U184," ",X184)</f>
        <v>12-Servicio de apoyo   logístico  en eventos operativos y/o emergencias. 004_Servicio de atención a emergencias y desastres</v>
      </c>
      <c r="Z184" s="160" t="str">
        <f>CONCATENATE(P184,Q184,R184,S184,V184)</f>
        <v>O23011745032024025512004</v>
      </c>
      <c r="AA184" s="160" t="str">
        <f>IFERROR(VLOOKUP(Y184,TD!$K$46:$L$64,2,0)," ")</f>
        <v>PM/0131/0112/45030040255</v>
      </c>
      <c r="AB184" s="53" t="s">
        <v>138</v>
      </c>
      <c r="AC184" s="162" t="s">
        <v>204</v>
      </c>
    </row>
    <row r="185" spans="2:29" s="28" customFormat="1" ht="99" customHeight="1" x14ac:dyDescent="0.35">
      <c r="B185" s="77">
        <v>20250182</v>
      </c>
      <c r="C185" s="50" t="s">
        <v>209</v>
      </c>
      <c r="D185" s="158" t="s">
        <v>168</v>
      </c>
      <c r="E185" s="51" t="s">
        <v>640</v>
      </c>
      <c r="F185" s="158" t="s">
        <v>788</v>
      </c>
      <c r="G185" s="158" t="s">
        <v>156</v>
      </c>
      <c r="H185" s="97">
        <v>80111600</v>
      </c>
      <c r="I185" s="159">
        <v>2</v>
      </c>
      <c r="J185" s="159">
        <v>10</v>
      </c>
      <c r="K185" s="52">
        <v>0</v>
      </c>
      <c r="L185" s="153">
        <v>35000000</v>
      </c>
      <c r="M185" s="158" t="s">
        <v>473</v>
      </c>
      <c r="N185" s="53" t="s">
        <v>113</v>
      </c>
      <c r="O185" s="51" t="s">
        <v>224</v>
      </c>
      <c r="P185" s="160" t="str">
        <f>IFERROR(VLOOKUP(C185,TD!$B$32:$F$36,2,0)," ")</f>
        <v>O230117</v>
      </c>
      <c r="Q185" s="160" t="str">
        <f>IFERROR(VLOOKUP(C185,TD!$B$32:$F$36,3,0)," ")</f>
        <v>4503</v>
      </c>
      <c r="R185" s="160">
        <f>IFERROR(VLOOKUP(C185,TD!$B$32:$F$36,4,0)," ")</f>
        <v>20240255</v>
      </c>
      <c r="S185" s="51" t="s">
        <v>187</v>
      </c>
      <c r="T185" s="160" t="str">
        <f>IFERROR(VLOOKUP(S185,TD!$J$33:$K$43,2,0)," ")</f>
        <v>Servicio de mantenimiento, dotación (HEA´s y equipo menor) y adquisición de vehiculos   especializados para la atención de emergencias.</v>
      </c>
      <c r="U185" s="161" t="str">
        <f>CONCATENATE(S185,"-",T185)</f>
        <v>09-Servicio de mantenimiento, dotación (HEA´s y equipo menor) y adquisición de vehiculos   especializados para la atención de emergencias.</v>
      </c>
      <c r="V185" s="51" t="s">
        <v>232</v>
      </c>
      <c r="W185" s="160" t="str">
        <f>IFERROR(VLOOKUP(V185,TD!$N$33:$O$45,2,0)," ")</f>
        <v>Servicio de atención a emergencias y desastres</v>
      </c>
      <c r="X185" s="161" t="str">
        <f>CONCATENATE(V185,"_",W185)</f>
        <v>004_Servicio de atención a emergencias y desastres</v>
      </c>
      <c r="Y185" s="161" t="str">
        <f>CONCATENATE(U185," ",X185)</f>
        <v>09-Servicio de mantenimiento, dotación (HEA´s y equipo menor) y adquisición de vehiculos   especializados para la atención de emergencias. 004_Servicio de atención a emergencias y desastres</v>
      </c>
      <c r="Z185" s="160" t="str">
        <f>CONCATENATE(P185,Q185,R185,S185,V185)</f>
        <v>O23011745032024025509004</v>
      </c>
      <c r="AA185" s="160" t="str">
        <f>IFERROR(VLOOKUP(Y185,TD!$K$46:$L$64,2,0)," ")</f>
        <v>PM/0131/0109/45030040255</v>
      </c>
      <c r="AB185" s="53" t="s">
        <v>138</v>
      </c>
      <c r="AC185" s="162" t="s">
        <v>204</v>
      </c>
    </row>
    <row r="186" spans="2:29" s="28" customFormat="1" ht="99" customHeight="1" x14ac:dyDescent="0.35">
      <c r="B186" s="77">
        <v>20250183</v>
      </c>
      <c r="C186" s="50" t="s">
        <v>209</v>
      </c>
      <c r="D186" s="158" t="s">
        <v>168</v>
      </c>
      <c r="E186" s="51" t="s">
        <v>640</v>
      </c>
      <c r="F186" s="158" t="s">
        <v>796</v>
      </c>
      <c r="G186" s="158" t="s">
        <v>155</v>
      </c>
      <c r="H186" s="97">
        <v>80111600</v>
      </c>
      <c r="I186" s="159">
        <v>2</v>
      </c>
      <c r="J186" s="159">
        <v>9</v>
      </c>
      <c r="K186" s="52">
        <v>0</v>
      </c>
      <c r="L186" s="153">
        <v>45000000</v>
      </c>
      <c r="M186" s="158" t="s">
        <v>473</v>
      </c>
      <c r="N186" s="53" t="s">
        <v>113</v>
      </c>
      <c r="O186" s="51" t="s">
        <v>224</v>
      </c>
      <c r="P186" s="160" t="str">
        <f>IFERROR(VLOOKUP(C186,TD!$B$32:$F$36,2,0)," ")</f>
        <v>O230117</v>
      </c>
      <c r="Q186" s="160" t="str">
        <f>IFERROR(VLOOKUP(C186,TD!$B$32:$F$36,3,0)," ")</f>
        <v>4503</v>
      </c>
      <c r="R186" s="160">
        <f>IFERROR(VLOOKUP(C186,TD!$B$32:$F$36,4,0)," ")</f>
        <v>20240255</v>
      </c>
      <c r="S186" s="51" t="s">
        <v>191</v>
      </c>
      <c r="T186" s="160" t="str">
        <f>IFERROR(VLOOKUP(S186,TD!$J$33:$K$43,2,0)," ")</f>
        <v>Servicio de apoyo   logístico  en eventos operativos y/o emergencias.</v>
      </c>
      <c r="U186" s="161" t="str">
        <f>CONCATENATE(S186,"-",T186)</f>
        <v>12-Servicio de apoyo   logístico  en eventos operativos y/o emergencias.</v>
      </c>
      <c r="V186" s="51" t="s">
        <v>232</v>
      </c>
      <c r="W186" s="160" t="str">
        <f>IFERROR(VLOOKUP(V186,TD!$N$33:$O$45,2,0)," ")</f>
        <v>Servicio de atención a emergencias y desastres</v>
      </c>
      <c r="X186" s="161" t="str">
        <f>CONCATENATE(V186,"_",W186)</f>
        <v>004_Servicio de atención a emergencias y desastres</v>
      </c>
      <c r="Y186" s="161" t="str">
        <f>CONCATENATE(U186," ",X186)</f>
        <v>12-Servicio de apoyo   logístico  en eventos operativos y/o emergencias. 004_Servicio de atención a emergencias y desastres</v>
      </c>
      <c r="Z186" s="160" t="str">
        <f>CONCATENATE(P186,Q186,R186,S186,V186)</f>
        <v>O23011745032024025512004</v>
      </c>
      <c r="AA186" s="160" t="str">
        <f>IFERROR(VLOOKUP(Y186,TD!$K$46:$L$64,2,0)," ")</f>
        <v>PM/0131/0112/45030040255</v>
      </c>
      <c r="AB186" s="53" t="s">
        <v>138</v>
      </c>
      <c r="AC186" s="162" t="s">
        <v>204</v>
      </c>
    </row>
    <row r="187" spans="2:29" s="28" customFormat="1" ht="99" customHeight="1" x14ac:dyDescent="0.35">
      <c r="B187" s="77">
        <v>20250184</v>
      </c>
      <c r="C187" s="50" t="s">
        <v>209</v>
      </c>
      <c r="D187" s="158" t="s">
        <v>168</v>
      </c>
      <c r="E187" s="51" t="s">
        <v>640</v>
      </c>
      <c r="F187" s="158" t="s">
        <v>797</v>
      </c>
      <c r="G187" s="158" t="s">
        <v>155</v>
      </c>
      <c r="H187" s="97">
        <v>80111600</v>
      </c>
      <c r="I187" s="159">
        <v>2</v>
      </c>
      <c r="J187" s="159">
        <v>10</v>
      </c>
      <c r="K187" s="52">
        <v>0</v>
      </c>
      <c r="L187" s="153">
        <v>70000000</v>
      </c>
      <c r="M187" s="158" t="s">
        <v>473</v>
      </c>
      <c r="N187" s="53" t="s">
        <v>113</v>
      </c>
      <c r="O187" s="51" t="s">
        <v>224</v>
      </c>
      <c r="P187" s="160" t="str">
        <f>IFERROR(VLOOKUP(C187,TD!$B$32:$F$36,2,0)," ")</f>
        <v>O230117</v>
      </c>
      <c r="Q187" s="160" t="str">
        <f>IFERROR(VLOOKUP(C187,TD!$B$32:$F$36,3,0)," ")</f>
        <v>4503</v>
      </c>
      <c r="R187" s="160">
        <f>IFERROR(VLOOKUP(C187,TD!$B$32:$F$36,4,0)," ")</f>
        <v>20240255</v>
      </c>
      <c r="S187" s="51" t="s">
        <v>191</v>
      </c>
      <c r="T187" s="160" t="str">
        <f>IFERROR(VLOOKUP(S187,TD!$J$33:$K$43,2,0)," ")</f>
        <v>Servicio de apoyo   logístico  en eventos operativos y/o emergencias.</v>
      </c>
      <c r="U187" s="161" t="str">
        <f>CONCATENATE(S187,"-",T187)</f>
        <v>12-Servicio de apoyo   logístico  en eventos operativos y/o emergencias.</v>
      </c>
      <c r="V187" s="51" t="s">
        <v>232</v>
      </c>
      <c r="W187" s="160" t="str">
        <f>IFERROR(VLOOKUP(V187,TD!$N$33:$O$45,2,0)," ")</f>
        <v>Servicio de atención a emergencias y desastres</v>
      </c>
      <c r="X187" s="161" t="str">
        <f>CONCATENATE(V187,"_",W187)</f>
        <v>004_Servicio de atención a emergencias y desastres</v>
      </c>
      <c r="Y187" s="161" t="str">
        <f>CONCATENATE(U187," ",X187)</f>
        <v>12-Servicio de apoyo   logístico  en eventos operativos y/o emergencias. 004_Servicio de atención a emergencias y desastres</v>
      </c>
      <c r="Z187" s="160" t="str">
        <f>CONCATENATE(P187,Q187,R187,S187,V187)</f>
        <v>O23011745032024025512004</v>
      </c>
      <c r="AA187" s="160" t="str">
        <f>IFERROR(VLOOKUP(Y187,TD!$K$46:$L$64,2,0)," ")</f>
        <v>PM/0131/0112/45030040255</v>
      </c>
      <c r="AB187" s="53" t="s">
        <v>138</v>
      </c>
      <c r="AC187" s="162" t="s">
        <v>204</v>
      </c>
    </row>
    <row r="188" spans="2:29" s="28" customFormat="1" ht="99" customHeight="1" x14ac:dyDescent="0.35">
      <c r="B188" s="77">
        <v>20250185</v>
      </c>
      <c r="C188" s="50" t="s">
        <v>209</v>
      </c>
      <c r="D188" s="158" t="s">
        <v>168</v>
      </c>
      <c r="E188" s="51" t="s">
        <v>640</v>
      </c>
      <c r="F188" s="158" t="s">
        <v>801</v>
      </c>
      <c r="G188" s="158" t="s">
        <v>156</v>
      </c>
      <c r="H188" s="97">
        <v>80111600</v>
      </c>
      <c r="I188" s="159">
        <v>2</v>
      </c>
      <c r="J188" s="159">
        <v>10</v>
      </c>
      <c r="K188" s="52">
        <v>0</v>
      </c>
      <c r="L188" s="153">
        <v>35000000</v>
      </c>
      <c r="M188" s="158" t="s">
        <v>473</v>
      </c>
      <c r="N188" s="53" t="s">
        <v>113</v>
      </c>
      <c r="O188" s="51" t="s">
        <v>224</v>
      </c>
      <c r="P188" s="160" t="str">
        <f>IFERROR(VLOOKUP(C188,TD!$B$32:$F$36,2,0)," ")</f>
        <v>O230117</v>
      </c>
      <c r="Q188" s="160" t="str">
        <f>IFERROR(VLOOKUP(C188,TD!$B$32:$F$36,3,0)," ")</f>
        <v>4503</v>
      </c>
      <c r="R188" s="160">
        <f>IFERROR(VLOOKUP(C188,TD!$B$32:$F$36,4,0)," ")</f>
        <v>20240255</v>
      </c>
      <c r="S188" s="51" t="s">
        <v>191</v>
      </c>
      <c r="T188" s="160" t="str">
        <f>IFERROR(VLOOKUP(S188,TD!$J$33:$K$43,2,0)," ")</f>
        <v>Servicio de apoyo   logístico  en eventos operativos y/o emergencias.</v>
      </c>
      <c r="U188" s="161" t="str">
        <f>CONCATENATE(S188,"-",T188)</f>
        <v>12-Servicio de apoyo   logístico  en eventos operativos y/o emergencias.</v>
      </c>
      <c r="V188" s="51" t="s">
        <v>232</v>
      </c>
      <c r="W188" s="160" t="str">
        <f>IFERROR(VLOOKUP(V188,TD!$N$33:$O$45,2,0)," ")</f>
        <v>Servicio de atención a emergencias y desastres</v>
      </c>
      <c r="X188" s="161" t="str">
        <f>CONCATENATE(V188,"_",W188)</f>
        <v>004_Servicio de atención a emergencias y desastres</v>
      </c>
      <c r="Y188" s="161" t="str">
        <f>CONCATENATE(U188," ",X188)</f>
        <v>12-Servicio de apoyo   logístico  en eventos operativos y/o emergencias. 004_Servicio de atención a emergencias y desastres</v>
      </c>
      <c r="Z188" s="160" t="str">
        <f>CONCATENATE(P188,Q188,R188,S188,V188)</f>
        <v>O23011745032024025512004</v>
      </c>
      <c r="AA188" s="160" t="str">
        <f>IFERROR(VLOOKUP(Y188,TD!$K$46:$L$64,2,0)," ")</f>
        <v>PM/0131/0112/45030040255</v>
      </c>
      <c r="AB188" s="53" t="s">
        <v>138</v>
      </c>
      <c r="AC188" s="162" t="s">
        <v>204</v>
      </c>
    </row>
    <row r="189" spans="2:29" s="28" customFormat="1" ht="99" customHeight="1" x14ac:dyDescent="0.35">
      <c r="B189" s="77">
        <v>20250186</v>
      </c>
      <c r="C189" s="50" t="s">
        <v>209</v>
      </c>
      <c r="D189" s="158" t="s">
        <v>168</v>
      </c>
      <c r="E189" s="51" t="s">
        <v>640</v>
      </c>
      <c r="F189" s="158" t="s">
        <v>798</v>
      </c>
      <c r="G189" s="158" t="s">
        <v>155</v>
      </c>
      <c r="H189" s="97">
        <v>80111600</v>
      </c>
      <c r="I189" s="159">
        <v>2</v>
      </c>
      <c r="J189" s="159">
        <v>10</v>
      </c>
      <c r="K189" s="52">
        <v>0</v>
      </c>
      <c r="L189" s="153">
        <v>55000000</v>
      </c>
      <c r="M189" s="158" t="s">
        <v>473</v>
      </c>
      <c r="N189" s="53" t="s">
        <v>113</v>
      </c>
      <c r="O189" s="51" t="s">
        <v>224</v>
      </c>
      <c r="P189" s="160" t="str">
        <f>IFERROR(VLOOKUP(C189,TD!$B$32:$F$36,2,0)," ")</f>
        <v>O230117</v>
      </c>
      <c r="Q189" s="160" t="str">
        <f>IFERROR(VLOOKUP(C189,TD!$B$32:$F$36,3,0)," ")</f>
        <v>4503</v>
      </c>
      <c r="R189" s="160">
        <f>IFERROR(VLOOKUP(C189,TD!$B$32:$F$36,4,0)," ")</f>
        <v>20240255</v>
      </c>
      <c r="S189" s="51" t="s">
        <v>191</v>
      </c>
      <c r="T189" s="160" t="str">
        <f>IFERROR(VLOOKUP(S189,TD!$J$33:$K$43,2,0)," ")</f>
        <v>Servicio de apoyo   logístico  en eventos operativos y/o emergencias.</v>
      </c>
      <c r="U189" s="161" t="str">
        <f>CONCATENATE(S189,"-",T189)</f>
        <v>12-Servicio de apoyo   logístico  en eventos operativos y/o emergencias.</v>
      </c>
      <c r="V189" s="51" t="s">
        <v>232</v>
      </c>
      <c r="W189" s="160" t="str">
        <f>IFERROR(VLOOKUP(V189,TD!$N$33:$O$45,2,0)," ")</f>
        <v>Servicio de atención a emergencias y desastres</v>
      </c>
      <c r="X189" s="161" t="str">
        <f>CONCATENATE(V189,"_",W189)</f>
        <v>004_Servicio de atención a emergencias y desastres</v>
      </c>
      <c r="Y189" s="161" t="str">
        <f>CONCATENATE(U189," ",X189)</f>
        <v>12-Servicio de apoyo   logístico  en eventos operativos y/o emergencias. 004_Servicio de atención a emergencias y desastres</v>
      </c>
      <c r="Z189" s="160" t="str">
        <f>CONCATENATE(P189,Q189,R189,S189,V189)</f>
        <v>O23011745032024025512004</v>
      </c>
      <c r="AA189" s="160" t="str">
        <f>IFERROR(VLOOKUP(Y189,TD!$K$46:$L$64,2,0)," ")</f>
        <v>PM/0131/0112/45030040255</v>
      </c>
      <c r="AB189" s="53" t="s">
        <v>138</v>
      </c>
      <c r="AC189" s="162" t="s">
        <v>204</v>
      </c>
    </row>
    <row r="190" spans="2:29" s="28" customFormat="1" ht="99" customHeight="1" x14ac:dyDescent="0.35">
      <c r="B190" s="77">
        <v>20250187</v>
      </c>
      <c r="C190" s="50" t="s">
        <v>209</v>
      </c>
      <c r="D190" s="158" t="s">
        <v>168</v>
      </c>
      <c r="E190" s="51" t="s">
        <v>640</v>
      </c>
      <c r="F190" s="158" t="s">
        <v>523</v>
      </c>
      <c r="G190" s="158" t="s">
        <v>155</v>
      </c>
      <c r="H190" s="97">
        <v>80111600</v>
      </c>
      <c r="I190" s="159">
        <v>2</v>
      </c>
      <c r="J190" s="159">
        <v>10</v>
      </c>
      <c r="K190" s="52">
        <v>0</v>
      </c>
      <c r="L190" s="153">
        <v>90000000</v>
      </c>
      <c r="M190" s="158" t="s">
        <v>473</v>
      </c>
      <c r="N190" s="53" t="s">
        <v>113</v>
      </c>
      <c r="O190" s="51" t="s">
        <v>224</v>
      </c>
      <c r="P190" s="160" t="str">
        <f>IFERROR(VLOOKUP(C190,TD!$B$32:$F$36,2,0)," ")</f>
        <v>O230117</v>
      </c>
      <c r="Q190" s="160" t="str">
        <f>IFERROR(VLOOKUP(C190,TD!$B$32:$F$36,3,0)," ")</f>
        <v>4503</v>
      </c>
      <c r="R190" s="160">
        <f>IFERROR(VLOOKUP(C190,TD!$B$32:$F$36,4,0)," ")</f>
        <v>20240255</v>
      </c>
      <c r="S190" s="51" t="s">
        <v>191</v>
      </c>
      <c r="T190" s="160" t="str">
        <f>IFERROR(VLOOKUP(S190,TD!$J$33:$K$43,2,0)," ")</f>
        <v>Servicio de apoyo   logístico  en eventos operativos y/o emergencias.</v>
      </c>
      <c r="U190" s="161" t="str">
        <f>CONCATENATE(S190,"-",T190)</f>
        <v>12-Servicio de apoyo   logístico  en eventos operativos y/o emergencias.</v>
      </c>
      <c r="V190" s="51" t="s">
        <v>232</v>
      </c>
      <c r="W190" s="160" t="str">
        <f>IFERROR(VLOOKUP(V190,TD!$N$33:$O$45,2,0)," ")</f>
        <v>Servicio de atención a emergencias y desastres</v>
      </c>
      <c r="X190" s="161" t="str">
        <f>CONCATENATE(V190,"_",W190)</f>
        <v>004_Servicio de atención a emergencias y desastres</v>
      </c>
      <c r="Y190" s="161" t="str">
        <f>CONCATENATE(U190," ",X190)</f>
        <v>12-Servicio de apoyo   logístico  en eventos operativos y/o emergencias. 004_Servicio de atención a emergencias y desastres</v>
      </c>
      <c r="Z190" s="160" t="str">
        <f>CONCATENATE(P190,Q190,R190,S190,V190)</f>
        <v>O23011745032024025512004</v>
      </c>
      <c r="AA190" s="160" t="str">
        <f>IFERROR(VLOOKUP(Y190,TD!$K$46:$L$64,2,0)," ")</f>
        <v>PM/0131/0112/45030040255</v>
      </c>
      <c r="AB190" s="53" t="s">
        <v>138</v>
      </c>
      <c r="AC190" s="162" t="s">
        <v>204</v>
      </c>
    </row>
    <row r="191" spans="2:29" s="28" customFormat="1" ht="99" customHeight="1" x14ac:dyDescent="0.35">
      <c r="B191" s="77">
        <v>20250188</v>
      </c>
      <c r="C191" s="50" t="s">
        <v>209</v>
      </c>
      <c r="D191" s="158" t="s">
        <v>168</v>
      </c>
      <c r="E191" s="51" t="s">
        <v>640</v>
      </c>
      <c r="F191" s="158" t="s">
        <v>799</v>
      </c>
      <c r="G191" s="158" t="s">
        <v>156</v>
      </c>
      <c r="H191" s="97">
        <v>80111600</v>
      </c>
      <c r="I191" s="159">
        <v>2</v>
      </c>
      <c r="J191" s="159">
        <v>9</v>
      </c>
      <c r="K191" s="52">
        <v>0</v>
      </c>
      <c r="L191" s="153">
        <v>28800000</v>
      </c>
      <c r="M191" s="158" t="s">
        <v>473</v>
      </c>
      <c r="N191" s="53" t="s">
        <v>113</v>
      </c>
      <c r="O191" s="51" t="s">
        <v>224</v>
      </c>
      <c r="P191" s="160" t="str">
        <f>IFERROR(VLOOKUP(C191,TD!$B$32:$F$36,2,0)," ")</f>
        <v>O230117</v>
      </c>
      <c r="Q191" s="160" t="str">
        <f>IFERROR(VLOOKUP(C191,TD!$B$32:$F$36,3,0)," ")</f>
        <v>4503</v>
      </c>
      <c r="R191" s="160">
        <f>IFERROR(VLOOKUP(C191,TD!$B$32:$F$36,4,0)," ")</f>
        <v>20240255</v>
      </c>
      <c r="S191" s="51" t="s">
        <v>187</v>
      </c>
      <c r="T191" s="160" t="str">
        <f>IFERROR(VLOOKUP(S191,TD!$J$33:$K$43,2,0)," ")</f>
        <v>Servicio de mantenimiento, dotación (HEA´s y equipo menor) y adquisición de vehiculos   especializados para la atención de emergencias.</v>
      </c>
      <c r="U191" s="161" t="str">
        <f>CONCATENATE(S191,"-",T191)</f>
        <v>09-Servicio de mantenimiento, dotación (HEA´s y equipo menor) y adquisición de vehiculos   especializados para la atención de emergencias.</v>
      </c>
      <c r="V191" s="51" t="s">
        <v>232</v>
      </c>
      <c r="W191" s="160" t="str">
        <f>IFERROR(VLOOKUP(V191,TD!$N$33:$O$45,2,0)," ")</f>
        <v>Servicio de atención a emergencias y desastres</v>
      </c>
      <c r="X191" s="161" t="str">
        <f>CONCATENATE(V191,"_",W191)</f>
        <v>004_Servicio de atención a emergencias y desastres</v>
      </c>
      <c r="Y191" s="161" t="str">
        <f>CONCATENATE(U191," ",X191)</f>
        <v>09-Servicio de mantenimiento, dotación (HEA´s y equipo menor) y adquisición de vehiculos   especializados para la atención de emergencias. 004_Servicio de atención a emergencias y desastres</v>
      </c>
      <c r="Z191" s="160" t="str">
        <f>CONCATENATE(P191,Q191,R191,S191,V191)</f>
        <v>O23011745032024025509004</v>
      </c>
      <c r="AA191" s="160" t="str">
        <f>IFERROR(VLOOKUP(Y191,TD!$K$46:$L$64,2,0)," ")</f>
        <v>PM/0131/0109/45030040255</v>
      </c>
      <c r="AB191" s="53" t="s">
        <v>138</v>
      </c>
      <c r="AC191" s="162" t="s">
        <v>204</v>
      </c>
    </row>
    <row r="192" spans="2:29" s="28" customFormat="1" ht="99" customHeight="1" x14ac:dyDescent="0.35">
      <c r="B192" s="77">
        <v>20250189</v>
      </c>
      <c r="C192" s="50" t="s">
        <v>209</v>
      </c>
      <c r="D192" s="158" t="s">
        <v>168</v>
      </c>
      <c r="E192" s="51" t="s">
        <v>640</v>
      </c>
      <c r="F192" s="158" t="s">
        <v>800</v>
      </c>
      <c r="G192" s="158" t="s">
        <v>156</v>
      </c>
      <c r="H192" s="97">
        <v>80111600</v>
      </c>
      <c r="I192" s="159">
        <v>2</v>
      </c>
      <c r="J192" s="159">
        <v>11</v>
      </c>
      <c r="K192" s="52">
        <v>0</v>
      </c>
      <c r="L192" s="153">
        <v>37400000</v>
      </c>
      <c r="M192" s="158" t="s">
        <v>473</v>
      </c>
      <c r="N192" s="53" t="s">
        <v>113</v>
      </c>
      <c r="O192" s="51" t="s">
        <v>224</v>
      </c>
      <c r="P192" s="160" t="str">
        <f>IFERROR(VLOOKUP(C192,TD!$B$32:$F$36,2,0)," ")</f>
        <v>O230117</v>
      </c>
      <c r="Q192" s="160" t="str">
        <f>IFERROR(VLOOKUP(C192,TD!$B$32:$F$36,3,0)," ")</f>
        <v>4503</v>
      </c>
      <c r="R192" s="160">
        <f>IFERROR(VLOOKUP(C192,TD!$B$32:$F$36,4,0)," ")</f>
        <v>20240255</v>
      </c>
      <c r="S192" s="51" t="s">
        <v>191</v>
      </c>
      <c r="T192" s="160" t="str">
        <f>IFERROR(VLOOKUP(S192,TD!$J$33:$K$43,2,0)," ")</f>
        <v>Servicio de apoyo   logístico  en eventos operativos y/o emergencias.</v>
      </c>
      <c r="U192" s="161" t="str">
        <f>CONCATENATE(S192,"-",T192)</f>
        <v>12-Servicio de apoyo   logístico  en eventos operativos y/o emergencias.</v>
      </c>
      <c r="V192" s="51" t="s">
        <v>232</v>
      </c>
      <c r="W192" s="160" t="str">
        <f>IFERROR(VLOOKUP(V192,TD!$N$33:$O$45,2,0)," ")</f>
        <v>Servicio de atención a emergencias y desastres</v>
      </c>
      <c r="X192" s="161" t="str">
        <f>CONCATENATE(V192,"_",W192)</f>
        <v>004_Servicio de atención a emergencias y desastres</v>
      </c>
      <c r="Y192" s="161" t="str">
        <f>CONCATENATE(U192," ",X192)</f>
        <v>12-Servicio de apoyo   logístico  en eventos operativos y/o emergencias. 004_Servicio de atención a emergencias y desastres</v>
      </c>
      <c r="Z192" s="160" t="str">
        <f>CONCATENATE(P192,Q192,R192,S192,V192)</f>
        <v>O23011745032024025512004</v>
      </c>
      <c r="AA192" s="160" t="str">
        <f>IFERROR(VLOOKUP(Y192,TD!$K$46:$L$64,2,0)," ")</f>
        <v>PM/0131/0112/45030040255</v>
      </c>
      <c r="AB192" s="53" t="s">
        <v>138</v>
      </c>
      <c r="AC192" s="162" t="s">
        <v>204</v>
      </c>
    </row>
    <row r="193" spans="2:29" s="28" customFormat="1" ht="99" customHeight="1" x14ac:dyDescent="0.35">
      <c r="B193" s="77">
        <v>20250190</v>
      </c>
      <c r="C193" s="50" t="s">
        <v>209</v>
      </c>
      <c r="D193" s="158" t="s">
        <v>168</v>
      </c>
      <c r="E193" s="51" t="s">
        <v>640</v>
      </c>
      <c r="F193" s="158" t="s">
        <v>885</v>
      </c>
      <c r="G193" s="158" t="s">
        <v>156</v>
      </c>
      <c r="H193" s="97">
        <v>80111600</v>
      </c>
      <c r="I193" s="159">
        <v>2</v>
      </c>
      <c r="J193" s="159">
        <v>10</v>
      </c>
      <c r="K193" s="52">
        <v>0</v>
      </c>
      <c r="L193" s="153">
        <v>35000000</v>
      </c>
      <c r="M193" s="158" t="s">
        <v>473</v>
      </c>
      <c r="N193" s="53" t="s">
        <v>113</v>
      </c>
      <c r="O193" s="51" t="s">
        <v>224</v>
      </c>
      <c r="P193" s="160" t="str">
        <f>IFERROR(VLOOKUP(C193,TD!$B$32:$F$36,2,0)," ")</f>
        <v>O230117</v>
      </c>
      <c r="Q193" s="160" t="str">
        <f>IFERROR(VLOOKUP(C193,TD!$B$32:$F$36,3,0)," ")</f>
        <v>4503</v>
      </c>
      <c r="R193" s="160">
        <f>IFERROR(VLOOKUP(C193,TD!$B$32:$F$36,4,0)," ")</f>
        <v>20240255</v>
      </c>
      <c r="S193" s="51" t="s">
        <v>191</v>
      </c>
      <c r="T193" s="160" t="str">
        <f>IFERROR(VLOOKUP(S193,TD!$J$33:$K$43,2,0)," ")</f>
        <v>Servicio de apoyo   logístico  en eventos operativos y/o emergencias.</v>
      </c>
      <c r="U193" s="161" t="str">
        <f>CONCATENATE(S193,"-",T193)</f>
        <v>12-Servicio de apoyo   logístico  en eventos operativos y/o emergencias.</v>
      </c>
      <c r="V193" s="51" t="s">
        <v>232</v>
      </c>
      <c r="W193" s="160" t="str">
        <f>IFERROR(VLOOKUP(V193,TD!$N$33:$O$45,2,0)," ")</f>
        <v>Servicio de atención a emergencias y desastres</v>
      </c>
      <c r="X193" s="161" t="str">
        <f>CONCATENATE(V193,"_",W193)</f>
        <v>004_Servicio de atención a emergencias y desastres</v>
      </c>
      <c r="Y193" s="161" t="str">
        <f>CONCATENATE(U193," ",X193)</f>
        <v>12-Servicio de apoyo   logístico  en eventos operativos y/o emergencias. 004_Servicio de atención a emergencias y desastres</v>
      </c>
      <c r="Z193" s="160" t="str">
        <f>CONCATENATE(P193,Q193,R193,S193,V193)</f>
        <v>O23011745032024025512004</v>
      </c>
      <c r="AA193" s="160" t="str">
        <f>IFERROR(VLOOKUP(Y193,TD!$K$46:$L$64,2,0)," ")</f>
        <v>PM/0131/0112/45030040255</v>
      </c>
      <c r="AB193" s="53" t="s">
        <v>138</v>
      </c>
      <c r="AC193" s="162" t="s">
        <v>204</v>
      </c>
    </row>
    <row r="194" spans="2:29" s="28" customFormat="1" ht="99" customHeight="1" x14ac:dyDescent="0.35">
      <c r="B194" s="77">
        <v>20250191</v>
      </c>
      <c r="C194" s="50" t="s">
        <v>209</v>
      </c>
      <c r="D194" s="158" t="s">
        <v>168</v>
      </c>
      <c r="E194" s="51" t="s">
        <v>640</v>
      </c>
      <c r="F194" s="158" t="s">
        <v>801</v>
      </c>
      <c r="G194" s="158" t="s">
        <v>156</v>
      </c>
      <c r="H194" s="97">
        <v>80111600</v>
      </c>
      <c r="I194" s="159">
        <v>2</v>
      </c>
      <c r="J194" s="159">
        <v>10</v>
      </c>
      <c r="K194" s="52">
        <v>0</v>
      </c>
      <c r="L194" s="153">
        <v>35000000</v>
      </c>
      <c r="M194" s="158" t="s">
        <v>473</v>
      </c>
      <c r="N194" s="53" t="s">
        <v>113</v>
      </c>
      <c r="O194" s="51" t="s">
        <v>224</v>
      </c>
      <c r="P194" s="160" t="str">
        <f>IFERROR(VLOOKUP(C194,TD!$B$32:$F$36,2,0)," ")</f>
        <v>O230117</v>
      </c>
      <c r="Q194" s="160" t="str">
        <f>IFERROR(VLOOKUP(C194,TD!$B$32:$F$36,3,0)," ")</f>
        <v>4503</v>
      </c>
      <c r="R194" s="160">
        <f>IFERROR(VLOOKUP(C194,TD!$B$32:$F$36,4,0)," ")</f>
        <v>20240255</v>
      </c>
      <c r="S194" s="51" t="s">
        <v>191</v>
      </c>
      <c r="T194" s="160" t="str">
        <f>IFERROR(VLOOKUP(S194,TD!$J$33:$K$43,2,0)," ")</f>
        <v>Servicio de apoyo   logístico  en eventos operativos y/o emergencias.</v>
      </c>
      <c r="U194" s="161" t="str">
        <f>CONCATENATE(S194,"-",T194)</f>
        <v>12-Servicio de apoyo   logístico  en eventos operativos y/o emergencias.</v>
      </c>
      <c r="V194" s="51" t="s">
        <v>232</v>
      </c>
      <c r="W194" s="160" t="str">
        <f>IFERROR(VLOOKUP(V194,TD!$N$33:$O$45,2,0)," ")</f>
        <v>Servicio de atención a emergencias y desastres</v>
      </c>
      <c r="X194" s="161" t="str">
        <f>CONCATENATE(V194,"_",W194)</f>
        <v>004_Servicio de atención a emergencias y desastres</v>
      </c>
      <c r="Y194" s="161" t="str">
        <f>CONCATENATE(U194," ",X194)</f>
        <v>12-Servicio de apoyo   logístico  en eventos operativos y/o emergencias. 004_Servicio de atención a emergencias y desastres</v>
      </c>
      <c r="Z194" s="160" t="str">
        <f>CONCATENATE(P194,Q194,R194,S194,V194)</f>
        <v>O23011745032024025512004</v>
      </c>
      <c r="AA194" s="160" t="str">
        <f>IFERROR(VLOOKUP(Y194,TD!$K$46:$L$64,2,0)," ")</f>
        <v>PM/0131/0112/45030040255</v>
      </c>
      <c r="AB194" s="53" t="s">
        <v>138</v>
      </c>
      <c r="AC194" s="162" t="s">
        <v>204</v>
      </c>
    </row>
    <row r="195" spans="2:29" s="28" customFormat="1" ht="99" customHeight="1" x14ac:dyDescent="0.35">
      <c r="B195" s="77">
        <v>20250192</v>
      </c>
      <c r="C195" s="50" t="s">
        <v>209</v>
      </c>
      <c r="D195" s="158" t="s">
        <v>168</v>
      </c>
      <c r="E195" s="51" t="s">
        <v>640</v>
      </c>
      <c r="F195" s="158" t="s">
        <v>802</v>
      </c>
      <c r="G195" s="158" t="s">
        <v>155</v>
      </c>
      <c r="H195" s="97">
        <v>80111600</v>
      </c>
      <c r="I195" s="159">
        <v>2</v>
      </c>
      <c r="J195" s="159">
        <v>11</v>
      </c>
      <c r="K195" s="52">
        <v>0</v>
      </c>
      <c r="L195" s="153">
        <v>102300000</v>
      </c>
      <c r="M195" s="158" t="s">
        <v>473</v>
      </c>
      <c r="N195" s="53" t="s">
        <v>113</v>
      </c>
      <c r="O195" s="51" t="s">
        <v>224</v>
      </c>
      <c r="P195" s="160" t="str">
        <f>IFERROR(VLOOKUP(C195,TD!$B$32:$F$36,2,0)," ")</f>
        <v>O230117</v>
      </c>
      <c r="Q195" s="160" t="str">
        <f>IFERROR(VLOOKUP(C195,TD!$B$32:$F$36,3,0)," ")</f>
        <v>4503</v>
      </c>
      <c r="R195" s="160">
        <f>IFERROR(VLOOKUP(C195,TD!$B$32:$F$36,4,0)," ")</f>
        <v>20240255</v>
      </c>
      <c r="S195" s="51" t="s">
        <v>187</v>
      </c>
      <c r="T195" s="160" t="str">
        <f>IFERROR(VLOOKUP(S195,TD!$J$33:$K$43,2,0)," ")</f>
        <v>Servicio de mantenimiento, dotación (HEA´s y equipo menor) y adquisición de vehiculos   especializados para la atención de emergencias.</v>
      </c>
      <c r="U195" s="161" t="str">
        <f>CONCATENATE(S195,"-",T195)</f>
        <v>09-Servicio de mantenimiento, dotación (HEA´s y equipo menor) y adquisición de vehiculos   especializados para la atención de emergencias.</v>
      </c>
      <c r="V195" s="51" t="s">
        <v>232</v>
      </c>
      <c r="W195" s="160" t="str">
        <f>IFERROR(VLOOKUP(V195,TD!$N$33:$O$45,2,0)," ")</f>
        <v>Servicio de atención a emergencias y desastres</v>
      </c>
      <c r="X195" s="161" t="str">
        <f>CONCATENATE(V195,"_",W195)</f>
        <v>004_Servicio de atención a emergencias y desastres</v>
      </c>
      <c r="Y195" s="161" t="str">
        <f>CONCATENATE(U195," ",X195)</f>
        <v>09-Servicio de mantenimiento, dotación (HEA´s y equipo menor) y adquisición de vehiculos   especializados para la atención de emergencias. 004_Servicio de atención a emergencias y desastres</v>
      </c>
      <c r="Z195" s="160" t="str">
        <f>CONCATENATE(P195,Q195,R195,S195,V195)</f>
        <v>O23011745032024025509004</v>
      </c>
      <c r="AA195" s="160" t="str">
        <f>IFERROR(VLOOKUP(Y195,TD!$K$46:$L$64,2,0)," ")</f>
        <v>PM/0131/0109/45030040255</v>
      </c>
      <c r="AB195" s="53" t="s">
        <v>138</v>
      </c>
      <c r="AC195" s="162" t="s">
        <v>204</v>
      </c>
    </row>
    <row r="196" spans="2:29" s="28" customFormat="1" ht="99" customHeight="1" x14ac:dyDescent="0.35">
      <c r="B196" s="186">
        <v>20250193</v>
      </c>
      <c r="C196" s="187" t="s">
        <v>209</v>
      </c>
      <c r="D196" s="188" t="s">
        <v>168</v>
      </c>
      <c r="E196" s="189" t="s">
        <v>640</v>
      </c>
      <c r="F196" s="188" t="s">
        <v>965</v>
      </c>
      <c r="G196" s="188" t="s">
        <v>156</v>
      </c>
      <c r="H196" s="190">
        <v>80111600</v>
      </c>
      <c r="I196" s="191">
        <v>3</v>
      </c>
      <c r="J196" s="191">
        <v>8</v>
      </c>
      <c r="K196" s="192">
        <v>0</v>
      </c>
      <c r="L196" s="193">
        <v>36104333</v>
      </c>
      <c r="M196" s="188" t="s">
        <v>473</v>
      </c>
      <c r="N196" s="194" t="s">
        <v>113</v>
      </c>
      <c r="O196" s="189" t="s">
        <v>224</v>
      </c>
      <c r="P196" s="195" t="str">
        <f>IFERROR(VLOOKUP(C196,TD!$B$32:$F$36,2,0)," ")</f>
        <v>O230117</v>
      </c>
      <c r="Q196" s="195" t="str">
        <f>IFERROR(VLOOKUP(C196,TD!$B$32:$F$36,3,0)," ")</f>
        <v>4503</v>
      </c>
      <c r="R196" s="195">
        <f>IFERROR(VLOOKUP(C196,TD!$B$32:$F$36,4,0)," ")</f>
        <v>20240255</v>
      </c>
      <c r="S196" s="189" t="s">
        <v>191</v>
      </c>
      <c r="T196" s="195" t="str">
        <f>IFERROR(VLOOKUP(S196,TD!$J$33:$K$43,2,0)," ")</f>
        <v>Servicio de apoyo   logístico  en eventos operativos y/o emergencias.</v>
      </c>
      <c r="U196" s="161" t="str">
        <f>CONCATENATE(S196,"-",T196)</f>
        <v>12-Servicio de apoyo   logístico  en eventos operativos y/o emergencias.</v>
      </c>
      <c r="V196" s="189" t="s">
        <v>232</v>
      </c>
      <c r="W196" s="195" t="str">
        <f>IFERROR(VLOOKUP(V196,TD!$N$33:$O$45,2,0)," ")</f>
        <v>Servicio de atención a emergencias y desastres</v>
      </c>
      <c r="X196" s="161" t="str">
        <f>CONCATENATE(V196,"_",W196)</f>
        <v>004_Servicio de atención a emergencias y desastres</v>
      </c>
      <c r="Y196" s="161" t="str">
        <f>CONCATENATE(U196," ",X196)</f>
        <v>12-Servicio de apoyo   logístico  en eventos operativos y/o emergencias. 004_Servicio de atención a emergencias y desastres</v>
      </c>
      <c r="Z196" s="195" t="str">
        <f>CONCATENATE(P196,Q196,R196,S196,V196)</f>
        <v>O23011745032024025512004</v>
      </c>
      <c r="AA196" s="195" t="str">
        <f>IFERROR(VLOOKUP(Y196,TD!$K$46:$L$64,2,0)," ")</f>
        <v>PM/0131/0112/45030040255</v>
      </c>
      <c r="AB196" s="194" t="s">
        <v>138</v>
      </c>
      <c r="AC196" s="196" t="s">
        <v>204</v>
      </c>
    </row>
    <row r="197" spans="2:29" s="28" customFormat="1" ht="99" customHeight="1" x14ac:dyDescent="0.35">
      <c r="B197" s="77">
        <v>20250194</v>
      </c>
      <c r="C197" s="50" t="s">
        <v>209</v>
      </c>
      <c r="D197" s="158" t="s">
        <v>168</v>
      </c>
      <c r="E197" s="51" t="s">
        <v>640</v>
      </c>
      <c r="F197" s="158" t="s">
        <v>524</v>
      </c>
      <c r="G197" s="158" t="s">
        <v>155</v>
      </c>
      <c r="H197" s="97">
        <v>80111600</v>
      </c>
      <c r="I197" s="159">
        <v>2</v>
      </c>
      <c r="J197" s="159">
        <v>11</v>
      </c>
      <c r="K197" s="52">
        <v>0</v>
      </c>
      <c r="L197" s="153">
        <v>61800000</v>
      </c>
      <c r="M197" s="158" t="s">
        <v>473</v>
      </c>
      <c r="N197" s="53" t="s">
        <v>113</v>
      </c>
      <c r="O197" s="51" t="s">
        <v>224</v>
      </c>
      <c r="P197" s="160" t="str">
        <f>IFERROR(VLOOKUP(C197,TD!$B$32:$F$36,2,0)," ")</f>
        <v>O230117</v>
      </c>
      <c r="Q197" s="160" t="str">
        <f>IFERROR(VLOOKUP(C197,TD!$B$32:$F$36,3,0)," ")</f>
        <v>4503</v>
      </c>
      <c r="R197" s="160">
        <f>IFERROR(VLOOKUP(C197,TD!$B$32:$F$36,4,0)," ")</f>
        <v>20240255</v>
      </c>
      <c r="S197" s="51" t="s">
        <v>191</v>
      </c>
      <c r="T197" s="160" t="str">
        <f>IFERROR(VLOOKUP(S197,TD!$J$33:$K$43,2,0)," ")</f>
        <v>Servicio de apoyo   logístico  en eventos operativos y/o emergencias.</v>
      </c>
      <c r="U197" s="161" t="str">
        <f>CONCATENATE(S197,"-",T197)</f>
        <v>12-Servicio de apoyo   logístico  en eventos operativos y/o emergencias.</v>
      </c>
      <c r="V197" s="51" t="s">
        <v>232</v>
      </c>
      <c r="W197" s="160" t="str">
        <f>IFERROR(VLOOKUP(V197,TD!$N$33:$O$45,2,0)," ")</f>
        <v>Servicio de atención a emergencias y desastres</v>
      </c>
      <c r="X197" s="161" t="str">
        <f>CONCATENATE(V197,"_",W197)</f>
        <v>004_Servicio de atención a emergencias y desastres</v>
      </c>
      <c r="Y197" s="161" t="str">
        <f>CONCATENATE(U197," ",X197)</f>
        <v>12-Servicio de apoyo   logístico  en eventos operativos y/o emergencias. 004_Servicio de atención a emergencias y desastres</v>
      </c>
      <c r="Z197" s="160" t="str">
        <f>CONCATENATE(P197,Q197,R197,S197,V197)</f>
        <v>O23011745032024025512004</v>
      </c>
      <c r="AA197" s="160" t="str">
        <f>IFERROR(VLOOKUP(Y197,TD!$K$46:$L$64,2,0)," ")</f>
        <v>PM/0131/0112/45030040255</v>
      </c>
      <c r="AB197" s="53" t="s">
        <v>138</v>
      </c>
      <c r="AC197" s="162" t="s">
        <v>204</v>
      </c>
    </row>
    <row r="198" spans="2:29" s="28" customFormat="1" ht="99" customHeight="1" x14ac:dyDescent="0.35">
      <c r="B198" s="77">
        <v>20250195</v>
      </c>
      <c r="C198" s="50" t="s">
        <v>209</v>
      </c>
      <c r="D198" s="158" t="s">
        <v>168</v>
      </c>
      <c r="E198" s="51" t="s">
        <v>640</v>
      </c>
      <c r="F198" s="158" t="s">
        <v>803</v>
      </c>
      <c r="G198" s="158" t="s">
        <v>155</v>
      </c>
      <c r="H198" s="97">
        <v>80111600</v>
      </c>
      <c r="I198" s="159">
        <v>2</v>
      </c>
      <c r="J198" s="159">
        <v>10</v>
      </c>
      <c r="K198" s="52">
        <v>0</v>
      </c>
      <c r="L198" s="153">
        <v>93000000</v>
      </c>
      <c r="M198" s="158" t="s">
        <v>473</v>
      </c>
      <c r="N198" s="53" t="s">
        <v>113</v>
      </c>
      <c r="O198" s="51" t="s">
        <v>224</v>
      </c>
      <c r="P198" s="160" t="str">
        <f>IFERROR(VLOOKUP(C198,TD!$B$32:$F$36,2,0)," ")</f>
        <v>O230117</v>
      </c>
      <c r="Q198" s="160" t="str">
        <f>IFERROR(VLOOKUP(C198,TD!$B$32:$F$36,3,0)," ")</f>
        <v>4503</v>
      </c>
      <c r="R198" s="160">
        <f>IFERROR(VLOOKUP(C198,TD!$B$32:$F$36,4,0)," ")</f>
        <v>20240255</v>
      </c>
      <c r="S198" s="51" t="s">
        <v>191</v>
      </c>
      <c r="T198" s="160" t="str">
        <f>IFERROR(VLOOKUP(S198,TD!$J$33:$K$43,2,0)," ")</f>
        <v>Servicio de apoyo   logístico  en eventos operativos y/o emergencias.</v>
      </c>
      <c r="U198" s="161" t="str">
        <f>CONCATENATE(S198,"-",T198)</f>
        <v>12-Servicio de apoyo   logístico  en eventos operativos y/o emergencias.</v>
      </c>
      <c r="V198" s="51" t="s">
        <v>232</v>
      </c>
      <c r="W198" s="160" t="str">
        <f>IFERROR(VLOOKUP(V198,TD!$N$33:$O$45,2,0)," ")</f>
        <v>Servicio de atención a emergencias y desastres</v>
      </c>
      <c r="X198" s="161" t="str">
        <f>CONCATENATE(V198,"_",W198)</f>
        <v>004_Servicio de atención a emergencias y desastres</v>
      </c>
      <c r="Y198" s="161" t="str">
        <f>CONCATENATE(U198," ",X198)</f>
        <v>12-Servicio de apoyo   logístico  en eventos operativos y/o emergencias. 004_Servicio de atención a emergencias y desastres</v>
      </c>
      <c r="Z198" s="160" t="str">
        <f>CONCATENATE(P198,Q198,R198,S198,V198)</f>
        <v>O23011745032024025512004</v>
      </c>
      <c r="AA198" s="160" t="str">
        <f>IFERROR(VLOOKUP(Y198,TD!$K$46:$L$64,2,0)," ")</f>
        <v>PM/0131/0112/45030040255</v>
      </c>
      <c r="AB198" s="53" t="s">
        <v>120</v>
      </c>
      <c r="AC198" s="162" t="s">
        <v>204</v>
      </c>
    </row>
    <row r="199" spans="2:29" s="28" customFormat="1" ht="99" customHeight="1" x14ac:dyDescent="0.35">
      <c r="B199" s="77">
        <v>20250196</v>
      </c>
      <c r="C199" s="50" t="s">
        <v>209</v>
      </c>
      <c r="D199" s="158" t="s">
        <v>168</v>
      </c>
      <c r="E199" s="51" t="s">
        <v>640</v>
      </c>
      <c r="F199" s="158" t="s">
        <v>525</v>
      </c>
      <c r="G199" s="158" t="s">
        <v>155</v>
      </c>
      <c r="H199" s="97">
        <v>80111600</v>
      </c>
      <c r="I199" s="159">
        <v>2</v>
      </c>
      <c r="J199" s="159">
        <v>11</v>
      </c>
      <c r="K199" s="52">
        <v>0</v>
      </c>
      <c r="L199" s="153">
        <v>49500000</v>
      </c>
      <c r="M199" s="158" t="s">
        <v>473</v>
      </c>
      <c r="N199" s="53" t="s">
        <v>113</v>
      </c>
      <c r="O199" s="51" t="s">
        <v>224</v>
      </c>
      <c r="P199" s="160" t="str">
        <f>IFERROR(VLOOKUP(C199,TD!$B$32:$F$36,2,0)," ")</f>
        <v>O230117</v>
      </c>
      <c r="Q199" s="160" t="str">
        <f>IFERROR(VLOOKUP(C199,TD!$B$32:$F$36,3,0)," ")</f>
        <v>4503</v>
      </c>
      <c r="R199" s="160">
        <f>IFERROR(VLOOKUP(C199,TD!$B$32:$F$36,4,0)," ")</f>
        <v>20240255</v>
      </c>
      <c r="S199" s="51" t="s">
        <v>191</v>
      </c>
      <c r="T199" s="160" t="str">
        <f>IFERROR(VLOOKUP(S199,TD!$J$33:$K$43,2,0)," ")</f>
        <v>Servicio de apoyo   logístico  en eventos operativos y/o emergencias.</v>
      </c>
      <c r="U199" s="161" t="str">
        <f>CONCATENATE(S199,"-",T199)</f>
        <v>12-Servicio de apoyo   logístico  en eventos operativos y/o emergencias.</v>
      </c>
      <c r="V199" s="51" t="s">
        <v>232</v>
      </c>
      <c r="W199" s="160" t="str">
        <f>IFERROR(VLOOKUP(V199,TD!$N$33:$O$45,2,0)," ")</f>
        <v>Servicio de atención a emergencias y desastres</v>
      </c>
      <c r="X199" s="161" t="str">
        <f>CONCATENATE(V199,"_",W199)</f>
        <v>004_Servicio de atención a emergencias y desastres</v>
      </c>
      <c r="Y199" s="161" t="str">
        <f>CONCATENATE(U199," ",X199)</f>
        <v>12-Servicio de apoyo   logístico  en eventos operativos y/o emergencias. 004_Servicio de atención a emergencias y desastres</v>
      </c>
      <c r="Z199" s="160" t="str">
        <f>CONCATENATE(P199,Q199,R199,S199,V199)</f>
        <v>O23011745032024025512004</v>
      </c>
      <c r="AA199" s="160" t="str">
        <f>IFERROR(VLOOKUP(Y199,TD!$K$46:$L$64,2,0)," ")</f>
        <v>PM/0131/0112/45030040255</v>
      </c>
      <c r="AB199" s="53" t="s">
        <v>138</v>
      </c>
      <c r="AC199" s="162" t="s">
        <v>204</v>
      </c>
    </row>
    <row r="200" spans="2:29" s="28" customFormat="1" ht="99" customHeight="1" x14ac:dyDescent="0.35">
      <c r="B200" s="77">
        <v>20250197</v>
      </c>
      <c r="C200" s="50" t="s">
        <v>209</v>
      </c>
      <c r="D200" s="158" t="s">
        <v>168</v>
      </c>
      <c r="E200" s="51" t="s">
        <v>640</v>
      </c>
      <c r="F200" s="158" t="s">
        <v>804</v>
      </c>
      <c r="G200" s="158" t="s">
        <v>155</v>
      </c>
      <c r="H200" s="97">
        <v>80111600</v>
      </c>
      <c r="I200" s="159">
        <v>2</v>
      </c>
      <c r="J200" s="159">
        <v>11</v>
      </c>
      <c r="K200" s="52">
        <v>0</v>
      </c>
      <c r="L200" s="153">
        <v>49500000</v>
      </c>
      <c r="M200" s="158" t="s">
        <v>473</v>
      </c>
      <c r="N200" s="53" t="s">
        <v>113</v>
      </c>
      <c r="O200" s="51" t="s">
        <v>224</v>
      </c>
      <c r="P200" s="160" t="str">
        <f>IFERROR(VLOOKUP(C200,TD!$B$32:$F$36,2,0)," ")</f>
        <v>O230117</v>
      </c>
      <c r="Q200" s="160" t="str">
        <f>IFERROR(VLOOKUP(C200,TD!$B$32:$F$36,3,0)," ")</f>
        <v>4503</v>
      </c>
      <c r="R200" s="160">
        <f>IFERROR(VLOOKUP(C200,TD!$B$32:$F$36,4,0)," ")</f>
        <v>20240255</v>
      </c>
      <c r="S200" s="51" t="s">
        <v>191</v>
      </c>
      <c r="T200" s="160" t="str">
        <f>IFERROR(VLOOKUP(S200,TD!$J$33:$K$43,2,0)," ")</f>
        <v>Servicio de apoyo   logístico  en eventos operativos y/o emergencias.</v>
      </c>
      <c r="U200" s="161" t="str">
        <f>CONCATENATE(S200,"-",T200)</f>
        <v>12-Servicio de apoyo   logístico  en eventos operativos y/o emergencias.</v>
      </c>
      <c r="V200" s="51" t="s">
        <v>232</v>
      </c>
      <c r="W200" s="160" t="str">
        <f>IFERROR(VLOOKUP(V200,TD!$N$33:$O$45,2,0)," ")</f>
        <v>Servicio de atención a emergencias y desastres</v>
      </c>
      <c r="X200" s="161" t="str">
        <f>CONCATENATE(V200,"_",W200)</f>
        <v>004_Servicio de atención a emergencias y desastres</v>
      </c>
      <c r="Y200" s="161" t="str">
        <f>CONCATENATE(U200," ",X200)</f>
        <v>12-Servicio de apoyo   logístico  en eventos operativos y/o emergencias. 004_Servicio de atención a emergencias y desastres</v>
      </c>
      <c r="Z200" s="160" t="str">
        <f>CONCATENATE(P200,Q200,R200,S200,V200)</f>
        <v>O23011745032024025512004</v>
      </c>
      <c r="AA200" s="160" t="str">
        <f>IFERROR(VLOOKUP(Y200,TD!$K$46:$L$64,2,0)," ")</f>
        <v>PM/0131/0112/45030040255</v>
      </c>
      <c r="AB200" s="53" t="s">
        <v>138</v>
      </c>
      <c r="AC200" s="162" t="s">
        <v>204</v>
      </c>
    </row>
    <row r="201" spans="2:29" s="28" customFormat="1" ht="99" customHeight="1" x14ac:dyDescent="0.35">
      <c r="B201" s="77">
        <v>20250198</v>
      </c>
      <c r="C201" s="50" t="s">
        <v>209</v>
      </c>
      <c r="D201" s="158" t="s">
        <v>168</v>
      </c>
      <c r="E201" s="51" t="s">
        <v>640</v>
      </c>
      <c r="F201" s="158" t="s">
        <v>805</v>
      </c>
      <c r="G201" s="158" t="s">
        <v>155</v>
      </c>
      <c r="H201" s="97">
        <v>80111600</v>
      </c>
      <c r="I201" s="159">
        <v>2</v>
      </c>
      <c r="J201" s="159">
        <v>11</v>
      </c>
      <c r="K201" s="52">
        <v>0</v>
      </c>
      <c r="L201" s="153">
        <v>93500000</v>
      </c>
      <c r="M201" s="158" t="s">
        <v>473</v>
      </c>
      <c r="N201" s="53" t="s">
        <v>113</v>
      </c>
      <c r="O201" s="51" t="s">
        <v>224</v>
      </c>
      <c r="P201" s="160" t="str">
        <f>IFERROR(VLOOKUP(C201,TD!$B$32:$F$36,2,0)," ")</f>
        <v>O230117</v>
      </c>
      <c r="Q201" s="160" t="str">
        <f>IFERROR(VLOOKUP(C201,TD!$B$32:$F$36,3,0)," ")</f>
        <v>4503</v>
      </c>
      <c r="R201" s="160">
        <f>IFERROR(VLOOKUP(C201,TD!$B$32:$F$36,4,0)," ")</f>
        <v>20240255</v>
      </c>
      <c r="S201" s="51" t="s">
        <v>187</v>
      </c>
      <c r="T201" s="160" t="str">
        <f>IFERROR(VLOOKUP(S201,TD!$J$33:$K$43,2,0)," ")</f>
        <v>Servicio de mantenimiento, dotación (HEA´s y equipo menor) y adquisición de vehiculos   especializados para la atención de emergencias.</v>
      </c>
      <c r="U201" s="161" t="str">
        <f>CONCATENATE(S201,"-",T201)</f>
        <v>09-Servicio de mantenimiento, dotación (HEA´s y equipo menor) y adquisición de vehiculos   especializados para la atención de emergencias.</v>
      </c>
      <c r="V201" s="51" t="s">
        <v>232</v>
      </c>
      <c r="W201" s="160" t="str">
        <f>IFERROR(VLOOKUP(V201,TD!$N$33:$O$45,2,0)," ")</f>
        <v>Servicio de atención a emergencias y desastres</v>
      </c>
      <c r="X201" s="161" t="str">
        <f>CONCATENATE(V201,"_",W201)</f>
        <v>004_Servicio de atención a emergencias y desastres</v>
      </c>
      <c r="Y201" s="161" t="str">
        <f>CONCATENATE(U201," ",X201)</f>
        <v>09-Servicio de mantenimiento, dotación (HEA´s y equipo menor) y adquisición de vehiculos   especializados para la atención de emergencias. 004_Servicio de atención a emergencias y desastres</v>
      </c>
      <c r="Z201" s="160" t="str">
        <f>CONCATENATE(P201,Q201,R201,S201,V201)</f>
        <v>O23011745032024025509004</v>
      </c>
      <c r="AA201" s="160" t="str">
        <f>IFERROR(VLOOKUP(Y201,TD!$K$46:$L$64,2,0)," ")</f>
        <v>PM/0131/0109/45030040255</v>
      </c>
      <c r="AB201" s="53" t="s">
        <v>138</v>
      </c>
      <c r="AC201" s="162" t="s">
        <v>204</v>
      </c>
    </row>
    <row r="202" spans="2:29" s="28" customFormat="1" ht="99" customHeight="1" x14ac:dyDescent="0.35">
      <c r="B202" s="77">
        <v>20250199</v>
      </c>
      <c r="C202" s="50" t="s">
        <v>209</v>
      </c>
      <c r="D202" s="158" t="s">
        <v>168</v>
      </c>
      <c r="E202" s="51" t="s">
        <v>640</v>
      </c>
      <c r="F202" s="158" t="s">
        <v>806</v>
      </c>
      <c r="G202" s="158" t="s">
        <v>155</v>
      </c>
      <c r="H202" s="97">
        <v>80111600</v>
      </c>
      <c r="I202" s="159">
        <v>2</v>
      </c>
      <c r="J202" s="159">
        <v>11</v>
      </c>
      <c r="K202" s="52">
        <v>0</v>
      </c>
      <c r="L202" s="153">
        <v>60500000</v>
      </c>
      <c r="M202" s="158" t="s">
        <v>473</v>
      </c>
      <c r="N202" s="53" t="s">
        <v>113</v>
      </c>
      <c r="O202" s="51" t="s">
        <v>224</v>
      </c>
      <c r="P202" s="160" t="str">
        <f>IFERROR(VLOOKUP(C202,TD!$B$32:$F$36,2,0)," ")</f>
        <v>O230117</v>
      </c>
      <c r="Q202" s="160" t="str">
        <f>IFERROR(VLOOKUP(C202,TD!$B$32:$F$36,3,0)," ")</f>
        <v>4503</v>
      </c>
      <c r="R202" s="160">
        <f>IFERROR(VLOOKUP(C202,TD!$B$32:$F$36,4,0)," ")</f>
        <v>20240255</v>
      </c>
      <c r="S202" s="51" t="s">
        <v>191</v>
      </c>
      <c r="T202" s="160" t="str">
        <f>IFERROR(VLOOKUP(S202,TD!$J$33:$K$43,2,0)," ")</f>
        <v>Servicio de apoyo   logístico  en eventos operativos y/o emergencias.</v>
      </c>
      <c r="U202" s="161" t="str">
        <f>CONCATENATE(S202,"-",T202)</f>
        <v>12-Servicio de apoyo   logístico  en eventos operativos y/o emergencias.</v>
      </c>
      <c r="V202" s="51" t="s">
        <v>232</v>
      </c>
      <c r="W202" s="160" t="str">
        <f>IFERROR(VLOOKUP(V202,TD!$N$33:$O$45,2,0)," ")</f>
        <v>Servicio de atención a emergencias y desastres</v>
      </c>
      <c r="X202" s="161" t="str">
        <f>CONCATENATE(V202,"_",W202)</f>
        <v>004_Servicio de atención a emergencias y desastres</v>
      </c>
      <c r="Y202" s="161" t="str">
        <f>CONCATENATE(U202," ",X202)</f>
        <v>12-Servicio de apoyo   logístico  en eventos operativos y/o emergencias. 004_Servicio de atención a emergencias y desastres</v>
      </c>
      <c r="Z202" s="160" t="str">
        <f>CONCATENATE(P202,Q202,R202,S202,V202)</f>
        <v>O23011745032024025512004</v>
      </c>
      <c r="AA202" s="160" t="str">
        <f>IFERROR(VLOOKUP(Y202,TD!$K$46:$L$64,2,0)," ")</f>
        <v>PM/0131/0112/45030040255</v>
      </c>
      <c r="AB202" s="53" t="s">
        <v>138</v>
      </c>
      <c r="AC202" s="162" t="s">
        <v>204</v>
      </c>
    </row>
    <row r="203" spans="2:29" s="28" customFormat="1" ht="99" customHeight="1" x14ac:dyDescent="0.35">
      <c r="B203" s="77">
        <v>20250200</v>
      </c>
      <c r="C203" s="50" t="s">
        <v>209</v>
      </c>
      <c r="D203" s="158" t="s">
        <v>168</v>
      </c>
      <c r="E203" s="51" t="s">
        <v>640</v>
      </c>
      <c r="F203" s="158" t="s">
        <v>807</v>
      </c>
      <c r="G203" s="158" t="s">
        <v>156</v>
      </c>
      <c r="H203" s="97">
        <v>80111600</v>
      </c>
      <c r="I203" s="159">
        <v>2</v>
      </c>
      <c r="J203" s="159">
        <v>10</v>
      </c>
      <c r="K203" s="52">
        <v>0</v>
      </c>
      <c r="L203" s="153">
        <v>33000000</v>
      </c>
      <c r="M203" s="158" t="s">
        <v>473</v>
      </c>
      <c r="N203" s="53" t="s">
        <v>113</v>
      </c>
      <c r="O203" s="51" t="s">
        <v>224</v>
      </c>
      <c r="P203" s="160" t="str">
        <f>IFERROR(VLOOKUP(C203,TD!$B$32:$F$36,2,0)," ")</f>
        <v>O230117</v>
      </c>
      <c r="Q203" s="160" t="str">
        <f>IFERROR(VLOOKUP(C203,TD!$B$32:$F$36,3,0)," ")</f>
        <v>4503</v>
      </c>
      <c r="R203" s="160">
        <f>IFERROR(VLOOKUP(C203,TD!$B$32:$F$36,4,0)," ")</f>
        <v>20240255</v>
      </c>
      <c r="S203" s="51" t="s">
        <v>191</v>
      </c>
      <c r="T203" s="160" t="str">
        <f>IFERROR(VLOOKUP(S203,TD!$J$33:$K$43,2,0)," ")</f>
        <v>Servicio de apoyo   logístico  en eventos operativos y/o emergencias.</v>
      </c>
      <c r="U203" s="161" t="str">
        <f>CONCATENATE(S203,"-",T203)</f>
        <v>12-Servicio de apoyo   logístico  en eventos operativos y/o emergencias.</v>
      </c>
      <c r="V203" s="51" t="s">
        <v>232</v>
      </c>
      <c r="W203" s="160" t="str">
        <f>IFERROR(VLOOKUP(V203,TD!$N$33:$O$45,2,0)," ")</f>
        <v>Servicio de atención a emergencias y desastres</v>
      </c>
      <c r="X203" s="161" t="str">
        <f>CONCATENATE(V203,"_",W203)</f>
        <v>004_Servicio de atención a emergencias y desastres</v>
      </c>
      <c r="Y203" s="161" t="str">
        <f>CONCATENATE(U203," ",X203)</f>
        <v>12-Servicio de apoyo   logístico  en eventos operativos y/o emergencias. 004_Servicio de atención a emergencias y desastres</v>
      </c>
      <c r="Z203" s="160" t="str">
        <f>CONCATENATE(P203,Q203,R203,S203,V203)</f>
        <v>O23011745032024025512004</v>
      </c>
      <c r="AA203" s="160" t="str">
        <f>IFERROR(VLOOKUP(Y203,TD!$K$46:$L$64,2,0)," ")</f>
        <v>PM/0131/0112/45030040255</v>
      </c>
      <c r="AB203" s="53" t="s">
        <v>138</v>
      </c>
      <c r="AC203" s="162" t="s">
        <v>204</v>
      </c>
    </row>
    <row r="204" spans="2:29" s="28" customFormat="1" ht="99" customHeight="1" x14ac:dyDescent="0.35">
      <c r="B204" s="77">
        <v>20250201</v>
      </c>
      <c r="C204" s="50" t="s">
        <v>209</v>
      </c>
      <c r="D204" s="158" t="s">
        <v>168</v>
      </c>
      <c r="E204" s="51" t="s">
        <v>640</v>
      </c>
      <c r="F204" s="158" t="s">
        <v>808</v>
      </c>
      <c r="G204" s="158" t="s">
        <v>155</v>
      </c>
      <c r="H204" s="97">
        <v>80111600</v>
      </c>
      <c r="I204" s="159">
        <v>2</v>
      </c>
      <c r="J204" s="159">
        <v>11</v>
      </c>
      <c r="K204" s="52">
        <v>0</v>
      </c>
      <c r="L204" s="153">
        <v>55000000</v>
      </c>
      <c r="M204" s="158" t="s">
        <v>473</v>
      </c>
      <c r="N204" s="53" t="s">
        <v>113</v>
      </c>
      <c r="O204" s="51" t="s">
        <v>224</v>
      </c>
      <c r="P204" s="160" t="str">
        <f>IFERROR(VLOOKUP(C204,TD!$B$32:$F$36,2,0)," ")</f>
        <v>O230117</v>
      </c>
      <c r="Q204" s="160" t="str">
        <f>IFERROR(VLOOKUP(C204,TD!$B$32:$F$36,3,0)," ")</f>
        <v>4503</v>
      </c>
      <c r="R204" s="160">
        <f>IFERROR(VLOOKUP(C204,TD!$B$32:$F$36,4,0)," ")</f>
        <v>20240255</v>
      </c>
      <c r="S204" s="51" t="s">
        <v>191</v>
      </c>
      <c r="T204" s="160" t="str">
        <f>IFERROR(VLOOKUP(S204,TD!$J$33:$K$43,2,0)," ")</f>
        <v>Servicio de apoyo   logístico  en eventos operativos y/o emergencias.</v>
      </c>
      <c r="U204" s="161" t="str">
        <f>CONCATENATE(S204,"-",T204)</f>
        <v>12-Servicio de apoyo   logístico  en eventos operativos y/o emergencias.</v>
      </c>
      <c r="V204" s="51" t="s">
        <v>232</v>
      </c>
      <c r="W204" s="160" t="str">
        <f>IFERROR(VLOOKUP(V204,TD!$N$33:$O$45,2,0)," ")</f>
        <v>Servicio de atención a emergencias y desastres</v>
      </c>
      <c r="X204" s="161" t="str">
        <f>CONCATENATE(V204,"_",W204)</f>
        <v>004_Servicio de atención a emergencias y desastres</v>
      </c>
      <c r="Y204" s="161" t="str">
        <f>CONCATENATE(U204," ",X204)</f>
        <v>12-Servicio de apoyo   logístico  en eventos operativos y/o emergencias. 004_Servicio de atención a emergencias y desastres</v>
      </c>
      <c r="Z204" s="160" t="str">
        <f>CONCATENATE(P204,Q204,R204,S204,V204)</f>
        <v>O23011745032024025512004</v>
      </c>
      <c r="AA204" s="160" t="str">
        <f>IFERROR(VLOOKUP(Y204,TD!$K$46:$L$64,2,0)," ")</f>
        <v>PM/0131/0112/45030040255</v>
      </c>
      <c r="AB204" s="53" t="s">
        <v>138</v>
      </c>
      <c r="AC204" s="162" t="s">
        <v>204</v>
      </c>
    </row>
    <row r="205" spans="2:29" s="28" customFormat="1" ht="99" customHeight="1" x14ac:dyDescent="0.35">
      <c r="B205" s="77">
        <v>20250202</v>
      </c>
      <c r="C205" s="50" t="s">
        <v>209</v>
      </c>
      <c r="D205" s="158" t="s">
        <v>168</v>
      </c>
      <c r="E205" s="51" t="s">
        <v>640</v>
      </c>
      <c r="F205" s="158" t="s">
        <v>885</v>
      </c>
      <c r="G205" s="158" t="s">
        <v>156</v>
      </c>
      <c r="H205" s="97">
        <v>80111600</v>
      </c>
      <c r="I205" s="159">
        <v>2</v>
      </c>
      <c r="J205" s="159">
        <v>9</v>
      </c>
      <c r="K205" s="52">
        <v>0</v>
      </c>
      <c r="L205" s="153">
        <v>31500000</v>
      </c>
      <c r="M205" s="158" t="s">
        <v>473</v>
      </c>
      <c r="N205" s="53" t="s">
        <v>113</v>
      </c>
      <c r="O205" s="51" t="s">
        <v>224</v>
      </c>
      <c r="P205" s="160" t="str">
        <f>IFERROR(VLOOKUP(C205,TD!$B$32:$F$36,2,0)," ")</f>
        <v>O230117</v>
      </c>
      <c r="Q205" s="160" t="str">
        <f>IFERROR(VLOOKUP(C205,TD!$B$32:$F$36,3,0)," ")</f>
        <v>4503</v>
      </c>
      <c r="R205" s="160">
        <f>IFERROR(VLOOKUP(C205,TD!$B$32:$F$36,4,0)," ")</f>
        <v>20240255</v>
      </c>
      <c r="S205" s="51" t="s">
        <v>191</v>
      </c>
      <c r="T205" s="160" t="str">
        <f>IFERROR(VLOOKUP(S205,TD!$J$33:$K$43,2,0)," ")</f>
        <v>Servicio de apoyo   logístico  en eventos operativos y/o emergencias.</v>
      </c>
      <c r="U205" s="161" t="str">
        <f>CONCATENATE(S205,"-",T205)</f>
        <v>12-Servicio de apoyo   logístico  en eventos operativos y/o emergencias.</v>
      </c>
      <c r="V205" s="51" t="s">
        <v>232</v>
      </c>
      <c r="W205" s="160" t="str">
        <f>IFERROR(VLOOKUP(V205,TD!$N$33:$O$45,2,0)," ")</f>
        <v>Servicio de atención a emergencias y desastres</v>
      </c>
      <c r="X205" s="161" t="str">
        <f>CONCATENATE(V205,"_",W205)</f>
        <v>004_Servicio de atención a emergencias y desastres</v>
      </c>
      <c r="Y205" s="161" t="str">
        <f>CONCATENATE(U205," ",X205)</f>
        <v>12-Servicio de apoyo   logístico  en eventos operativos y/o emergencias. 004_Servicio de atención a emergencias y desastres</v>
      </c>
      <c r="Z205" s="160" t="str">
        <f>CONCATENATE(P205,Q205,R205,S205,V205)</f>
        <v>O23011745032024025512004</v>
      </c>
      <c r="AA205" s="160" t="str">
        <f>IFERROR(VLOOKUP(Y205,TD!$K$46:$L$64,2,0)," ")</f>
        <v>PM/0131/0112/45030040255</v>
      </c>
      <c r="AB205" s="53" t="s">
        <v>138</v>
      </c>
      <c r="AC205" s="162" t="s">
        <v>204</v>
      </c>
    </row>
    <row r="206" spans="2:29" s="28" customFormat="1" ht="99" customHeight="1" x14ac:dyDescent="0.35">
      <c r="B206" s="77">
        <v>20250203</v>
      </c>
      <c r="C206" s="50" t="s">
        <v>209</v>
      </c>
      <c r="D206" s="158" t="s">
        <v>168</v>
      </c>
      <c r="E206" s="51" t="s">
        <v>640</v>
      </c>
      <c r="F206" s="158" t="s">
        <v>802</v>
      </c>
      <c r="G206" s="158" t="s">
        <v>155</v>
      </c>
      <c r="H206" s="97">
        <v>80111600</v>
      </c>
      <c r="I206" s="159">
        <v>2</v>
      </c>
      <c r="J206" s="159">
        <v>11</v>
      </c>
      <c r="K206" s="52">
        <v>0</v>
      </c>
      <c r="L206" s="153">
        <v>88000000</v>
      </c>
      <c r="M206" s="158" t="s">
        <v>473</v>
      </c>
      <c r="N206" s="53" t="s">
        <v>113</v>
      </c>
      <c r="O206" s="51" t="s">
        <v>224</v>
      </c>
      <c r="P206" s="160" t="str">
        <f>IFERROR(VLOOKUP(C206,TD!$B$32:$F$36,2,0)," ")</f>
        <v>O230117</v>
      </c>
      <c r="Q206" s="160" t="str">
        <f>IFERROR(VLOOKUP(C206,TD!$B$32:$F$36,3,0)," ")</f>
        <v>4503</v>
      </c>
      <c r="R206" s="160">
        <f>IFERROR(VLOOKUP(C206,TD!$B$32:$F$36,4,0)," ")</f>
        <v>20240255</v>
      </c>
      <c r="S206" s="51" t="s">
        <v>187</v>
      </c>
      <c r="T206" s="160" t="str">
        <f>IFERROR(VLOOKUP(S206,TD!$J$33:$K$43,2,0)," ")</f>
        <v>Servicio de mantenimiento, dotación (HEA´s y equipo menor) y adquisición de vehiculos   especializados para la atención de emergencias.</v>
      </c>
      <c r="U206" s="161" t="str">
        <f>CONCATENATE(S206,"-",T206)</f>
        <v>09-Servicio de mantenimiento, dotación (HEA´s y equipo menor) y adquisición de vehiculos   especializados para la atención de emergencias.</v>
      </c>
      <c r="V206" s="51" t="s">
        <v>232</v>
      </c>
      <c r="W206" s="160" t="str">
        <f>IFERROR(VLOOKUP(V206,TD!$N$33:$O$45,2,0)," ")</f>
        <v>Servicio de atención a emergencias y desastres</v>
      </c>
      <c r="X206" s="161" t="str">
        <f>CONCATENATE(V206,"_",W206)</f>
        <v>004_Servicio de atención a emergencias y desastres</v>
      </c>
      <c r="Y206" s="161" t="str">
        <f>CONCATENATE(U206," ",X206)</f>
        <v>09-Servicio de mantenimiento, dotación (HEA´s y equipo menor) y adquisición de vehiculos   especializados para la atención de emergencias. 004_Servicio de atención a emergencias y desastres</v>
      </c>
      <c r="Z206" s="160" t="str">
        <f>CONCATENATE(P206,Q206,R206,S206,V206)</f>
        <v>O23011745032024025509004</v>
      </c>
      <c r="AA206" s="160" t="str">
        <f>IFERROR(VLOOKUP(Y206,TD!$K$46:$L$64,2,0)," ")</f>
        <v>PM/0131/0109/45030040255</v>
      </c>
      <c r="AB206" s="53" t="s">
        <v>138</v>
      </c>
      <c r="AC206" s="162" t="s">
        <v>204</v>
      </c>
    </row>
    <row r="207" spans="2:29" s="28" customFormat="1" ht="99" customHeight="1" x14ac:dyDescent="0.35">
      <c r="B207" s="77">
        <v>20250204</v>
      </c>
      <c r="C207" s="50" t="s">
        <v>209</v>
      </c>
      <c r="D207" s="158" t="s">
        <v>168</v>
      </c>
      <c r="E207" s="51" t="s">
        <v>640</v>
      </c>
      <c r="F207" s="158" t="s">
        <v>809</v>
      </c>
      <c r="G207" s="158" t="s">
        <v>156</v>
      </c>
      <c r="H207" s="97">
        <v>80111600</v>
      </c>
      <c r="I207" s="159">
        <v>2</v>
      </c>
      <c r="J207" s="159">
        <v>9</v>
      </c>
      <c r="K207" s="52">
        <v>0</v>
      </c>
      <c r="L207" s="153">
        <v>29700000</v>
      </c>
      <c r="M207" s="158" t="s">
        <v>473</v>
      </c>
      <c r="N207" s="53" t="s">
        <v>113</v>
      </c>
      <c r="O207" s="51" t="s">
        <v>224</v>
      </c>
      <c r="P207" s="160" t="str">
        <f>IFERROR(VLOOKUP(C207,TD!$B$32:$F$36,2,0)," ")</f>
        <v>O230117</v>
      </c>
      <c r="Q207" s="160" t="str">
        <f>IFERROR(VLOOKUP(C207,TD!$B$32:$F$36,3,0)," ")</f>
        <v>4503</v>
      </c>
      <c r="R207" s="160">
        <f>IFERROR(VLOOKUP(C207,TD!$B$32:$F$36,4,0)," ")</f>
        <v>20240255</v>
      </c>
      <c r="S207" s="51" t="s">
        <v>191</v>
      </c>
      <c r="T207" s="160" t="str">
        <f>IFERROR(VLOOKUP(S207,TD!$J$33:$K$43,2,0)," ")</f>
        <v>Servicio de apoyo   logístico  en eventos operativos y/o emergencias.</v>
      </c>
      <c r="U207" s="161" t="str">
        <f>CONCATENATE(S207,"-",T207)</f>
        <v>12-Servicio de apoyo   logístico  en eventos operativos y/o emergencias.</v>
      </c>
      <c r="V207" s="51" t="s">
        <v>232</v>
      </c>
      <c r="W207" s="160" t="str">
        <f>IFERROR(VLOOKUP(V207,TD!$N$33:$O$45,2,0)," ")</f>
        <v>Servicio de atención a emergencias y desastres</v>
      </c>
      <c r="X207" s="161" t="str">
        <f>CONCATENATE(V207,"_",W207)</f>
        <v>004_Servicio de atención a emergencias y desastres</v>
      </c>
      <c r="Y207" s="161" t="str">
        <f>CONCATENATE(U207," ",X207)</f>
        <v>12-Servicio de apoyo   logístico  en eventos operativos y/o emergencias. 004_Servicio de atención a emergencias y desastres</v>
      </c>
      <c r="Z207" s="160" t="str">
        <f>CONCATENATE(P207,Q207,R207,S207,V207)</f>
        <v>O23011745032024025512004</v>
      </c>
      <c r="AA207" s="160" t="str">
        <f>IFERROR(VLOOKUP(Y207,TD!$K$46:$L$64,2,0)," ")</f>
        <v>PM/0131/0112/45030040255</v>
      </c>
      <c r="AB207" s="53" t="s">
        <v>138</v>
      </c>
      <c r="AC207" s="162" t="s">
        <v>204</v>
      </c>
    </row>
    <row r="208" spans="2:29" s="28" customFormat="1" ht="99" customHeight="1" x14ac:dyDescent="0.35">
      <c r="B208" s="77">
        <v>20250205</v>
      </c>
      <c r="C208" s="50" t="s">
        <v>209</v>
      </c>
      <c r="D208" s="158" t="s">
        <v>168</v>
      </c>
      <c r="E208" s="51" t="s">
        <v>640</v>
      </c>
      <c r="F208" s="158" t="s">
        <v>810</v>
      </c>
      <c r="G208" s="158" t="s">
        <v>155</v>
      </c>
      <c r="H208" s="97">
        <v>80111600</v>
      </c>
      <c r="I208" s="159">
        <v>2</v>
      </c>
      <c r="J208" s="159">
        <v>10</v>
      </c>
      <c r="K208" s="52">
        <v>0</v>
      </c>
      <c r="L208" s="153">
        <v>125000000</v>
      </c>
      <c r="M208" s="158" t="s">
        <v>473</v>
      </c>
      <c r="N208" s="53" t="s">
        <v>113</v>
      </c>
      <c r="O208" s="51" t="s">
        <v>224</v>
      </c>
      <c r="P208" s="160" t="str">
        <f>IFERROR(VLOOKUP(C208,TD!$B$32:$F$36,2,0)," ")</f>
        <v>O230117</v>
      </c>
      <c r="Q208" s="160" t="str">
        <f>IFERROR(VLOOKUP(C208,TD!$B$32:$F$36,3,0)," ")</f>
        <v>4503</v>
      </c>
      <c r="R208" s="160">
        <f>IFERROR(VLOOKUP(C208,TD!$B$32:$F$36,4,0)," ")</f>
        <v>20240255</v>
      </c>
      <c r="S208" s="51" t="s">
        <v>191</v>
      </c>
      <c r="T208" s="160" t="str">
        <f>IFERROR(VLOOKUP(S208,TD!$J$33:$K$43,2,0)," ")</f>
        <v>Servicio de apoyo   logístico  en eventos operativos y/o emergencias.</v>
      </c>
      <c r="U208" s="161" t="str">
        <f>CONCATENATE(S208,"-",T208)</f>
        <v>12-Servicio de apoyo   logístico  en eventos operativos y/o emergencias.</v>
      </c>
      <c r="V208" s="51" t="s">
        <v>232</v>
      </c>
      <c r="W208" s="160" t="str">
        <f>IFERROR(VLOOKUP(V208,TD!$N$33:$O$45,2,0)," ")</f>
        <v>Servicio de atención a emergencias y desastres</v>
      </c>
      <c r="X208" s="161" t="str">
        <f>CONCATENATE(V208,"_",W208)</f>
        <v>004_Servicio de atención a emergencias y desastres</v>
      </c>
      <c r="Y208" s="161" t="str">
        <f>CONCATENATE(U208," ",X208)</f>
        <v>12-Servicio de apoyo   logístico  en eventos operativos y/o emergencias. 004_Servicio de atención a emergencias y desastres</v>
      </c>
      <c r="Z208" s="160" t="str">
        <f>CONCATENATE(P208,Q208,R208,S208,V208)</f>
        <v>O23011745032024025512004</v>
      </c>
      <c r="AA208" s="160" t="str">
        <f>IFERROR(VLOOKUP(Y208,TD!$K$46:$L$64,2,0)," ")</f>
        <v>PM/0131/0112/45030040255</v>
      </c>
      <c r="AB208" s="53" t="s">
        <v>138</v>
      </c>
      <c r="AC208" s="162" t="s">
        <v>204</v>
      </c>
    </row>
    <row r="209" spans="2:29" s="28" customFormat="1" ht="99" customHeight="1" x14ac:dyDescent="0.35">
      <c r="B209" s="77">
        <v>20250206</v>
      </c>
      <c r="C209" s="50" t="s">
        <v>209</v>
      </c>
      <c r="D209" s="158" t="s">
        <v>168</v>
      </c>
      <c r="E209" s="51" t="s">
        <v>640</v>
      </c>
      <c r="F209" s="158" t="s">
        <v>811</v>
      </c>
      <c r="G209" s="158" t="s">
        <v>155</v>
      </c>
      <c r="H209" s="97">
        <v>80111600</v>
      </c>
      <c r="I209" s="159">
        <v>2</v>
      </c>
      <c r="J209" s="159">
        <v>11</v>
      </c>
      <c r="K209" s="52">
        <v>0</v>
      </c>
      <c r="L209" s="153">
        <v>88000000</v>
      </c>
      <c r="M209" s="158" t="s">
        <v>473</v>
      </c>
      <c r="N209" s="53" t="s">
        <v>113</v>
      </c>
      <c r="O209" s="51" t="s">
        <v>224</v>
      </c>
      <c r="P209" s="160" t="str">
        <f>IFERROR(VLOOKUP(C209,TD!$B$32:$F$36,2,0)," ")</f>
        <v>O230117</v>
      </c>
      <c r="Q209" s="160" t="str">
        <f>IFERROR(VLOOKUP(C209,TD!$B$32:$F$36,3,0)," ")</f>
        <v>4503</v>
      </c>
      <c r="R209" s="160">
        <f>IFERROR(VLOOKUP(C209,TD!$B$32:$F$36,4,0)," ")</f>
        <v>20240255</v>
      </c>
      <c r="S209" s="51" t="s">
        <v>191</v>
      </c>
      <c r="T209" s="160" t="str">
        <f>IFERROR(VLOOKUP(S209,TD!$J$33:$K$43,2,0)," ")</f>
        <v>Servicio de apoyo   logístico  en eventos operativos y/o emergencias.</v>
      </c>
      <c r="U209" s="161" t="str">
        <f>CONCATENATE(S209,"-",T209)</f>
        <v>12-Servicio de apoyo   logístico  en eventos operativos y/o emergencias.</v>
      </c>
      <c r="V209" s="51" t="s">
        <v>232</v>
      </c>
      <c r="W209" s="160" t="str">
        <f>IFERROR(VLOOKUP(V209,TD!$N$33:$O$45,2,0)," ")</f>
        <v>Servicio de atención a emergencias y desastres</v>
      </c>
      <c r="X209" s="161" t="str">
        <f>CONCATENATE(V209,"_",W209)</f>
        <v>004_Servicio de atención a emergencias y desastres</v>
      </c>
      <c r="Y209" s="161" t="str">
        <f>CONCATENATE(U209," ",X209)</f>
        <v>12-Servicio de apoyo   logístico  en eventos operativos y/o emergencias. 004_Servicio de atención a emergencias y desastres</v>
      </c>
      <c r="Z209" s="160" t="str">
        <f>CONCATENATE(P209,Q209,R209,S209,V209)</f>
        <v>O23011745032024025512004</v>
      </c>
      <c r="AA209" s="160" t="str">
        <f>IFERROR(VLOOKUP(Y209,TD!$K$46:$L$64,2,0)," ")</f>
        <v>PM/0131/0112/45030040255</v>
      </c>
      <c r="AB209" s="53" t="s">
        <v>138</v>
      </c>
      <c r="AC209" s="162" t="s">
        <v>204</v>
      </c>
    </row>
    <row r="210" spans="2:29" s="28" customFormat="1" ht="99" customHeight="1" x14ac:dyDescent="0.35">
      <c r="B210" s="77">
        <v>20250207</v>
      </c>
      <c r="C210" s="50" t="s">
        <v>209</v>
      </c>
      <c r="D210" s="158" t="s">
        <v>168</v>
      </c>
      <c r="E210" s="51" t="s">
        <v>640</v>
      </c>
      <c r="F210" s="158" t="s">
        <v>804</v>
      </c>
      <c r="G210" s="158" t="s">
        <v>155</v>
      </c>
      <c r="H210" s="97">
        <v>80111600</v>
      </c>
      <c r="I210" s="159">
        <v>2</v>
      </c>
      <c r="J210" s="159">
        <v>8</v>
      </c>
      <c r="K210" s="52">
        <v>0</v>
      </c>
      <c r="L210" s="153">
        <v>52000000</v>
      </c>
      <c r="M210" s="158" t="s">
        <v>473</v>
      </c>
      <c r="N210" s="53" t="s">
        <v>113</v>
      </c>
      <c r="O210" s="51" t="s">
        <v>224</v>
      </c>
      <c r="P210" s="160" t="str">
        <f>IFERROR(VLOOKUP(C210,TD!$B$32:$F$36,2,0)," ")</f>
        <v>O230117</v>
      </c>
      <c r="Q210" s="160" t="str">
        <f>IFERROR(VLOOKUP(C210,TD!$B$32:$F$36,3,0)," ")</f>
        <v>4503</v>
      </c>
      <c r="R210" s="160">
        <f>IFERROR(VLOOKUP(C210,TD!$B$32:$F$36,4,0)," ")</f>
        <v>20240255</v>
      </c>
      <c r="S210" s="51" t="s">
        <v>191</v>
      </c>
      <c r="T210" s="160" t="str">
        <f>IFERROR(VLOOKUP(S210,TD!$J$33:$K$43,2,0)," ")</f>
        <v>Servicio de apoyo   logístico  en eventos operativos y/o emergencias.</v>
      </c>
      <c r="U210" s="161" t="str">
        <f>CONCATENATE(S210,"-",T210)</f>
        <v>12-Servicio de apoyo   logístico  en eventos operativos y/o emergencias.</v>
      </c>
      <c r="V210" s="51" t="s">
        <v>232</v>
      </c>
      <c r="W210" s="160" t="str">
        <f>IFERROR(VLOOKUP(V210,TD!$N$33:$O$45,2,0)," ")</f>
        <v>Servicio de atención a emergencias y desastres</v>
      </c>
      <c r="X210" s="161" t="str">
        <f>CONCATENATE(V210,"_",W210)</f>
        <v>004_Servicio de atención a emergencias y desastres</v>
      </c>
      <c r="Y210" s="161" t="str">
        <f>CONCATENATE(U210," ",X210)</f>
        <v>12-Servicio de apoyo   logístico  en eventos operativos y/o emergencias. 004_Servicio de atención a emergencias y desastres</v>
      </c>
      <c r="Z210" s="160" t="str">
        <f>CONCATENATE(P210,Q210,R210,S210,V210)</f>
        <v>O23011745032024025512004</v>
      </c>
      <c r="AA210" s="160" t="str">
        <f>IFERROR(VLOOKUP(Y210,TD!$K$46:$L$64,2,0)," ")</f>
        <v>PM/0131/0112/45030040255</v>
      </c>
      <c r="AB210" s="53" t="s">
        <v>138</v>
      </c>
      <c r="AC210" s="162" t="s">
        <v>204</v>
      </c>
    </row>
    <row r="211" spans="2:29" s="28" customFormat="1" ht="99" customHeight="1" x14ac:dyDescent="0.35">
      <c r="B211" s="77">
        <v>20250208</v>
      </c>
      <c r="C211" s="50" t="s">
        <v>209</v>
      </c>
      <c r="D211" s="158" t="s">
        <v>168</v>
      </c>
      <c r="E211" s="51" t="s">
        <v>640</v>
      </c>
      <c r="F211" s="158" t="s">
        <v>797</v>
      </c>
      <c r="G211" s="158" t="s">
        <v>155</v>
      </c>
      <c r="H211" s="97">
        <v>80111600</v>
      </c>
      <c r="I211" s="159">
        <v>2</v>
      </c>
      <c r="J211" s="159">
        <v>9</v>
      </c>
      <c r="K211" s="52">
        <v>0</v>
      </c>
      <c r="L211" s="153">
        <v>65000000</v>
      </c>
      <c r="M211" s="158" t="s">
        <v>473</v>
      </c>
      <c r="N211" s="53" t="s">
        <v>113</v>
      </c>
      <c r="O211" s="51" t="s">
        <v>224</v>
      </c>
      <c r="P211" s="160" t="str">
        <f>IFERROR(VLOOKUP(C211,TD!$B$32:$F$36,2,0)," ")</f>
        <v>O230117</v>
      </c>
      <c r="Q211" s="160" t="str">
        <f>IFERROR(VLOOKUP(C211,TD!$B$32:$F$36,3,0)," ")</f>
        <v>4503</v>
      </c>
      <c r="R211" s="160">
        <f>IFERROR(VLOOKUP(C211,TD!$B$32:$F$36,4,0)," ")</f>
        <v>20240255</v>
      </c>
      <c r="S211" s="51" t="s">
        <v>191</v>
      </c>
      <c r="T211" s="160" t="str">
        <f>IFERROR(VLOOKUP(S211,TD!$J$33:$K$43,2,0)," ")</f>
        <v>Servicio de apoyo   logístico  en eventos operativos y/o emergencias.</v>
      </c>
      <c r="U211" s="161" t="str">
        <f>CONCATENATE(S211,"-",T211)</f>
        <v>12-Servicio de apoyo   logístico  en eventos operativos y/o emergencias.</v>
      </c>
      <c r="V211" s="51" t="s">
        <v>232</v>
      </c>
      <c r="W211" s="160" t="str">
        <f>IFERROR(VLOOKUP(V211,TD!$N$33:$O$45,2,0)," ")</f>
        <v>Servicio de atención a emergencias y desastres</v>
      </c>
      <c r="X211" s="161" t="str">
        <f>CONCATENATE(V211,"_",W211)</f>
        <v>004_Servicio de atención a emergencias y desastres</v>
      </c>
      <c r="Y211" s="161" t="str">
        <f>CONCATENATE(U211," ",X211)</f>
        <v>12-Servicio de apoyo   logístico  en eventos operativos y/o emergencias. 004_Servicio de atención a emergencias y desastres</v>
      </c>
      <c r="Z211" s="160" t="str">
        <f>CONCATENATE(P211,Q211,R211,S211,V211)</f>
        <v>O23011745032024025512004</v>
      </c>
      <c r="AA211" s="160" t="str">
        <f>IFERROR(VLOOKUP(Y211,TD!$K$46:$L$64,2,0)," ")</f>
        <v>PM/0131/0112/45030040255</v>
      </c>
      <c r="AB211" s="53" t="s">
        <v>138</v>
      </c>
      <c r="AC211" s="162" t="s">
        <v>204</v>
      </c>
    </row>
    <row r="212" spans="2:29" s="28" customFormat="1" ht="99" customHeight="1" x14ac:dyDescent="0.35">
      <c r="B212" s="77">
        <v>20250209</v>
      </c>
      <c r="C212" s="50" t="s">
        <v>209</v>
      </c>
      <c r="D212" s="158" t="s">
        <v>168</v>
      </c>
      <c r="E212" s="51" t="s">
        <v>640</v>
      </c>
      <c r="F212" s="158" t="s">
        <v>812</v>
      </c>
      <c r="G212" s="158" t="s">
        <v>156</v>
      </c>
      <c r="H212" s="97">
        <v>80111600</v>
      </c>
      <c r="I212" s="159">
        <v>2</v>
      </c>
      <c r="J212" s="159">
        <v>10</v>
      </c>
      <c r="K212" s="52">
        <v>0</v>
      </c>
      <c r="L212" s="153">
        <v>33000000</v>
      </c>
      <c r="M212" s="158" t="s">
        <v>473</v>
      </c>
      <c r="N212" s="53" t="s">
        <v>113</v>
      </c>
      <c r="O212" s="51" t="s">
        <v>224</v>
      </c>
      <c r="P212" s="160" t="str">
        <f>IFERROR(VLOOKUP(C212,TD!$B$32:$F$36,2,0)," ")</f>
        <v>O230117</v>
      </c>
      <c r="Q212" s="160" t="str">
        <f>IFERROR(VLOOKUP(C212,TD!$B$32:$F$36,3,0)," ")</f>
        <v>4503</v>
      </c>
      <c r="R212" s="160">
        <f>IFERROR(VLOOKUP(C212,TD!$B$32:$F$36,4,0)," ")</f>
        <v>20240255</v>
      </c>
      <c r="S212" s="51" t="s">
        <v>191</v>
      </c>
      <c r="T212" s="160" t="str">
        <f>IFERROR(VLOOKUP(S212,TD!$J$33:$K$43,2,0)," ")</f>
        <v>Servicio de apoyo   logístico  en eventos operativos y/o emergencias.</v>
      </c>
      <c r="U212" s="161" t="str">
        <f>CONCATENATE(S212,"-",T212)</f>
        <v>12-Servicio de apoyo   logístico  en eventos operativos y/o emergencias.</v>
      </c>
      <c r="V212" s="51" t="s">
        <v>232</v>
      </c>
      <c r="W212" s="160" t="str">
        <f>IFERROR(VLOOKUP(V212,TD!$N$33:$O$45,2,0)," ")</f>
        <v>Servicio de atención a emergencias y desastres</v>
      </c>
      <c r="X212" s="161" t="str">
        <f>CONCATENATE(V212,"_",W212)</f>
        <v>004_Servicio de atención a emergencias y desastres</v>
      </c>
      <c r="Y212" s="161" t="str">
        <f>CONCATENATE(U212," ",X212)</f>
        <v>12-Servicio de apoyo   logístico  en eventos operativos y/o emergencias. 004_Servicio de atención a emergencias y desastres</v>
      </c>
      <c r="Z212" s="160" t="str">
        <f>CONCATENATE(P212,Q212,R212,S212,V212)</f>
        <v>O23011745032024025512004</v>
      </c>
      <c r="AA212" s="160" t="str">
        <f>IFERROR(VLOOKUP(Y212,TD!$K$46:$L$64,2,0)," ")</f>
        <v>PM/0131/0112/45030040255</v>
      </c>
      <c r="AB212" s="53" t="s">
        <v>138</v>
      </c>
      <c r="AC212" s="162" t="s">
        <v>204</v>
      </c>
    </row>
    <row r="213" spans="2:29" s="28" customFormat="1" ht="99" customHeight="1" x14ac:dyDescent="0.35">
      <c r="B213" s="77">
        <v>20250210</v>
      </c>
      <c r="C213" s="50" t="s">
        <v>209</v>
      </c>
      <c r="D213" s="158" t="s">
        <v>168</v>
      </c>
      <c r="E213" s="51" t="s">
        <v>640</v>
      </c>
      <c r="F213" s="158" t="s">
        <v>813</v>
      </c>
      <c r="G213" s="158" t="s">
        <v>155</v>
      </c>
      <c r="H213" s="97">
        <v>80111600</v>
      </c>
      <c r="I213" s="159">
        <v>2</v>
      </c>
      <c r="J213" s="159">
        <v>10</v>
      </c>
      <c r="K213" s="52">
        <v>0</v>
      </c>
      <c r="L213" s="153">
        <v>70000000</v>
      </c>
      <c r="M213" s="158" t="s">
        <v>473</v>
      </c>
      <c r="N213" s="53" t="s">
        <v>113</v>
      </c>
      <c r="O213" s="51" t="s">
        <v>224</v>
      </c>
      <c r="P213" s="160" t="str">
        <f>IFERROR(VLOOKUP(C213,TD!$B$32:$F$36,2,0)," ")</f>
        <v>O230117</v>
      </c>
      <c r="Q213" s="160" t="str">
        <f>IFERROR(VLOOKUP(C213,TD!$B$32:$F$36,3,0)," ")</f>
        <v>4503</v>
      </c>
      <c r="R213" s="160">
        <f>IFERROR(VLOOKUP(C213,TD!$B$32:$F$36,4,0)," ")</f>
        <v>20240255</v>
      </c>
      <c r="S213" s="51" t="s">
        <v>191</v>
      </c>
      <c r="T213" s="160" t="str">
        <f>IFERROR(VLOOKUP(S213,TD!$J$33:$K$43,2,0)," ")</f>
        <v>Servicio de apoyo   logístico  en eventos operativos y/o emergencias.</v>
      </c>
      <c r="U213" s="161" t="str">
        <f>CONCATENATE(S213,"-",T213)</f>
        <v>12-Servicio de apoyo   logístico  en eventos operativos y/o emergencias.</v>
      </c>
      <c r="V213" s="51" t="s">
        <v>232</v>
      </c>
      <c r="W213" s="160" t="str">
        <f>IFERROR(VLOOKUP(V213,TD!$N$33:$O$45,2,0)," ")</f>
        <v>Servicio de atención a emergencias y desastres</v>
      </c>
      <c r="X213" s="161" t="str">
        <f>CONCATENATE(V213,"_",W213)</f>
        <v>004_Servicio de atención a emergencias y desastres</v>
      </c>
      <c r="Y213" s="161" t="str">
        <f>CONCATENATE(U213," ",X213)</f>
        <v>12-Servicio de apoyo   logístico  en eventos operativos y/o emergencias. 004_Servicio de atención a emergencias y desastres</v>
      </c>
      <c r="Z213" s="160" t="str">
        <f>CONCATENATE(P213,Q213,R213,S213,V213)</f>
        <v>O23011745032024025512004</v>
      </c>
      <c r="AA213" s="160" t="str">
        <f>IFERROR(VLOOKUP(Y213,TD!$K$46:$L$64,2,0)," ")</f>
        <v>PM/0131/0112/45030040255</v>
      </c>
      <c r="AB213" s="53" t="s">
        <v>138</v>
      </c>
      <c r="AC213" s="162" t="s">
        <v>204</v>
      </c>
    </row>
    <row r="214" spans="2:29" s="28" customFormat="1" ht="99" customHeight="1" x14ac:dyDescent="0.35">
      <c r="B214" s="77">
        <v>20250211</v>
      </c>
      <c r="C214" s="50" t="s">
        <v>209</v>
      </c>
      <c r="D214" s="158" t="s">
        <v>168</v>
      </c>
      <c r="E214" s="51" t="s">
        <v>640</v>
      </c>
      <c r="F214" s="158" t="s">
        <v>797</v>
      </c>
      <c r="G214" s="158" t="s">
        <v>156</v>
      </c>
      <c r="H214" s="97">
        <v>80111600</v>
      </c>
      <c r="I214" s="159">
        <v>2</v>
      </c>
      <c r="J214" s="159">
        <v>10</v>
      </c>
      <c r="K214" s="52">
        <v>0</v>
      </c>
      <c r="L214" s="153">
        <v>70000000</v>
      </c>
      <c r="M214" s="158" t="s">
        <v>473</v>
      </c>
      <c r="N214" s="53" t="s">
        <v>113</v>
      </c>
      <c r="O214" s="51" t="s">
        <v>224</v>
      </c>
      <c r="P214" s="160" t="str">
        <f>IFERROR(VLOOKUP(C214,TD!$B$32:$F$36,2,0)," ")</f>
        <v>O230117</v>
      </c>
      <c r="Q214" s="160" t="str">
        <f>IFERROR(VLOOKUP(C214,TD!$B$32:$F$36,3,0)," ")</f>
        <v>4503</v>
      </c>
      <c r="R214" s="160">
        <f>IFERROR(VLOOKUP(C214,TD!$B$32:$F$36,4,0)," ")</f>
        <v>20240255</v>
      </c>
      <c r="S214" s="51" t="s">
        <v>191</v>
      </c>
      <c r="T214" s="160" t="str">
        <f>IFERROR(VLOOKUP(S214,TD!$J$33:$K$43,2,0)," ")</f>
        <v>Servicio de apoyo   logístico  en eventos operativos y/o emergencias.</v>
      </c>
      <c r="U214" s="161" t="str">
        <f>CONCATENATE(S214,"-",T214)</f>
        <v>12-Servicio de apoyo   logístico  en eventos operativos y/o emergencias.</v>
      </c>
      <c r="V214" s="51" t="s">
        <v>232</v>
      </c>
      <c r="W214" s="160" t="str">
        <f>IFERROR(VLOOKUP(V214,TD!$N$33:$O$45,2,0)," ")</f>
        <v>Servicio de atención a emergencias y desastres</v>
      </c>
      <c r="X214" s="161" t="str">
        <f>CONCATENATE(V214,"_",W214)</f>
        <v>004_Servicio de atención a emergencias y desastres</v>
      </c>
      <c r="Y214" s="161" t="str">
        <f>CONCATENATE(U214," ",X214)</f>
        <v>12-Servicio de apoyo   logístico  en eventos operativos y/o emergencias. 004_Servicio de atención a emergencias y desastres</v>
      </c>
      <c r="Z214" s="160" t="str">
        <f>CONCATENATE(P214,Q214,R214,S214,V214)</f>
        <v>O23011745032024025512004</v>
      </c>
      <c r="AA214" s="160" t="str">
        <f>IFERROR(VLOOKUP(Y214,TD!$K$46:$L$64,2,0)," ")</f>
        <v>PM/0131/0112/45030040255</v>
      </c>
      <c r="AB214" s="53" t="s">
        <v>138</v>
      </c>
      <c r="AC214" s="162" t="s">
        <v>204</v>
      </c>
    </row>
    <row r="215" spans="2:29" s="28" customFormat="1" ht="99" customHeight="1" x14ac:dyDescent="0.35">
      <c r="B215" s="77">
        <v>20250212</v>
      </c>
      <c r="C215" s="50" t="s">
        <v>209</v>
      </c>
      <c r="D215" s="158" t="s">
        <v>168</v>
      </c>
      <c r="E215" s="51" t="s">
        <v>640</v>
      </c>
      <c r="F215" s="158" t="s">
        <v>887</v>
      </c>
      <c r="G215" s="158" t="s">
        <v>155</v>
      </c>
      <c r="H215" s="97">
        <v>80111600</v>
      </c>
      <c r="I215" s="159">
        <v>2</v>
      </c>
      <c r="J215" s="159">
        <v>7</v>
      </c>
      <c r="K215" s="52">
        <v>0</v>
      </c>
      <c r="L215" s="153">
        <v>56000000</v>
      </c>
      <c r="M215" s="158" t="s">
        <v>473</v>
      </c>
      <c r="N215" s="53" t="s">
        <v>113</v>
      </c>
      <c r="O215" s="51" t="s">
        <v>224</v>
      </c>
      <c r="P215" s="160" t="str">
        <f>IFERROR(VLOOKUP(C215,TD!$B$32:$F$36,2,0)," ")</f>
        <v>O230117</v>
      </c>
      <c r="Q215" s="160" t="str">
        <f>IFERROR(VLOOKUP(C215,TD!$B$32:$F$36,3,0)," ")</f>
        <v>4503</v>
      </c>
      <c r="R215" s="160">
        <f>IFERROR(VLOOKUP(C215,TD!$B$32:$F$36,4,0)," ")</f>
        <v>20240255</v>
      </c>
      <c r="S215" s="51" t="s">
        <v>191</v>
      </c>
      <c r="T215" s="160" t="str">
        <f>IFERROR(VLOOKUP(S215,TD!$J$33:$K$43,2,0)," ")</f>
        <v>Servicio de apoyo   logístico  en eventos operativos y/o emergencias.</v>
      </c>
      <c r="U215" s="161" t="str">
        <f>CONCATENATE(S215,"-",T215)</f>
        <v>12-Servicio de apoyo   logístico  en eventos operativos y/o emergencias.</v>
      </c>
      <c r="V215" s="51" t="s">
        <v>232</v>
      </c>
      <c r="W215" s="160" t="str">
        <f>IFERROR(VLOOKUP(V215,TD!$N$33:$O$45,2,0)," ")</f>
        <v>Servicio de atención a emergencias y desastres</v>
      </c>
      <c r="X215" s="161" t="str">
        <f>CONCATENATE(V215,"_",W215)</f>
        <v>004_Servicio de atención a emergencias y desastres</v>
      </c>
      <c r="Y215" s="161" t="str">
        <f>CONCATENATE(U215," ",X215)</f>
        <v>12-Servicio de apoyo   logístico  en eventos operativos y/o emergencias. 004_Servicio de atención a emergencias y desastres</v>
      </c>
      <c r="Z215" s="160" t="str">
        <f>CONCATENATE(P215,Q215,R215,S215,V215)</f>
        <v>O23011745032024025512004</v>
      </c>
      <c r="AA215" s="160" t="str">
        <f>IFERROR(VLOOKUP(Y215,TD!$K$46:$L$64,2,0)," ")</f>
        <v>PM/0131/0112/45030040255</v>
      </c>
      <c r="AB215" s="53" t="s">
        <v>138</v>
      </c>
      <c r="AC215" s="162" t="s">
        <v>204</v>
      </c>
    </row>
    <row r="216" spans="2:29" s="28" customFormat="1" ht="99" customHeight="1" x14ac:dyDescent="0.35">
      <c r="B216" s="77">
        <v>20250213</v>
      </c>
      <c r="C216" s="50" t="s">
        <v>209</v>
      </c>
      <c r="D216" s="158" t="s">
        <v>168</v>
      </c>
      <c r="E216" s="51" t="s">
        <v>640</v>
      </c>
      <c r="F216" s="158" t="s">
        <v>814</v>
      </c>
      <c r="G216" s="158" t="s">
        <v>155</v>
      </c>
      <c r="H216" s="97">
        <v>80111600</v>
      </c>
      <c r="I216" s="159">
        <v>2</v>
      </c>
      <c r="J216" s="159">
        <v>11</v>
      </c>
      <c r="K216" s="52">
        <v>0</v>
      </c>
      <c r="L216" s="153">
        <v>55000000</v>
      </c>
      <c r="M216" s="158" t="s">
        <v>473</v>
      </c>
      <c r="N216" s="53" t="s">
        <v>113</v>
      </c>
      <c r="O216" s="51" t="s">
        <v>224</v>
      </c>
      <c r="P216" s="160" t="str">
        <f>IFERROR(VLOOKUP(C216,TD!$B$32:$F$36,2,0)," ")</f>
        <v>O230117</v>
      </c>
      <c r="Q216" s="160" t="str">
        <f>IFERROR(VLOOKUP(C216,TD!$B$32:$F$36,3,0)," ")</f>
        <v>4503</v>
      </c>
      <c r="R216" s="160">
        <f>IFERROR(VLOOKUP(C216,TD!$B$32:$F$36,4,0)," ")</f>
        <v>20240255</v>
      </c>
      <c r="S216" s="51" t="s">
        <v>187</v>
      </c>
      <c r="T216" s="160" t="str">
        <f>IFERROR(VLOOKUP(S216,TD!$J$33:$K$43,2,0)," ")</f>
        <v>Servicio de mantenimiento, dotación (HEA´s y equipo menor) y adquisición de vehiculos   especializados para la atención de emergencias.</v>
      </c>
      <c r="U216" s="161" t="str">
        <f>CONCATENATE(S216,"-",T216)</f>
        <v>09-Servicio de mantenimiento, dotación (HEA´s y equipo menor) y adquisición de vehiculos   especializados para la atención de emergencias.</v>
      </c>
      <c r="V216" s="51" t="s">
        <v>232</v>
      </c>
      <c r="W216" s="160" t="str">
        <f>IFERROR(VLOOKUP(V216,TD!$N$33:$O$45,2,0)," ")</f>
        <v>Servicio de atención a emergencias y desastres</v>
      </c>
      <c r="X216" s="161" t="str">
        <f>CONCATENATE(V216,"_",W216)</f>
        <v>004_Servicio de atención a emergencias y desastres</v>
      </c>
      <c r="Y216" s="161" t="str">
        <f>CONCATENATE(U216," ",X216)</f>
        <v>09-Servicio de mantenimiento, dotación (HEA´s y equipo menor) y adquisición de vehiculos   especializados para la atención de emergencias. 004_Servicio de atención a emergencias y desastres</v>
      </c>
      <c r="Z216" s="160" t="str">
        <f>CONCATENATE(P216,Q216,R216,S216,V216)</f>
        <v>O23011745032024025509004</v>
      </c>
      <c r="AA216" s="160" t="str">
        <f>IFERROR(VLOOKUP(Y216,TD!$K$46:$L$64,2,0)," ")</f>
        <v>PM/0131/0109/45030040255</v>
      </c>
      <c r="AB216" s="53" t="s">
        <v>138</v>
      </c>
      <c r="AC216" s="162" t="s">
        <v>204</v>
      </c>
    </row>
    <row r="217" spans="2:29" s="28" customFormat="1" ht="99" customHeight="1" x14ac:dyDescent="0.35">
      <c r="B217" s="77">
        <v>20250214</v>
      </c>
      <c r="C217" s="50" t="s">
        <v>209</v>
      </c>
      <c r="D217" s="158" t="s">
        <v>168</v>
      </c>
      <c r="E217" s="51" t="s">
        <v>640</v>
      </c>
      <c r="F217" s="158" t="s">
        <v>815</v>
      </c>
      <c r="G217" s="158" t="s">
        <v>155</v>
      </c>
      <c r="H217" s="97">
        <v>80111600</v>
      </c>
      <c r="I217" s="159">
        <v>2</v>
      </c>
      <c r="J217" s="159">
        <v>9</v>
      </c>
      <c r="K217" s="52">
        <v>0</v>
      </c>
      <c r="L217" s="153">
        <v>40500000</v>
      </c>
      <c r="M217" s="158" t="s">
        <v>473</v>
      </c>
      <c r="N217" s="53" t="s">
        <v>113</v>
      </c>
      <c r="O217" s="51" t="s">
        <v>224</v>
      </c>
      <c r="P217" s="160" t="str">
        <f>IFERROR(VLOOKUP(C217,TD!$B$32:$F$36,2,0)," ")</f>
        <v>O230117</v>
      </c>
      <c r="Q217" s="160" t="str">
        <f>IFERROR(VLOOKUP(C217,TD!$B$32:$F$36,3,0)," ")</f>
        <v>4503</v>
      </c>
      <c r="R217" s="160">
        <f>IFERROR(VLOOKUP(C217,TD!$B$32:$F$36,4,0)," ")</f>
        <v>20240255</v>
      </c>
      <c r="S217" s="51" t="s">
        <v>191</v>
      </c>
      <c r="T217" s="160" t="str">
        <f>IFERROR(VLOOKUP(S217,TD!$J$33:$K$43,2,0)," ")</f>
        <v>Servicio de apoyo   logístico  en eventos operativos y/o emergencias.</v>
      </c>
      <c r="U217" s="161" t="str">
        <f>CONCATENATE(S217,"-",T217)</f>
        <v>12-Servicio de apoyo   logístico  en eventos operativos y/o emergencias.</v>
      </c>
      <c r="V217" s="51" t="s">
        <v>232</v>
      </c>
      <c r="W217" s="160" t="str">
        <f>IFERROR(VLOOKUP(V217,TD!$N$33:$O$45,2,0)," ")</f>
        <v>Servicio de atención a emergencias y desastres</v>
      </c>
      <c r="X217" s="161" t="str">
        <f>CONCATENATE(V217,"_",W217)</f>
        <v>004_Servicio de atención a emergencias y desastres</v>
      </c>
      <c r="Y217" s="161" t="str">
        <f>CONCATENATE(U217," ",X217)</f>
        <v>12-Servicio de apoyo   logístico  en eventos operativos y/o emergencias. 004_Servicio de atención a emergencias y desastres</v>
      </c>
      <c r="Z217" s="160" t="str">
        <f>CONCATENATE(P217,Q217,R217,S217,V217)</f>
        <v>O23011745032024025512004</v>
      </c>
      <c r="AA217" s="160" t="str">
        <f>IFERROR(VLOOKUP(Y217,TD!$K$46:$L$64,2,0)," ")</f>
        <v>PM/0131/0112/45030040255</v>
      </c>
      <c r="AB217" s="53" t="s">
        <v>138</v>
      </c>
      <c r="AC217" s="162" t="s">
        <v>204</v>
      </c>
    </row>
    <row r="218" spans="2:29" s="28" customFormat="1" ht="99" customHeight="1" x14ac:dyDescent="0.35">
      <c r="B218" s="77">
        <v>20250215</v>
      </c>
      <c r="C218" s="50" t="s">
        <v>209</v>
      </c>
      <c r="D218" s="158" t="s">
        <v>168</v>
      </c>
      <c r="E218" s="51" t="s">
        <v>640</v>
      </c>
      <c r="F218" s="158" t="s">
        <v>816</v>
      </c>
      <c r="G218" s="158" t="s">
        <v>155</v>
      </c>
      <c r="H218" s="97">
        <v>80111600</v>
      </c>
      <c r="I218" s="159">
        <v>2</v>
      </c>
      <c r="J218" s="159">
        <v>10</v>
      </c>
      <c r="K218" s="52">
        <v>0</v>
      </c>
      <c r="L218" s="153">
        <v>60000000</v>
      </c>
      <c r="M218" s="158" t="s">
        <v>473</v>
      </c>
      <c r="N218" s="53" t="s">
        <v>113</v>
      </c>
      <c r="O218" s="51" t="s">
        <v>224</v>
      </c>
      <c r="P218" s="160" t="str">
        <f>IFERROR(VLOOKUP(C218,TD!$B$32:$F$36,2,0)," ")</f>
        <v>O230117</v>
      </c>
      <c r="Q218" s="160" t="str">
        <f>IFERROR(VLOOKUP(C218,TD!$B$32:$F$36,3,0)," ")</f>
        <v>4503</v>
      </c>
      <c r="R218" s="160">
        <f>IFERROR(VLOOKUP(C218,TD!$B$32:$F$36,4,0)," ")</f>
        <v>20240255</v>
      </c>
      <c r="S218" s="51" t="s">
        <v>191</v>
      </c>
      <c r="T218" s="160" t="str">
        <f>IFERROR(VLOOKUP(S218,TD!$J$33:$K$43,2,0)," ")</f>
        <v>Servicio de apoyo   logístico  en eventos operativos y/o emergencias.</v>
      </c>
      <c r="U218" s="161" t="str">
        <f>CONCATENATE(S218,"-",T218)</f>
        <v>12-Servicio de apoyo   logístico  en eventos operativos y/o emergencias.</v>
      </c>
      <c r="V218" s="51" t="s">
        <v>232</v>
      </c>
      <c r="W218" s="160" t="str">
        <f>IFERROR(VLOOKUP(V218,TD!$N$33:$O$45,2,0)," ")</f>
        <v>Servicio de atención a emergencias y desastres</v>
      </c>
      <c r="X218" s="161" t="str">
        <f>CONCATENATE(V218,"_",W218)</f>
        <v>004_Servicio de atención a emergencias y desastres</v>
      </c>
      <c r="Y218" s="161" t="str">
        <f>CONCATENATE(U218," ",X218)</f>
        <v>12-Servicio de apoyo   logístico  en eventos operativos y/o emergencias. 004_Servicio de atención a emergencias y desastres</v>
      </c>
      <c r="Z218" s="160" t="str">
        <f>CONCATENATE(P218,Q218,R218,S218,V218)</f>
        <v>O23011745032024025512004</v>
      </c>
      <c r="AA218" s="160" t="str">
        <f>IFERROR(VLOOKUP(Y218,TD!$K$46:$L$64,2,0)," ")</f>
        <v>PM/0131/0112/45030040255</v>
      </c>
      <c r="AB218" s="53" t="s">
        <v>138</v>
      </c>
      <c r="AC218" s="162" t="s">
        <v>204</v>
      </c>
    </row>
    <row r="219" spans="2:29" s="28" customFormat="1" ht="99" customHeight="1" x14ac:dyDescent="0.35">
      <c r="B219" s="77">
        <v>20250216</v>
      </c>
      <c r="C219" s="50" t="s">
        <v>209</v>
      </c>
      <c r="D219" s="158" t="s">
        <v>168</v>
      </c>
      <c r="E219" s="51" t="s">
        <v>640</v>
      </c>
      <c r="F219" s="158" t="s">
        <v>817</v>
      </c>
      <c r="G219" s="158" t="s">
        <v>155</v>
      </c>
      <c r="H219" s="97">
        <v>80111600</v>
      </c>
      <c r="I219" s="159">
        <v>2</v>
      </c>
      <c r="J219" s="159">
        <v>10</v>
      </c>
      <c r="K219" s="52">
        <v>0</v>
      </c>
      <c r="L219" s="153">
        <v>75000000</v>
      </c>
      <c r="M219" s="158" t="s">
        <v>473</v>
      </c>
      <c r="N219" s="53" t="s">
        <v>113</v>
      </c>
      <c r="O219" s="51" t="s">
        <v>224</v>
      </c>
      <c r="P219" s="160" t="str">
        <f>IFERROR(VLOOKUP(C219,TD!$B$32:$F$36,2,0)," ")</f>
        <v>O230117</v>
      </c>
      <c r="Q219" s="160" t="str">
        <f>IFERROR(VLOOKUP(C219,TD!$B$32:$F$36,3,0)," ")</f>
        <v>4503</v>
      </c>
      <c r="R219" s="160">
        <f>IFERROR(VLOOKUP(C219,TD!$B$32:$F$36,4,0)," ")</f>
        <v>20240255</v>
      </c>
      <c r="S219" s="51" t="s">
        <v>191</v>
      </c>
      <c r="T219" s="160" t="str">
        <f>IFERROR(VLOOKUP(S219,TD!$J$33:$K$43,2,0)," ")</f>
        <v>Servicio de apoyo   logístico  en eventos operativos y/o emergencias.</v>
      </c>
      <c r="U219" s="161" t="str">
        <f>CONCATENATE(S219,"-",T219)</f>
        <v>12-Servicio de apoyo   logístico  en eventos operativos y/o emergencias.</v>
      </c>
      <c r="V219" s="51" t="s">
        <v>232</v>
      </c>
      <c r="W219" s="160" t="str">
        <f>IFERROR(VLOOKUP(V219,TD!$N$33:$O$45,2,0)," ")</f>
        <v>Servicio de atención a emergencias y desastres</v>
      </c>
      <c r="X219" s="161" t="str">
        <f>CONCATENATE(V219,"_",W219)</f>
        <v>004_Servicio de atención a emergencias y desastres</v>
      </c>
      <c r="Y219" s="161" t="str">
        <f>CONCATENATE(U219," ",X219)</f>
        <v>12-Servicio de apoyo   logístico  en eventos operativos y/o emergencias. 004_Servicio de atención a emergencias y desastres</v>
      </c>
      <c r="Z219" s="160" t="str">
        <f>CONCATENATE(P219,Q219,R219,S219,V219)</f>
        <v>O23011745032024025512004</v>
      </c>
      <c r="AA219" s="160" t="str">
        <f>IFERROR(VLOOKUP(Y219,TD!$K$46:$L$64,2,0)," ")</f>
        <v>PM/0131/0112/45030040255</v>
      </c>
      <c r="AB219" s="53" t="s">
        <v>138</v>
      </c>
      <c r="AC219" s="162" t="s">
        <v>204</v>
      </c>
    </row>
    <row r="220" spans="2:29" s="28" customFormat="1" ht="99" customHeight="1" x14ac:dyDescent="0.35">
      <c r="B220" s="77">
        <v>20250217</v>
      </c>
      <c r="C220" s="50" t="s">
        <v>209</v>
      </c>
      <c r="D220" s="158" t="s">
        <v>168</v>
      </c>
      <c r="E220" s="51" t="s">
        <v>640</v>
      </c>
      <c r="F220" s="158" t="s">
        <v>818</v>
      </c>
      <c r="G220" s="158" t="s">
        <v>155</v>
      </c>
      <c r="H220" s="97">
        <v>80111600</v>
      </c>
      <c r="I220" s="159">
        <v>2</v>
      </c>
      <c r="J220" s="159">
        <v>9</v>
      </c>
      <c r="K220" s="52">
        <v>0</v>
      </c>
      <c r="L220" s="153">
        <v>40500000</v>
      </c>
      <c r="M220" s="158" t="s">
        <v>473</v>
      </c>
      <c r="N220" s="53" t="s">
        <v>113</v>
      </c>
      <c r="O220" s="51" t="s">
        <v>224</v>
      </c>
      <c r="P220" s="160" t="str">
        <f>IFERROR(VLOOKUP(C220,TD!$B$32:$F$36,2,0)," ")</f>
        <v>O230117</v>
      </c>
      <c r="Q220" s="160" t="str">
        <f>IFERROR(VLOOKUP(C220,TD!$B$32:$F$36,3,0)," ")</f>
        <v>4503</v>
      </c>
      <c r="R220" s="160">
        <f>IFERROR(VLOOKUP(C220,TD!$B$32:$F$36,4,0)," ")</f>
        <v>20240255</v>
      </c>
      <c r="S220" s="51" t="s">
        <v>191</v>
      </c>
      <c r="T220" s="160" t="str">
        <f>IFERROR(VLOOKUP(S220,TD!$J$33:$K$43,2,0)," ")</f>
        <v>Servicio de apoyo   logístico  en eventos operativos y/o emergencias.</v>
      </c>
      <c r="U220" s="161" t="str">
        <f>CONCATENATE(S220,"-",T220)</f>
        <v>12-Servicio de apoyo   logístico  en eventos operativos y/o emergencias.</v>
      </c>
      <c r="V220" s="51" t="s">
        <v>232</v>
      </c>
      <c r="W220" s="160" t="str">
        <f>IFERROR(VLOOKUP(V220,TD!$N$33:$O$45,2,0)," ")</f>
        <v>Servicio de atención a emergencias y desastres</v>
      </c>
      <c r="X220" s="161" t="str">
        <f>CONCATENATE(V220,"_",W220)</f>
        <v>004_Servicio de atención a emergencias y desastres</v>
      </c>
      <c r="Y220" s="161" t="str">
        <f>CONCATENATE(U220," ",X220)</f>
        <v>12-Servicio de apoyo   logístico  en eventos operativos y/o emergencias. 004_Servicio de atención a emergencias y desastres</v>
      </c>
      <c r="Z220" s="160" t="str">
        <f>CONCATENATE(P220,Q220,R220,S220,V220)</f>
        <v>O23011745032024025512004</v>
      </c>
      <c r="AA220" s="160" t="str">
        <f>IFERROR(VLOOKUP(Y220,TD!$K$46:$L$64,2,0)," ")</f>
        <v>PM/0131/0112/45030040255</v>
      </c>
      <c r="AB220" s="53" t="s">
        <v>138</v>
      </c>
      <c r="AC220" s="162" t="s">
        <v>204</v>
      </c>
    </row>
    <row r="221" spans="2:29" s="28" customFormat="1" ht="99" customHeight="1" x14ac:dyDescent="0.35">
      <c r="B221" s="77">
        <v>20250218</v>
      </c>
      <c r="C221" s="50" t="s">
        <v>209</v>
      </c>
      <c r="D221" s="158" t="s">
        <v>168</v>
      </c>
      <c r="E221" s="51" t="s">
        <v>640</v>
      </c>
      <c r="F221" s="158" t="s">
        <v>888</v>
      </c>
      <c r="G221" s="158" t="s">
        <v>156</v>
      </c>
      <c r="H221" s="97">
        <v>80111600</v>
      </c>
      <c r="I221" s="159">
        <v>2</v>
      </c>
      <c r="J221" s="159">
        <v>9</v>
      </c>
      <c r="K221" s="52">
        <v>0</v>
      </c>
      <c r="L221" s="153">
        <v>29700000</v>
      </c>
      <c r="M221" s="158" t="s">
        <v>473</v>
      </c>
      <c r="N221" s="53" t="s">
        <v>113</v>
      </c>
      <c r="O221" s="51" t="s">
        <v>224</v>
      </c>
      <c r="P221" s="160" t="str">
        <f>IFERROR(VLOOKUP(C221,TD!$B$32:$F$36,2,0)," ")</f>
        <v>O230117</v>
      </c>
      <c r="Q221" s="160" t="str">
        <f>IFERROR(VLOOKUP(C221,TD!$B$32:$F$36,3,0)," ")</f>
        <v>4503</v>
      </c>
      <c r="R221" s="160">
        <f>IFERROR(VLOOKUP(C221,TD!$B$32:$F$36,4,0)," ")</f>
        <v>20240255</v>
      </c>
      <c r="S221" s="51" t="s">
        <v>191</v>
      </c>
      <c r="T221" s="160" t="str">
        <f>IFERROR(VLOOKUP(S221,TD!$J$33:$K$43,2,0)," ")</f>
        <v>Servicio de apoyo   logístico  en eventos operativos y/o emergencias.</v>
      </c>
      <c r="U221" s="161" t="str">
        <f>CONCATENATE(S221,"-",T221)</f>
        <v>12-Servicio de apoyo   logístico  en eventos operativos y/o emergencias.</v>
      </c>
      <c r="V221" s="51" t="s">
        <v>232</v>
      </c>
      <c r="W221" s="160" t="str">
        <f>IFERROR(VLOOKUP(V221,TD!$N$33:$O$45,2,0)," ")</f>
        <v>Servicio de atención a emergencias y desastres</v>
      </c>
      <c r="X221" s="161" t="str">
        <f>CONCATENATE(V221,"_",W221)</f>
        <v>004_Servicio de atención a emergencias y desastres</v>
      </c>
      <c r="Y221" s="161" t="str">
        <f>CONCATENATE(U221," ",X221)</f>
        <v>12-Servicio de apoyo   logístico  en eventos operativos y/o emergencias. 004_Servicio de atención a emergencias y desastres</v>
      </c>
      <c r="Z221" s="160" t="str">
        <f>CONCATENATE(P221,Q221,R221,S221,V221)</f>
        <v>O23011745032024025512004</v>
      </c>
      <c r="AA221" s="160" t="str">
        <f>IFERROR(VLOOKUP(Y221,TD!$K$46:$L$64,2,0)," ")</f>
        <v>PM/0131/0112/45030040255</v>
      </c>
      <c r="AB221" s="53" t="s">
        <v>138</v>
      </c>
      <c r="AC221" s="162" t="s">
        <v>204</v>
      </c>
    </row>
    <row r="222" spans="2:29" s="28" customFormat="1" ht="99" customHeight="1" x14ac:dyDescent="0.35">
      <c r="B222" s="77">
        <v>20250220</v>
      </c>
      <c r="C222" s="50" t="s">
        <v>209</v>
      </c>
      <c r="D222" s="158" t="s">
        <v>168</v>
      </c>
      <c r="E222" s="51" t="s">
        <v>640</v>
      </c>
      <c r="F222" s="158" t="s">
        <v>819</v>
      </c>
      <c r="G222" s="158" t="s">
        <v>155</v>
      </c>
      <c r="H222" s="97">
        <v>80111600</v>
      </c>
      <c r="I222" s="159">
        <v>2</v>
      </c>
      <c r="J222" s="159">
        <v>11</v>
      </c>
      <c r="K222" s="52">
        <v>0</v>
      </c>
      <c r="L222" s="153">
        <v>49500000</v>
      </c>
      <c r="M222" s="158" t="s">
        <v>473</v>
      </c>
      <c r="N222" s="53" t="s">
        <v>113</v>
      </c>
      <c r="O222" s="51" t="s">
        <v>224</v>
      </c>
      <c r="P222" s="160" t="str">
        <f>IFERROR(VLOOKUP(C222,TD!$B$32:$F$36,2,0)," ")</f>
        <v>O230117</v>
      </c>
      <c r="Q222" s="160" t="str">
        <f>IFERROR(VLOOKUP(C222,TD!$B$32:$F$36,3,0)," ")</f>
        <v>4503</v>
      </c>
      <c r="R222" s="160">
        <f>IFERROR(VLOOKUP(C222,TD!$B$32:$F$36,4,0)," ")</f>
        <v>20240255</v>
      </c>
      <c r="S222" s="51" t="s">
        <v>191</v>
      </c>
      <c r="T222" s="160" t="str">
        <f>IFERROR(VLOOKUP(S222,TD!$J$33:$K$43,2,0)," ")</f>
        <v>Servicio de apoyo   logístico  en eventos operativos y/o emergencias.</v>
      </c>
      <c r="U222" s="161" t="str">
        <f>CONCATENATE(S222,"-",T222)</f>
        <v>12-Servicio de apoyo   logístico  en eventos operativos y/o emergencias.</v>
      </c>
      <c r="V222" s="51" t="s">
        <v>232</v>
      </c>
      <c r="W222" s="160" t="str">
        <f>IFERROR(VLOOKUP(V222,TD!$N$33:$O$45,2,0)," ")</f>
        <v>Servicio de atención a emergencias y desastres</v>
      </c>
      <c r="X222" s="161" t="str">
        <f>CONCATENATE(V222,"_",W222)</f>
        <v>004_Servicio de atención a emergencias y desastres</v>
      </c>
      <c r="Y222" s="161" t="str">
        <f>CONCATENATE(U222," ",X222)</f>
        <v>12-Servicio de apoyo   logístico  en eventos operativos y/o emergencias. 004_Servicio de atención a emergencias y desastres</v>
      </c>
      <c r="Z222" s="160" t="str">
        <f>CONCATENATE(P222,Q222,R222,S222,V222)</f>
        <v>O23011745032024025512004</v>
      </c>
      <c r="AA222" s="160" t="str">
        <f>IFERROR(VLOOKUP(Y222,TD!$K$46:$L$64,2,0)," ")</f>
        <v>PM/0131/0112/45030040255</v>
      </c>
      <c r="AB222" s="53" t="s">
        <v>138</v>
      </c>
      <c r="AC222" s="162" t="s">
        <v>204</v>
      </c>
    </row>
    <row r="223" spans="2:29" s="28" customFormat="1" ht="99" customHeight="1" x14ac:dyDescent="0.35">
      <c r="B223" s="77">
        <v>20250221</v>
      </c>
      <c r="C223" s="50" t="s">
        <v>209</v>
      </c>
      <c r="D223" s="158" t="s">
        <v>168</v>
      </c>
      <c r="E223" s="51" t="s">
        <v>640</v>
      </c>
      <c r="F223" s="158" t="s">
        <v>820</v>
      </c>
      <c r="G223" s="158" t="s">
        <v>155</v>
      </c>
      <c r="H223" s="97">
        <v>80111600</v>
      </c>
      <c r="I223" s="159">
        <v>2</v>
      </c>
      <c r="J223" s="159">
        <v>9</v>
      </c>
      <c r="K223" s="52">
        <v>0</v>
      </c>
      <c r="L223" s="153">
        <v>49500000</v>
      </c>
      <c r="M223" s="158" t="s">
        <v>473</v>
      </c>
      <c r="N223" s="53" t="s">
        <v>113</v>
      </c>
      <c r="O223" s="51" t="s">
        <v>224</v>
      </c>
      <c r="P223" s="160" t="str">
        <f>IFERROR(VLOOKUP(C223,TD!$B$32:$F$36,2,0)," ")</f>
        <v>O230117</v>
      </c>
      <c r="Q223" s="160" t="str">
        <f>IFERROR(VLOOKUP(C223,TD!$B$32:$F$36,3,0)," ")</f>
        <v>4503</v>
      </c>
      <c r="R223" s="160">
        <f>IFERROR(VLOOKUP(C223,TD!$B$32:$F$36,4,0)," ")</f>
        <v>20240255</v>
      </c>
      <c r="S223" s="51" t="s">
        <v>191</v>
      </c>
      <c r="T223" s="160" t="str">
        <f>IFERROR(VLOOKUP(S223,TD!$J$33:$K$43,2,0)," ")</f>
        <v>Servicio de apoyo   logístico  en eventos operativos y/o emergencias.</v>
      </c>
      <c r="U223" s="161" t="str">
        <f>CONCATENATE(S223,"-",T223)</f>
        <v>12-Servicio de apoyo   logístico  en eventos operativos y/o emergencias.</v>
      </c>
      <c r="V223" s="51" t="s">
        <v>232</v>
      </c>
      <c r="W223" s="160" t="str">
        <f>IFERROR(VLOOKUP(V223,TD!$N$33:$O$45,2,0)," ")</f>
        <v>Servicio de atención a emergencias y desastres</v>
      </c>
      <c r="X223" s="161" t="str">
        <f>CONCATENATE(V223,"_",W223)</f>
        <v>004_Servicio de atención a emergencias y desastres</v>
      </c>
      <c r="Y223" s="161" t="str">
        <f>CONCATENATE(U223," ",X223)</f>
        <v>12-Servicio de apoyo   logístico  en eventos operativos y/o emergencias. 004_Servicio de atención a emergencias y desastres</v>
      </c>
      <c r="Z223" s="160" t="str">
        <f>CONCATENATE(P223,Q223,R223,S223,V223)</f>
        <v>O23011745032024025512004</v>
      </c>
      <c r="AA223" s="160" t="str">
        <f>IFERROR(VLOOKUP(Y223,TD!$K$46:$L$64,2,0)," ")</f>
        <v>PM/0131/0112/45030040255</v>
      </c>
      <c r="AB223" s="53" t="s">
        <v>138</v>
      </c>
      <c r="AC223" s="162" t="s">
        <v>204</v>
      </c>
    </row>
    <row r="224" spans="2:29" s="28" customFormat="1" ht="99" customHeight="1" x14ac:dyDescent="0.35">
      <c r="B224" s="77">
        <v>20250222</v>
      </c>
      <c r="C224" s="50" t="s">
        <v>209</v>
      </c>
      <c r="D224" s="158" t="s">
        <v>168</v>
      </c>
      <c r="E224" s="51" t="s">
        <v>640</v>
      </c>
      <c r="F224" s="158" t="s">
        <v>526</v>
      </c>
      <c r="G224" s="158" t="s">
        <v>155</v>
      </c>
      <c r="H224" s="97">
        <v>80111600</v>
      </c>
      <c r="I224" s="159">
        <v>2</v>
      </c>
      <c r="J224" s="159">
        <v>9</v>
      </c>
      <c r="K224" s="52">
        <v>0</v>
      </c>
      <c r="L224" s="153">
        <v>56835680</v>
      </c>
      <c r="M224" s="158" t="s">
        <v>473</v>
      </c>
      <c r="N224" s="53" t="s">
        <v>113</v>
      </c>
      <c r="O224" s="51" t="s">
        <v>224</v>
      </c>
      <c r="P224" s="160" t="str">
        <f>IFERROR(VLOOKUP(C224,TD!$B$32:$F$36,2,0)," ")</f>
        <v>O230117</v>
      </c>
      <c r="Q224" s="160" t="str">
        <f>IFERROR(VLOOKUP(C224,TD!$B$32:$F$36,3,0)," ")</f>
        <v>4503</v>
      </c>
      <c r="R224" s="160">
        <f>IFERROR(VLOOKUP(C224,TD!$B$32:$F$36,4,0)," ")</f>
        <v>20240255</v>
      </c>
      <c r="S224" s="51" t="s">
        <v>191</v>
      </c>
      <c r="T224" s="160" t="str">
        <f>IFERROR(VLOOKUP(S224,TD!$J$33:$K$43,2,0)," ")</f>
        <v>Servicio de apoyo   logístico  en eventos operativos y/o emergencias.</v>
      </c>
      <c r="U224" s="161" t="str">
        <f>CONCATENATE(S224,"-",T224)</f>
        <v>12-Servicio de apoyo   logístico  en eventos operativos y/o emergencias.</v>
      </c>
      <c r="V224" s="51" t="s">
        <v>232</v>
      </c>
      <c r="W224" s="160" t="str">
        <f>IFERROR(VLOOKUP(V224,TD!$N$33:$O$45,2,0)," ")</f>
        <v>Servicio de atención a emergencias y desastres</v>
      </c>
      <c r="X224" s="161" t="str">
        <f>CONCATENATE(V224,"_",W224)</f>
        <v>004_Servicio de atención a emergencias y desastres</v>
      </c>
      <c r="Y224" s="161" t="str">
        <f>CONCATENATE(U224," ",X224)</f>
        <v>12-Servicio de apoyo   logístico  en eventos operativos y/o emergencias. 004_Servicio de atención a emergencias y desastres</v>
      </c>
      <c r="Z224" s="160" t="str">
        <f>CONCATENATE(P224,Q224,R224,S224,V224)</f>
        <v>O23011745032024025512004</v>
      </c>
      <c r="AA224" s="160" t="str">
        <f>IFERROR(VLOOKUP(Y224,TD!$K$46:$L$64,2,0)," ")</f>
        <v>PM/0131/0112/45030040255</v>
      </c>
      <c r="AB224" s="53" t="s">
        <v>138</v>
      </c>
      <c r="AC224" s="162" t="s">
        <v>204</v>
      </c>
    </row>
    <row r="225" spans="2:29" s="28" customFormat="1" ht="99" customHeight="1" x14ac:dyDescent="0.35">
      <c r="B225" s="186">
        <v>20250223</v>
      </c>
      <c r="C225" s="212" t="s">
        <v>346</v>
      </c>
      <c r="D225" s="213" t="s">
        <v>168</v>
      </c>
      <c r="E225" s="214" t="s">
        <v>640</v>
      </c>
      <c r="F225" s="188" t="s">
        <v>641</v>
      </c>
      <c r="G225" s="213" t="s">
        <v>96</v>
      </c>
      <c r="H225" s="190">
        <v>78181505</v>
      </c>
      <c r="I225" s="215">
        <v>3</v>
      </c>
      <c r="J225" s="215">
        <v>3</v>
      </c>
      <c r="K225" s="216">
        <v>0</v>
      </c>
      <c r="L225" s="217">
        <v>46795000</v>
      </c>
      <c r="M225" s="213" t="s">
        <v>172</v>
      </c>
      <c r="N225" s="218" t="s">
        <v>100</v>
      </c>
      <c r="O225" s="214" t="s">
        <v>347</v>
      </c>
      <c r="P225" s="219" t="str">
        <f>IFERROR(VLOOKUP(C225,TD!$B$32:$F$36,2,0)," ")</f>
        <v>NA</v>
      </c>
      <c r="Q225" s="219" t="str">
        <f>IFERROR(VLOOKUP(C225,TD!$B$32:$F$36,3,0)," ")</f>
        <v>NA</v>
      </c>
      <c r="R225" s="219" t="str">
        <f>IFERROR(VLOOKUP(C225,TD!$B$32:$F$36,4,0)," ")</f>
        <v>NA</v>
      </c>
      <c r="S225" s="214" t="s">
        <v>406</v>
      </c>
      <c r="T225" s="195" t="str">
        <f>IFERROR(VLOOKUP(S225,TD!$J$33:$K$43,2,0)," ")</f>
        <v>N/A</v>
      </c>
      <c r="U225" s="161" t="str">
        <f>CONCATENATE(S225,"-",T225)</f>
        <v>N/A-N/A</v>
      </c>
      <c r="V225" s="189" t="s">
        <v>406</v>
      </c>
      <c r="W225" s="195" t="str">
        <f>IFERROR(VLOOKUP(V225,TD!$N$33:$O$45,2,0)," ")</f>
        <v>N/A</v>
      </c>
      <c r="X225" s="161" t="str">
        <f>CONCATENATE(V225,"_",W225)</f>
        <v>N/A_N/A</v>
      </c>
      <c r="Y225" s="161" t="str">
        <f>CONCATENATE(U225," ",X225)</f>
        <v>N/A-N/A N/A_N/A</v>
      </c>
      <c r="Z225" s="219" t="str">
        <f>CONCATENATE(P225,Q225,R225,S225,V225)</f>
        <v>NANANAN/AN/A</v>
      </c>
      <c r="AA225" s="195" t="str">
        <f>IFERROR(VLOOKUP(Y225,TD!$K$46:$L$64,2,0)," ")</f>
        <v>N/A</v>
      </c>
      <c r="AB225" s="205" t="s">
        <v>461</v>
      </c>
      <c r="AC225" s="196" t="s">
        <v>204</v>
      </c>
    </row>
    <row r="226" spans="2:29" s="28" customFormat="1" ht="99" customHeight="1" x14ac:dyDescent="0.35">
      <c r="B226" s="77">
        <v>20250224</v>
      </c>
      <c r="C226" s="50" t="s">
        <v>209</v>
      </c>
      <c r="D226" s="158" t="s">
        <v>167</v>
      </c>
      <c r="E226" s="51" t="s">
        <v>527</v>
      </c>
      <c r="F226" s="158" t="s">
        <v>371</v>
      </c>
      <c r="G226" s="158" t="s">
        <v>109</v>
      </c>
      <c r="H226" s="97" t="s">
        <v>452</v>
      </c>
      <c r="I226" s="159">
        <v>1</v>
      </c>
      <c r="J226" s="159">
        <v>3</v>
      </c>
      <c r="K226" s="52">
        <v>0</v>
      </c>
      <c r="L226" s="153">
        <v>30000000</v>
      </c>
      <c r="M226" s="158" t="s">
        <v>473</v>
      </c>
      <c r="N226" s="53" t="s">
        <v>528</v>
      </c>
      <c r="O226" s="51" t="s">
        <v>221</v>
      </c>
      <c r="P226" s="160" t="str">
        <f>IFERROR(VLOOKUP(C226,TD!$B$32:$F$36,2,0)," ")</f>
        <v>O230117</v>
      </c>
      <c r="Q226" s="160" t="str">
        <f>IFERROR(VLOOKUP(C226,TD!$B$32:$F$36,3,0)," ")</f>
        <v>4503</v>
      </c>
      <c r="R226" s="160">
        <f>IFERROR(VLOOKUP(C226,TD!$B$32:$F$36,4,0)," ")</f>
        <v>20240255</v>
      </c>
      <c r="S226" s="51" t="s">
        <v>177</v>
      </c>
      <c r="T226" s="160" t="str">
        <f>IFERROR(VLOOKUP(S226,TD!$J$33:$K$43,2,0)," ")</f>
        <v>Servicio de capacitaciones en gestión del riesgo de incendios  a la ciudadania.</v>
      </c>
      <c r="U226" s="161" t="str">
        <f>CONCATENATE(S226,"-",T226)</f>
        <v>05-Servicio de capacitaciones en gestión del riesgo de incendios  a la ciudadania.</v>
      </c>
      <c r="V226" s="51" t="s">
        <v>234</v>
      </c>
      <c r="W226" s="160" t="str">
        <f>IFERROR(VLOOKUP(V226,TD!$N$33:$O$45,2,0)," ")</f>
        <v>Servicio prevención y control de incendios</v>
      </c>
      <c r="X226" s="161" t="str">
        <f>CONCATENATE(V226,"_",W226)</f>
        <v>035_Servicio prevención y control de incendios</v>
      </c>
      <c r="Y226" s="161" t="str">
        <f>CONCATENATE(U226," ",X226)</f>
        <v>05-Servicio de capacitaciones en gestión del riesgo de incendios  a la ciudadania. 035_Servicio prevención y control de incendios</v>
      </c>
      <c r="Z226" s="160" t="str">
        <f>CONCATENATE(P226,Q226,R226,S226,V226)</f>
        <v>O23011745032024025505035</v>
      </c>
      <c r="AA226" s="160" t="str">
        <f>IFERROR(VLOOKUP(Y226,TD!$K$46:$L$64,2,0)," ")</f>
        <v>PM/0131/0105/45030350255</v>
      </c>
      <c r="AB226" s="53" t="s">
        <v>138</v>
      </c>
      <c r="AC226" s="162" t="s">
        <v>204</v>
      </c>
    </row>
    <row r="227" spans="2:29" s="28" customFormat="1" ht="99" customHeight="1" x14ac:dyDescent="0.35">
      <c r="B227" s="77">
        <v>20250225</v>
      </c>
      <c r="C227" s="50" t="s">
        <v>209</v>
      </c>
      <c r="D227" s="158" t="s">
        <v>167</v>
      </c>
      <c r="E227" s="51" t="s">
        <v>527</v>
      </c>
      <c r="F227" s="158" t="s">
        <v>892</v>
      </c>
      <c r="G227" s="158" t="s">
        <v>109</v>
      </c>
      <c r="H227" s="97" t="s">
        <v>451</v>
      </c>
      <c r="I227" s="159">
        <v>1</v>
      </c>
      <c r="J227" s="159">
        <v>3</v>
      </c>
      <c r="K227" s="52">
        <v>0</v>
      </c>
      <c r="L227" s="153">
        <v>50000000</v>
      </c>
      <c r="M227" s="158" t="s">
        <v>473</v>
      </c>
      <c r="N227" s="53" t="s">
        <v>529</v>
      </c>
      <c r="O227" s="51" t="s">
        <v>221</v>
      </c>
      <c r="P227" s="160" t="str">
        <f>IFERROR(VLOOKUP(C227,TD!$B$32:$F$36,2,0)," ")</f>
        <v>O230117</v>
      </c>
      <c r="Q227" s="160" t="str">
        <f>IFERROR(VLOOKUP(C227,TD!$B$32:$F$36,3,0)," ")</f>
        <v>4503</v>
      </c>
      <c r="R227" s="160">
        <f>IFERROR(VLOOKUP(C227,TD!$B$32:$F$36,4,0)," ")</f>
        <v>20240255</v>
      </c>
      <c r="S227" s="51" t="s">
        <v>179</v>
      </c>
      <c r="T227" s="160" t="str">
        <f>IFERROR(VLOOKUP(S227,TD!$J$33:$K$43,2,0)," ")</f>
        <v>Infraestructura Tecnológica   (Sistemas de Información y Tecnologia)</v>
      </c>
      <c r="U227" s="161" t="str">
        <f>CONCATENATE(S227,"-",T227)</f>
        <v>11-Infraestructura Tecnológica   (Sistemas de Información y Tecnologia)</v>
      </c>
      <c r="V227" s="51" t="s">
        <v>235</v>
      </c>
      <c r="W227" s="160" t="str">
        <f>IFERROR(VLOOKUP(V227,TD!$N$33:$O$45,2,0)," ")</f>
        <v>"Servicio de monitoreo y seguimiento para la gestión del riesgo"</v>
      </c>
      <c r="X227" s="161" t="str">
        <f>CONCATENATE(V227,"_",W227)</f>
        <v>018_"Servicio de monitoreo y seguimiento para la gestión del riesgo"</v>
      </c>
      <c r="Y227" s="161" t="str">
        <f>CONCATENATE(U227," ",X227)</f>
        <v>11-Infraestructura Tecnológica   (Sistemas de Información y Tecnologia) 018_"Servicio de monitoreo y seguimiento para la gestión del riesgo"</v>
      </c>
      <c r="Z227" s="160" t="str">
        <f>CONCATENATE(P227,Q227,R227,S227,V227)</f>
        <v>O23011745032024025511018</v>
      </c>
      <c r="AA227" s="160" t="str">
        <f>IFERROR(VLOOKUP(Y227,TD!$K$46:$L$64,2,0)," ")</f>
        <v>PM/0131/0111/45030180255</v>
      </c>
      <c r="AB227" s="53" t="s">
        <v>138</v>
      </c>
      <c r="AC227" s="162" t="s">
        <v>204</v>
      </c>
    </row>
    <row r="228" spans="2:29" s="28" customFormat="1" ht="99" customHeight="1" x14ac:dyDescent="0.35">
      <c r="B228" s="77">
        <v>20250226</v>
      </c>
      <c r="C228" s="50" t="s">
        <v>209</v>
      </c>
      <c r="D228" s="158" t="s">
        <v>167</v>
      </c>
      <c r="E228" s="51" t="s">
        <v>527</v>
      </c>
      <c r="F228" s="158" t="s">
        <v>729</v>
      </c>
      <c r="G228" s="158" t="s">
        <v>155</v>
      </c>
      <c r="H228" s="97">
        <v>80111600</v>
      </c>
      <c r="I228" s="159">
        <v>1</v>
      </c>
      <c r="J228" s="163">
        <v>10</v>
      </c>
      <c r="K228" s="151">
        <v>0</v>
      </c>
      <c r="L228" s="154">
        <v>100000000</v>
      </c>
      <c r="M228" s="158" t="s">
        <v>473</v>
      </c>
      <c r="N228" s="53" t="s">
        <v>113</v>
      </c>
      <c r="O228" s="51" t="s">
        <v>221</v>
      </c>
      <c r="P228" s="160" t="str">
        <f>IFERROR(VLOOKUP(C228,TD!$B$32:$F$36,2,0)," ")</f>
        <v>O230117</v>
      </c>
      <c r="Q228" s="160" t="str">
        <f>IFERROR(VLOOKUP(C228,TD!$B$32:$F$36,3,0)," ")</f>
        <v>4503</v>
      </c>
      <c r="R228" s="160">
        <f>IFERROR(VLOOKUP(C228,TD!$B$32:$F$36,4,0)," ")</f>
        <v>20240255</v>
      </c>
      <c r="S228" s="51" t="s">
        <v>181</v>
      </c>
      <c r="T228" s="160" t="str">
        <f>IFERROR(VLOOKUP(S228,TD!$J$33:$K$43,2,0)," ")</f>
        <v>Servicio de inspecciones técnicas realizadas</v>
      </c>
      <c r="U228" s="161" t="str">
        <f>CONCATENATE(S228,"-",T228)</f>
        <v>06-Servicio de inspecciones técnicas realizadas</v>
      </c>
      <c r="V228" s="51" t="s">
        <v>234</v>
      </c>
      <c r="W228" s="160" t="str">
        <f>IFERROR(VLOOKUP(V228,TD!$N$33:$O$45,2,0)," ")</f>
        <v>Servicio prevención y control de incendios</v>
      </c>
      <c r="X228" s="161" t="str">
        <f>CONCATENATE(V228,"_",W228)</f>
        <v>035_Servicio prevención y control de incendios</v>
      </c>
      <c r="Y228" s="161" t="str">
        <f>CONCATENATE(U228," ",X228)</f>
        <v>06-Servicio de inspecciones técnicas realizadas 035_Servicio prevención y control de incendios</v>
      </c>
      <c r="Z228" s="160" t="str">
        <f>CONCATENATE(P228,Q228,R228,S228,V228)</f>
        <v>O23011745032024025506035</v>
      </c>
      <c r="AA228" s="160" t="str">
        <f>IFERROR(VLOOKUP(Y228,TD!$K$46:$L$64,2,0)," ")</f>
        <v>PM/0131/0106/45030350255</v>
      </c>
      <c r="AB228" s="53" t="s">
        <v>138</v>
      </c>
      <c r="AC228" s="162" t="s">
        <v>204</v>
      </c>
    </row>
    <row r="229" spans="2:29" s="28" customFormat="1" ht="99" customHeight="1" x14ac:dyDescent="0.35">
      <c r="B229" s="77">
        <v>20250229</v>
      </c>
      <c r="C229" s="50" t="s">
        <v>209</v>
      </c>
      <c r="D229" s="158" t="s">
        <v>167</v>
      </c>
      <c r="E229" s="51" t="s">
        <v>527</v>
      </c>
      <c r="F229" s="158" t="s">
        <v>531</v>
      </c>
      <c r="G229" s="158" t="s">
        <v>155</v>
      </c>
      <c r="H229" s="97">
        <v>80111600</v>
      </c>
      <c r="I229" s="159">
        <v>1</v>
      </c>
      <c r="J229" s="163">
        <v>10</v>
      </c>
      <c r="K229" s="151">
        <v>0</v>
      </c>
      <c r="L229" s="154">
        <f>90000000+10000000</f>
        <v>100000000</v>
      </c>
      <c r="M229" s="158" t="s">
        <v>473</v>
      </c>
      <c r="N229" s="53" t="s">
        <v>530</v>
      </c>
      <c r="O229" s="51" t="s">
        <v>225</v>
      </c>
      <c r="P229" s="160" t="str">
        <f>IFERROR(VLOOKUP(C229,TD!$B$32:$F$36,2,0)," ")</f>
        <v>O230117</v>
      </c>
      <c r="Q229" s="160" t="str">
        <f>IFERROR(VLOOKUP(C229,TD!$B$32:$F$36,3,0)," ")</f>
        <v>4503</v>
      </c>
      <c r="R229" s="160">
        <f>IFERROR(VLOOKUP(C229,TD!$B$32:$F$36,4,0)," ")</f>
        <v>20240255</v>
      </c>
      <c r="S229" s="51" t="s">
        <v>179</v>
      </c>
      <c r="T229" s="160" t="str">
        <f>IFERROR(VLOOKUP(S229,TD!$J$33:$K$43,2,0)," ")</f>
        <v>Infraestructura Tecnológica   (Sistemas de Información y Tecnologia)</v>
      </c>
      <c r="U229" s="161" t="str">
        <f>CONCATENATE(S229,"-",T229)</f>
        <v>11-Infraestructura Tecnológica   (Sistemas de Información y Tecnologia)</v>
      </c>
      <c r="V229" s="51" t="s">
        <v>235</v>
      </c>
      <c r="W229" s="160" t="str">
        <f>IFERROR(VLOOKUP(V229,TD!$N$33:$O$45,2,0)," ")</f>
        <v>"Servicio de monitoreo y seguimiento para la gestión del riesgo"</v>
      </c>
      <c r="X229" s="161" t="str">
        <f>CONCATENATE(V229,"_",W229)</f>
        <v>018_"Servicio de monitoreo y seguimiento para la gestión del riesgo"</v>
      </c>
      <c r="Y229" s="161" t="str">
        <f>CONCATENATE(U229," ",X229)</f>
        <v>11-Infraestructura Tecnológica   (Sistemas de Información y Tecnologia) 018_"Servicio de monitoreo y seguimiento para la gestión del riesgo"</v>
      </c>
      <c r="Z229" s="160" t="str">
        <f>CONCATENATE(P229,Q229,R229,S229,V229)</f>
        <v>O23011745032024025511018</v>
      </c>
      <c r="AA229" s="160" t="str">
        <f>IFERROR(VLOOKUP(Y229,TD!$K$46:$L$64,2,0)," ")</f>
        <v>PM/0131/0111/45030180255</v>
      </c>
      <c r="AB229" s="53" t="s">
        <v>138</v>
      </c>
      <c r="AC229" s="162" t="s">
        <v>204</v>
      </c>
    </row>
    <row r="230" spans="2:29" s="28" customFormat="1" ht="99" customHeight="1" x14ac:dyDescent="0.35">
      <c r="B230" s="77">
        <v>20250230</v>
      </c>
      <c r="C230" s="50" t="s">
        <v>209</v>
      </c>
      <c r="D230" s="158" t="s">
        <v>167</v>
      </c>
      <c r="E230" s="51" t="s">
        <v>527</v>
      </c>
      <c r="F230" s="158" t="s">
        <v>730</v>
      </c>
      <c r="G230" s="158" t="s">
        <v>155</v>
      </c>
      <c r="H230" s="97">
        <v>80111600</v>
      </c>
      <c r="I230" s="159">
        <v>1</v>
      </c>
      <c r="J230" s="163">
        <v>10</v>
      </c>
      <c r="K230" s="151">
        <v>0</v>
      </c>
      <c r="L230" s="154">
        <v>90000000</v>
      </c>
      <c r="M230" s="158" t="s">
        <v>473</v>
      </c>
      <c r="N230" s="53" t="s">
        <v>530</v>
      </c>
      <c r="O230" s="51" t="s">
        <v>221</v>
      </c>
      <c r="P230" s="160" t="str">
        <f>IFERROR(VLOOKUP(C230,TD!$B$32:$F$36,2,0)," ")</f>
        <v>O230117</v>
      </c>
      <c r="Q230" s="160" t="str">
        <f>IFERROR(VLOOKUP(C230,TD!$B$32:$F$36,3,0)," ")</f>
        <v>4503</v>
      </c>
      <c r="R230" s="160">
        <f>IFERROR(VLOOKUP(C230,TD!$B$32:$F$36,4,0)," ")</f>
        <v>20240255</v>
      </c>
      <c r="S230" s="51" t="s">
        <v>177</v>
      </c>
      <c r="T230" s="160" t="str">
        <f>IFERROR(VLOOKUP(S230,TD!$J$33:$K$43,2,0)," ")</f>
        <v>Servicio de capacitaciones en gestión del riesgo de incendios  a la ciudadania.</v>
      </c>
      <c r="U230" s="161" t="str">
        <f>CONCATENATE(S230,"-",T230)</f>
        <v>05-Servicio de capacitaciones en gestión del riesgo de incendios  a la ciudadania.</v>
      </c>
      <c r="V230" s="51" t="s">
        <v>233</v>
      </c>
      <c r="W230" s="160" t="str">
        <f>IFERROR(VLOOKUP(V230,TD!$N$33:$O$45,2,0)," ")</f>
        <v>Servicio de educación informal</v>
      </c>
      <c r="X230" s="161" t="str">
        <f>CONCATENATE(V230,"_",W230)</f>
        <v>002_Servicio de educación informal</v>
      </c>
      <c r="Y230" s="161" t="str">
        <f>CONCATENATE(U230," ",X230)</f>
        <v>05-Servicio de capacitaciones en gestión del riesgo de incendios  a la ciudadania. 002_Servicio de educación informal</v>
      </c>
      <c r="Z230" s="160" t="str">
        <f>CONCATENATE(P230,Q230,R230,S230,V230)</f>
        <v>O23011745032024025505002</v>
      </c>
      <c r="AA230" s="160" t="str">
        <f>IFERROR(VLOOKUP(Y230,TD!$K$46:$L$64,2,0)," ")</f>
        <v>PM/0131/0105/45030020255</v>
      </c>
      <c r="AB230" s="53" t="s">
        <v>138</v>
      </c>
      <c r="AC230" s="162" t="s">
        <v>204</v>
      </c>
    </row>
    <row r="231" spans="2:29" s="28" customFormat="1" ht="99" customHeight="1" x14ac:dyDescent="0.35">
      <c r="B231" s="77">
        <v>20250231</v>
      </c>
      <c r="C231" s="50" t="s">
        <v>209</v>
      </c>
      <c r="D231" s="158" t="s">
        <v>167</v>
      </c>
      <c r="E231" s="51" t="s">
        <v>527</v>
      </c>
      <c r="F231" s="158" t="s">
        <v>731</v>
      </c>
      <c r="G231" s="158" t="s">
        <v>155</v>
      </c>
      <c r="H231" s="97">
        <v>80111600</v>
      </c>
      <c r="I231" s="159">
        <v>1</v>
      </c>
      <c r="J231" s="163">
        <v>10</v>
      </c>
      <c r="K231" s="151">
        <v>0</v>
      </c>
      <c r="L231" s="154">
        <v>70000000</v>
      </c>
      <c r="M231" s="158" t="s">
        <v>473</v>
      </c>
      <c r="N231" s="53" t="s">
        <v>530</v>
      </c>
      <c r="O231" s="51" t="s">
        <v>221</v>
      </c>
      <c r="P231" s="160" t="str">
        <f>IFERROR(VLOOKUP(C231,TD!$B$32:$F$36,2,0)," ")</f>
        <v>O230117</v>
      </c>
      <c r="Q231" s="160" t="str">
        <f>IFERROR(VLOOKUP(C231,TD!$B$32:$F$36,3,0)," ")</f>
        <v>4503</v>
      </c>
      <c r="R231" s="160">
        <f>IFERROR(VLOOKUP(C231,TD!$B$32:$F$36,4,0)," ")</f>
        <v>20240255</v>
      </c>
      <c r="S231" s="51" t="s">
        <v>177</v>
      </c>
      <c r="T231" s="160" t="str">
        <f>IFERROR(VLOOKUP(S231,TD!$J$33:$K$43,2,0)," ")</f>
        <v>Servicio de capacitaciones en gestión del riesgo de incendios  a la ciudadania.</v>
      </c>
      <c r="U231" s="161" t="str">
        <f>CONCATENATE(S231,"-",T231)</f>
        <v>05-Servicio de capacitaciones en gestión del riesgo de incendios  a la ciudadania.</v>
      </c>
      <c r="V231" s="51" t="s">
        <v>234</v>
      </c>
      <c r="W231" s="160" t="str">
        <f>IFERROR(VLOOKUP(V231,TD!$N$33:$O$45,2,0)," ")</f>
        <v>Servicio prevención y control de incendios</v>
      </c>
      <c r="X231" s="161" t="str">
        <f>CONCATENATE(V231,"_",W231)</f>
        <v>035_Servicio prevención y control de incendios</v>
      </c>
      <c r="Y231" s="161" t="str">
        <f>CONCATENATE(U231," ",X231)</f>
        <v>05-Servicio de capacitaciones en gestión del riesgo de incendios  a la ciudadania. 035_Servicio prevención y control de incendios</v>
      </c>
      <c r="Z231" s="160" t="str">
        <f>CONCATENATE(P231,Q231,R231,S231,V231)</f>
        <v>O23011745032024025505035</v>
      </c>
      <c r="AA231" s="160" t="str">
        <f>IFERROR(VLOOKUP(Y231,TD!$K$46:$L$64,2,0)," ")</f>
        <v>PM/0131/0105/45030350255</v>
      </c>
      <c r="AB231" s="53" t="s">
        <v>138</v>
      </c>
      <c r="AC231" s="162" t="s">
        <v>204</v>
      </c>
    </row>
    <row r="232" spans="2:29" s="28" customFormat="1" ht="99" customHeight="1" x14ac:dyDescent="0.35">
      <c r="B232" s="77">
        <v>20250232</v>
      </c>
      <c r="C232" s="50" t="s">
        <v>209</v>
      </c>
      <c r="D232" s="158" t="s">
        <v>167</v>
      </c>
      <c r="E232" s="51" t="s">
        <v>527</v>
      </c>
      <c r="F232" s="158" t="s">
        <v>377</v>
      </c>
      <c r="G232" s="158" t="s">
        <v>155</v>
      </c>
      <c r="H232" s="97">
        <v>80111600</v>
      </c>
      <c r="I232" s="159">
        <v>1</v>
      </c>
      <c r="J232" s="163">
        <v>10</v>
      </c>
      <c r="K232" s="151">
        <v>0</v>
      </c>
      <c r="L232" s="154">
        <v>70000000</v>
      </c>
      <c r="M232" s="158" t="s">
        <v>473</v>
      </c>
      <c r="N232" s="53" t="s">
        <v>530</v>
      </c>
      <c r="O232" s="51" t="s">
        <v>221</v>
      </c>
      <c r="P232" s="160" t="str">
        <f>IFERROR(VLOOKUP(C232,TD!$B$32:$F$36,2,0)," ")</f>
        <v>O230117</v>
      </c>
      <c r="Q232" s="160" t="str">
        <f>IFERROR(VLOOKUP(C232,TD!$B$32:$F$36,3,0)," ")</f>
        <v>4503</v>
      </c>
      <c r="R232" s="160">
        <f>IFERROR(VLOOKUP(C232,TD!$B$32:$F$36,4,0)," ")</f>
        <v>20240255</v>
      </c>
      <c r="S232" s="51" t="s">
        <v>177</v>
      </c>
      <c r="T232" s="160" t="str">
        <f>IFERROR(VLOOKUP(S232,TD!$J$33:$K$43,2,0)," ")</f>
        <v>Servicio de capacitaciones en gestión del riesgo de incendios  a la ciudadania.</v>
      </c>
      <c r="U232" s="161" t="str">
        <f>CONCATENATE(S232,"-",T232)</f>
        <v>05-Servicio de capacitaciones en gestión del riesgo de incendios  a la ciudadania.</v>
      </c>
      <c r="V232" s="51" t="s">
        <v>233</v>
      </c>
      <c r="W232" s="160" t="str">
        <f>IFERROR(VLOOKUP(V232,TD!$N$33:$O$45,2,0)," ")</f>
        <v>Servicio de educación informal</v>
      </c>
      <c r="X232" s="161" t="str">
        <f>CONCATENATE(V232,"_",W232)</f>
        <v>002_Servicio de educación informal</v>
      </c>
      <c r="Y232" s="161" t="str">
        <f>CONCATENATE(U232," ",X232)</f>
        <v>05-Servicio de capacitaciones en gestión del riesgo de incendios  a la ciudadania. 002_Servicio de educación informal</v>
      </c>
      <c r="Z232" s="160" t="str">
        <f>CONCATENATE(P232,Q232,R232,S232,V232)</f>
        <v>O23011745032024025505002</v>
      </c>
      <c r="AA232" s="160" t="str">
        <f>IFERROR(VLOOKUP(Y232,TD!$K$46:$L$64,2,0)," ")</f>
        <v>PM/0131/0105/45030020255</v>
      </c>
      <c r="AB232" s="53" t="s">
        <v>120</v>
      </c>
      <c r="AC232" s="162" t="s">
        <v>204</v>
      </c>
    </row>
    <row r="233" spans="2:29" s="28" customFormat="1" ht="99" customHeight="1" x14ac:dyDescent="0.35">
      <c r="B233" s="77">
        <v>20250233</v>
      </c>
      <c r="C233" s="50" t="s">
        <v>209</v>
      </c>
      <c r="D233" s="158" t="s">
        <v>167</v>
      </c>
      <c r="E233" s="51" t="s">
        <v>527</v>
      </c>
      <c r="F233" s="158" t="s">
        <v>732</v>
      </c>
      <c r="G233" s="158" t="s">
        <v>155</v>
      </c>
      <c r="H233" s="97">
        <v>80111600</v>
      </c>
      <c r="I233" s="159">
        <v>1</v>
      </c>
      <c r="J233" s="163">
        <v>10</v>
      </c>
      <c r="K233" s="151">
        <v>0</v>
      </c>
      <c r="L233" s="154">
        <v>70000000</v>
      </c>
      <c r="M233" s="158" t="s">
        <v>473</v>
      </c>
      <c r="N233" s="53" t="s">
        <v>530</v>
      </c>
      <c r="O233" s="51" t="s">
        <v>221</v>
      </c>
      <c r="P233" s="160" t="str">
        <f>IFERROR(VLOOKUP(C233,TD!$B$32:$F$36,2,0)," ")</f>
        <v>O230117</v>
      </c>
      <c r="Q233" s="160" t="str">
        <f>IFERROR(VLOOKUP(C233,TD!$B$32:$F$36,3,0)," ")</f>
        <v>4503</v>
      </c>
      <c r="R233" s="160">
        <f>IFERROR(VLOOKUP(C233,TD!$B$32:$F$36,4,0)," ")</f>
        <v>20240255</v>
      </c>
      <c r="S233" s="51" t="s">
        <v>177</v>
      </c>
      <c r="T233" s="160" t="str">
        <f>IFERROR(VLOOKUP(S233,TD!$J$33:$K$43,2,0)," ")</f>
        <v>Servicio de capacitaciones en gestión del riesgo de incendios  a la ciudadania.</v>
      </c>
      <c r="U233" s="161" t="str">
        <f>CONCATENATE(S233,"-",T233)</f>
        <v>05-Servicio de capacitaciones en gestión del riesgo de incendios  a la ciudadania.</v>
      </c>
      <c r="V233" s="51" t="s">
        <v>233</v>
      </c>
      <c r="W233" s="160" t="str">
        <f>IFERROR(VLOOKUP(V233,TD!$N$33:$O$45,2,0)," ")</f>
        <v>Servicio de educación informal</v>
      </c>
      <c r="X233" s="161" t="str">
        <f>CONCATENATE(V233,"_",W233)</f>
        <v>002_Servicio de educación informal</v>
      </c>
      <c r="Y233" s="161" t="str">
        <f>CONCATENATE(U233," ",X233)</f>
        <v>05-Servicio de capacitaciones en gestión del riesgo de incendios  a la ciudadania. 002_Servicio de educación informal</v>
      </c>
      <c r="Z233" s="160" t="str">
        <f>CONCATENATE(P233,Q233,R233,S233,V233)</f>
        <v>O23011745032024025505002</v>
      </c>
      <c r="AA233" s="160" t="str">
        <f>IFERROR(VLOOKUP(Y233,TD!$K$46:$L$64,2,0)," ")</f>
        <v>PM/0131/0105/45030020255</v>
      </c>
      <c r="AB233" s="53" t="s">
        <v>138</v>
      </c>
      <c r="AC233" s="162" t="s">
        <v>204</v>
      </c>
    </row>
    <row r="234" spans="2:29" s="28" customFormat="1" ht="99" customHeight="1" x14ac:dyDescent="0.35">
      <c r="B234" s="77">
        <v>20250234</v>
      </c>
      <c r="C234" s="50" t="s">
        <v>209</v>
      </c>
      <c r="D234" s="158" t="s">
        <v>167</v>
      </c>
      <c r="E234" s="51" t="s">
        <v>527</v>
      </c>
      <c r="F234" s="158" t="s">
        <v>532</v>
      </c>
      <c r="G234" s="158" t="s">
        <v>155</v>
      </c>
      <c r="H234" s="97">
        <v>80111600</v>
      </c>
      <c r="I234" s="159">
        <v>1</v>
      </c>
      <c r="J234" s="163">
        <v>10</v>
      </c>
      <c r="K234" s="151">
        <v>0</v>
      </c>
      <c r="L234" s="154">
        <f>60000000-10000000</f>
        <v>50000000</v>
      </c>
      <c r="M234" s="158" t="s">
        <v>473</v>
      </c>
      <c r="N234" s="53" t="s">
        <v>530</v>
      </c>
      <c r="O234" s="51" t="s">
        <v>221</v>
      </c>
      <c r="P234" s="160" t="str">
        <f>IFERROR(VLOOKUP(C234,TD!$B$32:$F$36,2,0)," ")</f>
        <v>O230117</v>
      </c>
      <c r="Q234" s="160" t="str">
        <f>IFERROR(VLOOKUP(C234,TD!$B$32:$F$36,3,0)," ")</f>
        <v>4503</v>
      </c>
      <c r="R234" s="160">
        <f>IFERROR(VLOOKUP(C234,TD!$B$32:$F$36,4,0)," ")</f>
        <v>20240255</v>
      </c>
      <c r="S234" s="51" t="s">
        <v>177</v>
      </c>
      <c r="T234" s="160" t="str">
        <f>IFERROR(VLOOKUP(S234,TD!$J$33:$K$43,2,0)," ")</f>
        <v>Servicio de capacitaciones en gestión del riesgo de incendios  a la ciudadania.</v>
      </c>
      <c r="U234" s="161" t="str">
        <f>CONCATENATE(S234,"-",T234)</f>
        <v>05-Servicio de capacitaciones en gestión del riesgo de incendios  a la ciudadania.</v>
      </c>
      <c r="V234" s="51" t="s">
        <v>233</v>
      </c>
      <c r="W234" s="160" t="str">
        <f>IFERROR(VLOOKUP(V234,TD!$N$33:$O$45,2,0)," ")</f>
        <v>Servicio de educación informal</v>
      </c>
      <c r="X234" s="161" t="str">
        <f>CONCATENATE(V234,"_",W234)</f>
        <v>002_Servicio de educación informal</v>
      </c>
      <c r="Y234" s="161" t="str">
        <f>CONCATENATE(U234," ",X234)</f>
        <v>05-Servicio de capacitaciones en gestión del riesgo de incendios  a la ciudadania. 002_Servicio de educación informal</v>
      </c>
      <c r="Z234" s="160" t="str">
        <f>CONCATENATE(P234,Q234,R234,S234,V234)</f>
        <v>O23011745032024025505002</v>
      </c>
      <c r="AA234" s="160" t="str">
        <f>IFERROR(VLOOKUP(Y234,TD!$K$46:$L$64,2,0)," ")</f>
        <v>PM/0131/0105/45030020255</v>
      </c>
      <c r="AB234" s="53" t="s">
        <v>120</v>
      </c>
      <c r="AC234" s="162" t="s">
        <v>204</v>
      </c>
    </row>
    <row r="235" spans="2:29" s="28" customFormat="1" ht="99" customHeight="1" x14ac:dyDescent="0.35">
      <c r="B235" s="77">
        <v>20250235</v>
      </c>
      <c r="C235" s="50" t="s">
        <v>209</v>
      </c>
      <c r="D235" s="158" t="s">
        <v>167</v>
      </c>
      <c r="E235" s="51" t="s">
        <v>527</v>
      </c>
      <c r="F235" s="158" t="s">
        <v>753</v>
      </c>
      <c r="G235" s="158" t="s">
        <v>155</v>
      </c>
      <c r="H235" s="97">
        <v>80111600</v>
      </c>
      <c r="I235" s="159">
        <v>1</v>
      </c>
      <c r="J235" s="163">
        <v>10</v>
      </c>
      <c r="K235" s="151">
        <v>0</v>
      </c>
      <c r="L235" s="154">
        <f>40000000+10000000</f>
        <v>50000000</v>
      </c>
      <c r="M235" s="158" t="s">
        <v>473</v>
      </c>
      <c r="N235" s="53" t="s">
        <v>530</v>
      </c>
      <c r="O235" s="51" t="s">
        <v>221</v>
      </c>
      <c r="P235" s="160" t="str">
        <f>IFERROR(VLOOKUP(C235,TD!$B$32:$F$36,2,0)," ")</f>
        <v>O230117</v>
      </c>
      <c r="Q235" s="160" t="str">
        <f>IFERROR(VLOOKUP(C235,TD!$B$32:$F$36,3,0)," ")</f>
        <v>4503</v>
      </c>
      <c r="R235" s="160">
        <f>IFERROR(VLOOKUP(C235,TD!$B$32:$F$36,4,0)," ")</f>
        <v>20240255</v>
      </c>
      <c r="S235" s="51" t="s">
        <v>177</v>
      </c>
      <c r="T235" s="160" t="str">
        <f>IFERROR(VLOOKUP(S235,TD!$J$33:$K$43,2,0)," ")</f>
        <v>Servicio de capacitaciones en gestión del riesgo de incendios  a la ciudadania.</v>
      </c>
      <c r="U235" s="161" t="str">
        <f>CONCATENATE(S235,"-",T235)</f>
        <v>05-Servicio de capacitaciones en gestión del riesgo de incendios  a la ciudadania.</v>
      </c>
      <c r="V235" s="51" t="s">
        <v>233</v>
      </c>
      <c r="W235" s="160" t="str">
        <f>IFERROR(VLOOKUP(V235,TD!$N$33:$O$45,2,0)," ")</f>
        <v>Servicio de educación informal</v>
      </c>
      <c r="X235" s="161" t="str">
        <f>CONCATENATE(V235,"_",W235)</f>
        <v>002_Servicio de educación informal</v>
      </c>
      <c r="Y235" s="161" t="str">
        <f>CONCATENATE(U235," ",X235)</f>
        <v>05-Servicio de capacitaciones en gestión del riesgo de incendios  a la ciudadania. 002_Servicio de educación informal</v>
      </c>
      <c r="Z235" s="160" t="str">
        <f>CONCATENATE(P235,Q235,R235,S235,V235)</f>
        <v>O23011745032024025505002</v>
      </c>
      <c r="AA235" s="160" t="str">
        <f>IFERROR(VLOOKUP(Y235,TD!$K$46:$L$64,2,0)," ")</f>
        <v>PM/0131/0105/45030020255</v>
      </c>
      <c r="AB235" s="53" t="s">
        <v>138</v>
      </c>
      <c r="AC235" s="162" t="s">
        <v>204</v>
      </c>
    </row>
    <row r="236" spans="2:29" s="28" customFormat="1" ht="99" customHeight="1" x14ac:dyDescent="0.35">
      <c r="B236" s="77">
        <v>20250236</v>
      </c>
      <c r="C236" s="50" t="s">
        <v>209</v>
      </c>
      <c r="D236" s="158" t="s">
        <v>167</v>
      </c>
      <c r="E236" s="51" t="s">
        <v>527</v>
      </c>
      <c r="F236" s="158" t="s">
        <v>533</v>
      </c>
      <c r="G236" s="158" t="s">
        <v>155</v>
      </c>
      <c r="H236" s="97">
        <v>80111600</v>
      </c>
      <c r="I236" s="159">
        <v>1</v>
      </c>
      <c r="J236" s="159">
        <v>10</v>
      </c>
      <c r="K236" s="52">
        <v>0</v>
      </c>
      <c r="L236" s="153">
        <v>50000000</v>
      </c>
      <c r="M236" s="158" t="s">
        <v>473</v>
      </c>
      <c r="N236" s="53" t="s">
        <v>530</v>
      </c>
      <c r="O236" s="51" t="s">
        <v>221</v>
      </c>
      <c r="P236" s="160" t="str">
        <f>IFERROR(VLOOKUP(C236,TD!$B$32:$F$36,2,0)," ")</f>
        <v>O230117</v>
      </c>
      <c r="Q236" s="160" t="str">
        <f>IFERROR(VLOOKUP(C236,TD!$B$32:$F$36,3,0)," ")</f>
        <v>4503</v>
      </c>
      <c r="R236" s="160">
        <f>IFERROR(VLOOKUP(C236,TD!$B$32:$F$36,4,0)," ")</f>
        <v>20240255</v>
      </c>
      <c r="S236" s="51" t="s">
        <v>177</v>
      </c>
      <c r="T236" s="160" t="str">
        <f>IFERROR(VLOOKUP(S236,TD!$J$33:$K$43,2,0)," ")</f>
        <v>Servicio de capacitaciones en gestión del riesgo de incendios  a la ciudadania.</v>
      </c>
      <c r="U236" s="161" t="str">
        <f>CONCATENATE(S236,"-",T236)</f>
        <v>05-Servicio de capacitaciones en gestión del riesgo de incendios  a la ciudadania.</v>
      </c>
      <c r="V236" s="51" t="s">
        <v>233</v>
      </c>
      <c r="W236" s="160" t="str">
        <f>IFERROR(VLOOKUP(V236,TD!$N$33:$O$45,2,0)," ")</f>
        <v>Servicio de educación informal</v>
      </c>
      <c r="X236" s="161" t="str">
        <f>CONCATENATE(V236,"_",W236)</f>
        <v>002_Servicio de educación informal</v>
      </c>
      <c r="Y236" s="161" t="str">
        <f>CONCATENATE(U236," ",X236)</f>
        <v>05-Servicio de capacitaciones en gestión del riesgo de incendios  a la ciudadania. 002_Servicio de educación informal</v>
      </c>
      <c r="Z236" s="160" t="str">
        <f>CONCATENATE(P236,Q236,R236,S236,V236)</f>
        <v>O23011745032024025505002</v>
      </c>
      <c r="AA236" s="160" t="str">
        <f>IFERROR(VLOOKUP(Y236,TD!$K$46:$L$64,2,0)," ")</f>
        <v>PM/0131/0105/45030020255</v>
      </c>
      <c r="AB236" s="53" t="s">
        <v>138</v>
      </c>
      <c r="AC236" s="162" t="s">
        <v>204</v>
      </c>
    </row>
    <row r="237" spans="2:29" s="28" customFormat="1" ht="99" customHeight="1" x14ac:dyDescent="0.35">
      <c r="B237" s="77">
        <v>20250237</v>
      </c>
      <c r="C237" s="50" t="s">
        <v>209</v>
      </c>
      <c r="D237" s="158" t="s">
        <v>167</v>
      </c>
      <c r="E237" s="51" t="s">
        <v>527</v>
      </c>
      <c r="F237" s="158" t="s">
        <v>534</v>
      </c>
      <c r="G237" s="158" t="s">
        <v>155</v>
      </c>
      <c r="H237" s="97">
        <v>80111600</v>
      </c>
      <c r="I237" s="159">
        <v>1</v>
      </c>
      <c r="J237" s="163">
        <v>10</v>
      </c>
      <c r="K237" s="151">
        <v>0</v>
      </c>
      <c r="L237" s="154">
        <f>55000000-15000000</f>
        <v>40000000</v>
      </c>
      <c r="M237" s="158" t="s">
        <v>473</v>
      </c>
      <c r="N237" s="53" t="s">
        <v>530</v>
      </c>
      <c r="O237" s="51" t="s">
        <v>221</v>
      </c>
      <c r="P237" s="160" t="str">
        <f>IFERROR(VLOOKUP(C237,TD!$B$32:$F$36,2,0)," ")</f>
        <v>O230117</v>
      </c>
      <c r="Q237" s="160" t="str">
        <f>IFERROR(VLOOKUP(C237,TD!$B$32:$F$36,3,0)," ")</f>
        <v>4503</v>
      </c>
      <c r="R237" s="160">
        <f>IFERROR(VLOOKUP(C237,TD!$B$32:$F$36,4,0)," ")</f>
        <v>20240255</v>
      </c>
      <c r="S237" s="51" t="s">
        <v>177</v>
      </c>
      <c r="T237" s="160" t="str">
        <f>IFERROR(VLOOKUP(S237,TD!$J$33:$K$43,2,0)," ")</f>
        <v>Servicio de capacitaciones en gestión del riesgo de incendios  a la ciudadania.</v>
      </c>
      <c r="U237" s="161" t="str">
        <f>CONCATENATE(S237,"-",T237)</f>
        <v>05-Servicio de capacitaciones en gestión del riesgo de incendios  a la ciudadania.</v>
      </c>
      <c r="V237" s="51" t="s">
        <v>233</v>
      </c>
      <c r="W237" s="160" t="str">
        <f>IFERROR(VLOOKUP(V237,TD!$N$33:$O$45,2,0)," ")</f>
        <v>Servicio de educación informal</v>
      </c>
      <c r="X237" s="161" t="str">
        <f>CONCATENATE(V237,"_",W237)</f>
        <v>002_Servicio de educación informal</v>
      </c>
      <c r="Y237" s="161" t="str">
        <f>CONCATENATE(U237," ",X237)</f>
        <v>05-Servicio de capacitaciones en gestión del riesgo de incendios  a la ciudadania. 002_Servicio de educación informal</v>
      </c>
      <c r="Z237" s="160" t="str">
        <f>CONCATENATE(P237,Q237,R237,S237,V237)</f>
        <v>O23011745032024025505002</v>
      </c>
      <c r="AA237" s="160" t="str">
        <f>IFERROR(VLOOKUP(Y237,TD!$K$46:$L$64,2,0)," ")</f>
        <v>PM/0131/0105/45030020255</v>
      </c>
      <c r="AB237" s="53" t="s">
        <v>138</v>
      </c>
      <c r="AC237" s="162" t="s">
        <v>204</v>
      </c>
    </row>
    <row r="238" spans="2:29" s="28" customFormat="1" ht="99" customHeight="1" x14ac:dyDescent="0.35">
      <c r="B238" s="77">
        <v>20250238</v>
      </c>
      <c r="C238" s="50" t="s">
        <v>209</v>
      </c>
      <c r="D238" s="158" t="s">
        <v>167</v>
      </c>
      <c r="E238" s="51" t="s">
        <v>527</v>
      </c>
      <c r="F238" s="158" t="s">
        <v>535</v>
      </c>
      <c r="G238" s="158" t="s">
        <v>156</v>
      </c>
      <c r="H238" s="97">
        <v>80111600</v>
      </c>
      <c r="I238" s="159">
        <v>1</v>
      </c>
      <c r="J238" s="163">
        <v>10</v>
      </c>
      <c r="K238" s="151">
        <v>0</v>
      </c>
      <c r="L238" s="154">
        <f>42000000-7000000</f>
        <v>35000000</v>
      </c>
      <c r="M238" s="158" t="s">
        <v>473</v>
      </c>
      <c r="N238" s="53" t="s">
        <v>530</v>
      </c>
      <c r="O238" s="51" t="s">
        <v>221</v>
      </c>
      <c r="P238" s="160" t="str">
        <f>IFERROR(VLOOKUP(C238,TD!$B$32:$F$36,2,0)," ")</f>
        <v>O230117</v>
      </c>
      <c r="Q238" s="160" t="str">
        <f>IFERROR(VLOOKUP(C238,TD!$B$32:$F$36,3,0)," ")</f>
        <v>4503</v>
      </c>
      <c r="R238" s="160">
        <f>IFERROR(VLOOKUP(C238,TD!$B$32:$F$36,4,0)," ")</f>
        <v>20240255</v>
      </c>
      <c r="S238" s="51" t="s">
        <v>179</v>
      </c>
      <c r="T238" s="160" t="str">
        <f>IFERROR(VLOOKUP(S238,TD!$J$33:$K$43,2,0)," ")</f>
        <v>Infraestructura Tecnológica   (Sistemas de Información y Tecnologia)</v>
      </c>
      <c r="U238" s="161" t="str">
        <f>CONCATENATE(S238,"-",T238)</f>
        <v>11-Infraestructura Tecnológica   (Sistemas de Información y Tecnologia)</v>
      </c>
      <c r="V238" s="51" t="s">
        <v>235</v>
      </c>
      <c r="W238" s="160" t="str">
        <f>IFERROR(VLOOKUP(V238,TD!$N$33:$O$45,2,0)," ")</f>
        <v>"Servicio de monitoreo y seguimiento para la gestión del riesgo"</v>
      </c>
      <c r="X238" s="161" t="str">
        <f>CONCATENATE(V238,"_",W238)</f>
        <v>018_"Servicio de monitoreo y seguimiento para la gestión del riesgo"</v>
      </c>
      <c r="Y238" s="161" t="str">
        <f>CONCATENATE(U238," ",X238)</f>
        <v>11-Infraestructura Tecnológica   (Sistemas de Información y Tecnologia) 018_"Servicio de monitoreo y seguimiento para la gestión del riesgo"</v>
      </c>
      <c r="Z238" s="160" t="str">
        <f>CONCATENATE(P238,Q238,R238,S238,V238)</f>
        <v>O23011745032024025511018</v>
      </c>
      <c r="AA238" s="160" t="str">
        <f>IFERROR(VLOOKUP(Y238,TD!$K$46:$L$64,2,0)," ")</f>
        <v>PM/0131/0111/45030180255</v>
      </c>
      <c r="AB238" s="53" t="s">
        <v>138</v>
      </c>
      <c r="AC238" s="162" t="s">
        <v>204</v>
      </c>
    </row>
    <row r="239" spans="2:29" s="28" customFormat="1" ht="99" customHeight="1" x14ac:dyDescent="0.35">
      <c r="B239" s="77">
        <v>20250239</v>
      </c>
      <c r="C239" s="50" t="s">
        <v>209</v>
      </c>
      <c r="D239" s="158" t="s">
        <v>167</v>
      </c>
      <c r="E239" s="51" t="s">
        <v>527</v>
      </c>
      <c r="F239" s="158" t="s">
        <v>536</v>
      </c>
      <c r="G239" s="158" t="s">
        <v>156</v>
      </c>
      <c r="H239" s="97">
        <v>80111600</v>
      </c>
      <c r="I239" s="159">
        <v>1</v>
      </c>
      <c r="J239" s="163">
        <v>10</v>
      </c>
      <c r="K239" s="151">
        <v>0</v>
      </c>
      <c r="L239" s="154">
        <f>44000000-9000000</f>
        <v>35000000</v>
      </c>
      <c r="M239" s="158" t="s">
        <v>473</v>
      </c>
      <c r="N239" s="53" t="s">
        <v>530</v>
      </c>
      <c r="O239" s="51" t="s">
        <v>221</v>
      </c>
      <c r="P239" s="160" t="str">
        <f>IFERROR(VLOOKUP(C239,TD!$B$32:$F$36,2,0)," ")</f>
        <v>O230117</v>
      </c>
      <c r="Q239" s="160" t="str">
        <f>IFERROR(VLOOKUP(C239,TD!$B$32:$F$36,3,0)," ")</f>
        <v>4503</v>
      </c>
      <c r="R239" s="160">
        <f>IFERROR(VLOOKUP(C239,TD!$B$32:$F$36,4,0)," ")</f>
        <v>20240255</v>
      </c>
      <c r="S239" s="51" t="s">
        <v>177</v>
      </c>
      <c r="T239" s="160" t="str">
        <f>IFERROR(VLOOKUP(S239,TD!$J$33:$K$43,2,0)," ")</f>
        <v>Servicio de capacitaciones en gestión del riesgo de incendios  a la ciudadania.</v>
      </c>
      <c r="U239" s="161" t="str">
        <f>CONCATENATE(S239,"-",T239)</f>
        <v>05-Servicio de capacitaciones en gestión del riesgo de incendios  a la ciudadania.</v>
      </c>
      <c r="V239" s="51" t="s">
        <v>233</v>
      </c>
      <c r="W239" s="160" t="str">
        <f>IFERROR(VLOOKUP(V239,TD!$N$33:$O$45,2,0)," ")</f>
        <v>Servicio de educación informal</v>
      </c>
      <c r="X239" s="161" t="str">
        <f>CONCATENATE(V239,"_",W239)</f>
        <v>002_Servicio de educación informal</v>
      </c>
      <c r="Y239" s="161" t="str">
        <f>CONCATENATE(U239," ",X239)</f>
        <v>05-Servicio de capacitaciones en gestión del riesgo de incendios  a la ciudadania. 002_Servicio de educación informal</v>
      </c>
      <c r="Z239" s="160" t="str">
        <f>CONCATENATE(P239,Q239,R239,S239,V239)</f>
        <v>O23011745032024025505002</v>
      </c>
      <c r="AA239" s="160" t="str">
        <f>IFERROR(VLOOKUP(Y239,TD!$K$46:$L$64,2,0)," ")</f>
        <v>PM/0131/0105/45030020255</v>
      </c>
      <c r="AB239" s="53" t="s">
        <v>138</v>
      </c>
      <c r="AC239" s="162" t="s">
        <v>204</v>
      </c>
    </row>
    <row r="240" spans="2:29" s="28" customFormat="1" ht="99" customHeight="1" x14ac:dyDescent="0.35">
      <c r="B240" s="77">
        <v>20250240</v>
      </c>
      <c r="C240" s="50" t="s">
        <v>209</v>
      </c>
      <c r="D240" s="158" t="s">
        <v>167</v>
      </c>
      <c r="E240" s="51" t="s">
        <v>527</v>
      </c>
      <c r="F240" s="158" t="s">
        <v>537</v>
      </c>
      <c r="G240" s="158" t="s">
        <v>155</v>
      </c>
      <c r="H240" s="97">
        <v>80111600</v>
      </c>
      <c r="I240" s="159">
        <v>1</v>
      </c>
      <c r="J240" s="163">
        <v>10</v>
      </c>
      <c r="K240" s="151">
        <v>0</v>
      </c>
      <c r="L240" s="154">
        <f>77000000+3000000</f>
        <v>80000000</v>
      </c>
      <c r="M240" s="158" t="s">
        <v>473</v>
      </c>
      <c r="N240" s="53" t="s">
        <v>530</v>
      </c>
      <c r="O240" s="51" t="s">
        <v>225</v>
      </c>
      <c r="P240" s="160" t="str">
        <f>IFERROR(VLOOKUP(C240,TD!$B$32:$F$36,2,0)," ")</f>
        <v>O230117</v>
      </c>
      <c r="Q240" s="160" t="str">
        <f>IFERROR(VLOOKUP(C240,TD!$B$32:$F$36,3,0)," ")</f>
        <v>4503</v>
      </c>
      <c r="R240" s="160">
        <f>IFERROR(VLOOKUP(C240,TD!$B$32:$F$36,4,0)," ")</f>
        <v>20240255</v>
      </c>
      <c r="S240" s="51" t="s">
        <v>179</v>
      </c>
      <c r="T240" s="160" t="str">
        <f>IFERROR(VLOOKUP(S240,TD!$J$33:$K$43,2,0)," ")</f>
        <v>Infraestructura Tecnológica   (Sistemas de Información y Tecnologia)</v>
      </c>
      <c r="U240" s="161" t="str">
        <f>CONCATENATE(S240,"-",T240)</f>
        <v>11-Infraestructura Tecnológica   (Sistemas de Información y Tecnologia)</v>
      </c>
      <c r="V240" s="51" t="s">
        <v>235</v>
      </c>
      <c r="W240" s="160" t="str">
        <f>IFERROR(VLOOKUP(V240,TD!$N$33:$O$45,2,0)," ")</f>
        <v>"Servicio de monitoreo y seguimiento para la gestión del riesgo"</v>
      </c>
      <c r="X240" s="161" t="str">
        <f>CONCATENATE(V240,"_",W240)</f>
        <v>018_"Servicio de monitoreo y seguimiento para la gestión del riesgo"</v>
      </c>
      <c r="Y240" s="161" t="str">
        <f>CONCATENATE(U240," ",X240)</f>
        <v>11-Infraestructura Tecnológica   (Sistemas de Información y Tecnologia) 018_"Servicio de monitoreo y seguimiento para la gestión del riesgo"</v>
      </c>
      <c r="Z240" s="160" t="str">
        <f>CONCATENATE(P240,Q240,R240,S240,V240)</f>
        <v>O23011745032024025511018</v>
      </c>
      <c r="AA240" s="160" t="str">
        <f>IFERROR(VLOOKUP(Y240,TD!$K$46:$L$64,2,0)," ")</f>
        <v>PM/0131/0111/45030180255</v>
      </c>
      <c r="AB240" s="53" t="s">
        <v>138</v>
      </c>
      <c r="AC240" s="162" t="s">
        <v>204</v>
      </c>
    </row>
    <row r="241" spans="2:29" s="28" customFormat="1" ht="99" customHeight="1" x14ac:dyDescent="0.35">
      <c r="B241" s="77">
        <v>20250241</v>
      </c>
      <c r="C241" s="50" t="s">
        <v>209</v>
      </c>
      <c r="D241" s="158" t="s">
        <v>167</v>
      </c>
      <c r="E241" s="51" t="s">
        <v>527</v>
      </c>
      <c r="F241" s="158" t="s">
        <v>537</v>
      </c>
      <c r="G241" s="158" t="s">
        <v>155</v>
      </c>
      <c r="H241" s="97">
        <v>80111600</v>
      </c>
      <c r="I241" s="159">
        <v>1</v>
      </c>
      <c r="J241" s="163">
        <v>10</v>
      </c>
      <c r="K241" s="151">
        <v>0</v>
      </c>
      <c r="L241" s="154">
        <f>77000000+3000000</f>
        <v>80000000</v>
      </c>
      <c r="M241" s="158" t="s">
        <v>473</v>
      </c>
      <c r="N241" s="53" t="s">
        <v>530</v>
      </c>
      <c r="O241" s="51" t="s">
        <v>225</v>
      </c>
      <c r="P241" s="160" t="str">
        <f>IFERROR(VLOOKUP(C241,TD!$B$32:$F$36,2,0)," ")</f>
        <v>O230117</v>
      </c>
      <c r="Q241" s="160" t="str">
        <f>IFERROR(VLOOKUP(C241,TD!$B$32:$F$36,3,0)," ")</f>
        <v>4503</v>
      </c>
      <c r="R241" s="160">
        <f>IFERROR(VLOOKUP(C241,TD!$B$32:$F$36,4,0)," ")</f>
        <v>20240255</v>
      </c>
      <c r="S241" s="51" t="s">
        <v>179</v>
      </c>
      <c r="T241" s="160" t="str">
        <f>IFERROR(VLOOKUP(S241,TD!$J$33:$K$43,2,0)," ")</f>
        <v>Infraestructura Tecnológica   (Sistemas de Información y Tecnologia)</v>
      </c>
      <c r="U241" s="161" t="str">
        <f>CONCATENATE(S241,"-",T241)</f>
        <v>11-Infraestructura Tecnológica   (Sistemas de Información y Tecnologia)</v>
      </c>
      <c r="V241" s="51" t="s">
        <v>235</v>
      </c>
      <c r="W241" s="160" t="str">
        <f>IFERROR(VLOOKUP(V241,TD!$N$33:$O$45,2,0)," ")</f>
        <v>"Servicio de monitoreo y seguimiento para la gestión del riesgo"</v>
      </c>
      <c r="X241" s="161" t="str">
        <f>CONCATENATE(V241,"_",W241)</f>
        <v>018_"Servicio de monitoreo y seguimiento para la gestión del riesgo"</v>
      </c>
      <c r="Y241" s="161" t="str">
        <f>CONCATENATE(U241," ",X241)</f>
        <v>11-Infraestructura Tecnológica   (Sistemas de Información y Tecnologia) 018_"Servicio de monitoreo y seguimiento para la gestión del riesgo"</v>
      </c>
      <c r="Z241" s="160" t="str">
        <f>CONCATENATE(P241,Q241,R241,S241,V241)</f>
        <v>O23011745032024025511018</v>
      </c>
      <c r="AA241" s="160" t="str">
        <f>IFERROR(VLOOKUP(Y241,TD!$K$46:$L$64,2,0)," ")</f>
        <v>PM/0131/0111/45030180255</v>
      </c>
      <c r="AB241" s="53" t="s">
        <v>138</v>
      </c>
      <c r="AC241" s="162" t="s">
        <v>204</v>
      </c>
    </row>
    <row r="242" spans="2:29" s="28" customFormat="1" ht="99" customHeight="1" x14ac:dyDescent="0.35">
      <c r="B242" s="77">
        <v>20250242</v>
      </c>
      <c r="C242" s="50" t="s">
        <v>209</v>
      </c>
      <c r="D242" s="158" t="s">
        <v>167</v>
      </c>
      <c r="E242" s="51" t="s">
        <v>527</v>
      </c>
      <c r="F242" s="158" t="s">
        <v>537</v>
      </c>
      <c r="G242" s="158" t="s">
        <v>155</v>
      </c>
      <c r="H242" s="97">
        <v>80111600</v>
      </c>
      <c r="I242" s="159">
        <v>1</v>
      </c>
      <c r="J242" s="163">
        <v>10</v>
      </c>
      <c r="K242" s="151">
        <v>0</v>
      </c>
      <c r="L242" s="154">
        <f>77000000+3000000</f>
        <v>80000000</v>
      </c>
      <c r="M242" s="158" t="s">
        <v>473</v>
      </c>
      <c r="N242" s="53" t="s">
        <v>530</v>
      </c>
      <c r="O242" s="51" t="s">
        <v>225</v>
      </c>
      <c r="P242" s="160" t="str">
        <f>IFERROR(VLOOKUP(C242,TD!$B$32:$F$36,2,0)," ")</f>
        <v>O230117</v>
      </c>
      <c r="Q242" s="160" t="str">
        <f>IFERROR(VLOOKUP(C242,TD!$B$32:$F$36,3,0)," ")</f>
        <v>4503</v>
      </c>
      <c r="R242" s="160">
        <f>IFERROR(VLOOKUP(C242,TD!$B$32:$F$36,4,0)," ")</f>
        <v>20240255</v>
      </c>
      <c r="S242" s="51" t="s">
        <v>179</v>
      </c>
      <c r="T242" s="160" t="str">
        <f>IFERROR(VLOOKUP(S242,TD!$J$33:$K$43,2,0)," ")</f>
        <v>Infraestructura Tecnológica   (Sistemas de Información y Tecnologia)</v>
      </c>
      <c r="U242" s="161" t="str">
        <f>CONCATENATE(S242,"-",T242)</f>
        <v>11-Infraestructura Tecnológica   (Sistemas de Información y Tecnologia)</v>
      </c>
      <c r="V242" s="51" t="s">
        <v>235</v>
      </c>
      <c r="W242" s="160" t="str">
        <f>IFERROR(VLOOKUP(V242,TD!$N$33:$O$45,2,0)," ")</f>
        <v>"Servicio de monitoreo y seguimiento para la gestión del riesgo"</v>
      </c>
      <c r="X242" s="161" t="str">
        <f>CONCATENATE(V242,"_",W242)</f>
        <v>018_"Servicio de monitoreo y seguimiento para la gestión del riesgo"</v>
      </c>
      <c r="Y242" s="161" t="str">
        <f>CONCATENATE(U242," ",X242)</f>
        <v>11-Infraestructura Tecnológica   (Sistemas de Información y Tecnologia) 018_"Servicio de monitoreo y seguimiento para la gestión del riesgo"</v>
      </c>
      <c r="Z242" s="160" t="str">
        <f>CONCATENATE(P242,Q242,R242,S242,V242)</f>
        <v>O23011745032024025511018</v>
      </c>
      <c r="AA242" s="160" t="str">
        <f>IFERROR(VLOOKUP(Y242,TD!$K$46:$L$64,2,0)," ")</f>
        <v>PM/0131/0111/45030180255</v>
      </c>
      <c r="AB242" s="53" t="s">
        <v>138</v>
      </c>
      <c r="AC242" s="162" t="s">
        <v>204</v>
      </c>
    </row>
    <row r="243" spans="2:29" s="28" customFormat="1" ht="99" customHeight="1" x14ac:dyDescent="0.35">
      <c r="B243" s="77">
        <v>20250243</v>
      </c>
      <c r="C243" s="50" t="s">
        <v>209</v>
      </c>
      <c r="D243" s="158" t="s">
        <v>167</v>
      </c>
      <c r="E243" s="51" t="s">
        <v>527</v>
      </c>
      <c r="F243" s="158" t="s">
        <v>373</v>
      </c>
      <c r="G243" s="158" t="s">
        <v>155</v>
      </c>
      <c r="H243" s="97">
        <v>80111600</v>
      </c>
      <c r="I243" s="159">
        <v>1</v>
      </c>
      <c r="J243" s="163">
        <v>10</v>
      </c>
      <c r="K243" s="151">
        <v>0</v>
      </c>
      <c r="L243" s="154">
        <f>77000000-7000000</f>
        <v>70000000</v>
      </c>
      <c r="M243" s="158" t="s">
        <v>473</v>
      </c>
      <c r="N243" s="53" t="s">
        <v>530</v>
      </c>
      <c r="O243" s="51" t="s">
        <v>221</v>
      </c>
      <c r="P243" s="160" t="str">
        <f>IFERROR(VLOOKUP(C243,TD!$B$32:$F$36,2,0)," ")</f>
        <v>O230117</v>
      </c>
      <c r="Q243" s="160" t="str">
        <f>IFERROR(VLOOKUP(C243,TD!$B$32:$F$36,3,0)," ")</f>
        <v>4503</v>
      </c>
      <c r="R243" s="160">
        <f>IFERROR(VLOOKUP(C243,TD!$B$32:$F$36,4,0)," ")</f>
        <v>20240255</v>
      </c>
      <c r="S243" s="51" t="s">
        <v>181</v>
      </c>
      <c r="T243" s="160" t="str">
        <f>IFERROR(VLOOKUP(S243,TD!$J$33:$K$43,2,0)," ")</f>
        <v>Servicio de inspecciones técnicas realizadas</v>
      </c>
      <c r="U243" s="161" t="str">
        <f>CONCATENATE(S243,"-",T243)</f>
        <v>06-Servicio de inspecciones técnicas realizadas</v>
      </c>
      <c r="V243" s="51" t="s">
        <v>234</v>
      </c>
      <c r="W243" s="160" t="str">
        <f>IFERROR(VLOOKUP(V243,TD!$N$33:$O$45,2,0)," ")</f>
        <v>Servicio prevención y control de incendios</v>
      </c>
      <c r="X243" s="161" t="str">
        <f>CONCATENATE(V243,"_",W243)</f>
        <v>035_Servicio prevención y control de incendios</v>
      </c>
      <c r="Y243" s="161" t="str">
        <f>CONCATENATE(U243," ",X243)</f>
        <v>06-Servicio de inspecciones técnicas realizadas 035_Servicio prevención y control de incendios</v>
      </c>
      <c r="Z243" s="160" t="str">
        <f>CONCATENATE(P243,Q243,R243,S243,V243)</f>
        <v>O23011745032024025506035</v>
      </c>
      <c r="AA243" s="160" t="str">
        <f>IFERROR(VLOOKUP(Y243,TD!$K$46:$L$64,2,0)," ")</f>
        <v>PM/0131/0106/45030350255</v>
      </c>
      <c r="AB243" s="53" t="s">
        <v>138</v>
      </c>
      <c r="AC243" s="162" t="s">
        <v>204</v>
      </c>
    </row>
    <row r="244" spans="2:29" s="28" customFormat="1" ht="99" customHeight="1" x14ac:dyDescent="0.35">
      <c r="B244" s="77">
        <v>20250244</v>
      </c>
      <c r="C244" s="50" t="s">
        <v>209</v>
      </c>
      <c r="D244" s="158" t="s">
        <v>167</v>
      </c>
      <c r="E244" s="51" t="s">
        <v>527</v>
      </c>
      <c r="F244" s="158" t="s">
        <v>373</v>
      </c>
      <c r="G244" s="158" t="s">
        <v>155</v>
      </c>
      <c r="H244" s="97">
        <v>80111600</v>
      </c>
      <c r="I244" s="159">
        <v>1</v>
      </c>
      <c r="J244" s="163">
        <v>10</v>
      </c>
      <c r="K244" s="151">
        <v>0</v>
      </c>
      <c r="L244" s="154">
        <f>55000000+15000000</f>
        <v>70000000</v>
      </c>
      <c r="M244" s="158" t="s">
        <v>473</v>
      </c>
      <c r="N244" s="53" t="s">
        <v>530</v>
      </c>
      <c r="O244" s="51" t="s">
        <v>221</v>
      </c>
      <c r="P244" s="160" t="str">
        <f>IFERROR(VLOOKUP(C244,TD!$B$32:$F$36,2,0)," ")</f>
        <v>O230117</v>
      </c>
      <c r="Q244" s="160" t="str">
        <f>IFERROR(VLOOKUP(C244,TD!$B$32:$F$36,3,0)," ")</f>
        <v>4503</v>
      </c>
      <c r="R244" s="160">
        <f>IFERROR(VLOOKUP(C244,TD!$B$32:$F$36,4,0)," ")</f>
        <v>20240255</v>
      </c>
      <c r="S244" s="51" t="s">
        <v>181</v>
      </c>
      <c r="T244" s="160" t="str">
        <f>IFERROR(VLOOKUP(S244,TD!$J$33:$K$43,2,0)," ")</f>
        <v>Servicio de inspecciones técnicas realizadas</v>
      </c>
      <c r="U244" s="161" t="str">
        <f>CONCATENATE(S244,"-",T244)</f>
        <v>06-Servicio de inspecciones técnicas realizadas</v>
      </c>
      <c r="V244" s="51" t="s">
        <v>234</v>
      </c>
      <c r="W244" s="160" t="str">
        <f>IFERROR(VLOOKUP(V244,TD!$N$33:$O$45,2,0)," ")</f>
        <v>Servicio prevención y control de incendios</v>
      </c>
      <c r="X244" s="161" t="str">
        <f>CONCATENATE(V244,"_",W244)</f>
        <v>035_Servicio prevención y control de incendios</v>
      </c>
      <c r="Y244" s="161" t="str">
        <f>CONCATENATE(U244," ",X244)</f>
        <v>06-Servicio de inspecciones técnicas realizadas 035_Servicio prevención y control de incendios</v>
      </c>
      <c r="Z244" s="160" t="str">
        <f>CONCATENATE(P244,Q244,R244,S244,V244)</f>
        <v>O23011745032024025506035</v>
      </c>
      <c r="AA244" s="160" t="str">
        <f>IFERROR(VLOOKUP(Y244,TD!$K$46:$L$64,2,0)," ")</f>
        <v>PM/0131/0106/45030350255</v>
      </c>
      <c r="AB244" s="53" t="s">
        <v>138</v>
      </c>
      <c r="AC244" s="162" t="s">
        <v>204</v>
      </c>
    </row>
    <row r="245" spans="2:29" s="28" customFormat="1" ht="99" customHeight="1" x14ac:dyDescent="0.35">
      <c r="B245" s="77">
        <v>20250245</v>
      </c>
      <c r="C245" s="50" t="s">
        <v>209</v>
      </c>
      <c r="D245" s="158" t="s">
        <v>167</v>
      </c>
      <c r="E245" s="51" t="s">
        <v>527</v>
      </c>
      <c r="F245" s="158" t="s">
        <v>537</v>
      </c>
      <c r="G245" s="158" t="s">
        <v>155</v>
      </c>
      <c r="H245" s="97">
        <v>80111600</v>
      </c>
      <c r="I245" s="159">
        <v>1</v>
      </c>
      <c r="J245" s="163">
        <v>10</v>
      </c>
      <c r="K245" s="151">
        <v>0</v>
      </c>
      <c r="L245" s="154">
        <f>55000000-5000000</f>
        <v>50000000</v>
      </c>
      <c r="M245" s="158" t="s">
        <v>473</v>
      </c>
      <c r="N245" s="53" t="s">
        <v>530</v>
      </c>
      <c r="O245" s="51" t="s">
        <v>225</v>
      </c>
      <c r="P245" s="160" t="str">
        <f>IFERROR(VLOOKUP(C245,TD!$B$32:$F$36,2,0)," ")</f>
        <v>O230117</v>
      </c>
      <c r="Q245" s="160" t="str">
        <f>IFERROR(VLOOKUP(C245,TD!$B$32:$F$36,3,0)," ")</f>
        <v>4503</v>
      </c>
      <c r="R245" s="160">
        <f>IFERROR(VLOOKUP(C245,TD!$B$32:$F$36,4,0)," ")</f>
        <v>20240255</v>
      </c>
      <c r="S245" s="51" t="s">
        <v>179</v>
      </c>
      <c r="T245" s="160" t="str">
        <f>IFERROR(VLOOKUP(S245,TD!$J$33:$K$43,2,0)," ")</f>
        <v>Infraestructura Tecnológica   (Sistemas de Información y Tecnologia)</v>
      </c>
      <c r="U245" s="161" t="str">
        <f>CONCATENATE(S245,"-",T245)</f>
        <v>11-Infraestructura Tecnológica   (Sistemas de Información y Tecnologia)</v>
      </c>
      <c r="V245" s="51" t="s">
        <v>235</v>
      </c>
      <c r="W245" s="160" t="str">
        <f>IFERROR(VLOOKUP(V245,TD!$N$33:$O$45,2,0)," ")</f>
        <v>"Servicio de monitoreo y seguimiento para la gestión del riesgo"</v>
      </c>
      <c r="X245" s="161" t="str">
        <f>CONCATENATE(V245,"_",W245)</f>
        <v>018_"Servicio de monitoreo y seguimiento para la gestión del riesgo"</v>
      </c>
      <c r="Y245" s="161" t="str">
        <f>CONCATENATE(U245," ",X245)</f>
        <v>11-Infraestructura Tecnológica   (Sistemas de Información y Tecnologia) 018_"Servicio de monitoreo y seguimiento para la gestión del riesgo"</v>
      </c>
      <c r="Z245" s="160" t="str">
        <f>CONCATENATE(P245,Q245,R245,S245,V245)</f>
        <v>O23011745032024025511018</v>
      </c>
      <c r="AA245" s="160" t="str">
        <f>IFERROR(VLOOKUP(Y245,TD!$K$46:$L$64,2,0)," ")</f>
        <v>PM/0131/0111/45030180255</v>
      </c>
      <c r="AB245" s="53" t="s">
        <v>138</v>
      </c>
      <c r="AC245" s="162" t="s">
        <v>204</v>
      </c>
    </row>
    <row r="246" spans="2:29" s="28" customFormat="1" ht="99" customHeight="1" x14ac:dyDescent="0.35">
      <c r="B246" s="77">
        <v>20250246</v>
      </c>
      <c r="C246" s="50" t="s">
        <v>209</v>
      </c>
      <c r="D246" s="158" t="s">
        <v>167</v>
      </c>
      <c r="E246" s="51" t="s">
        <v>527</v>
      </c>
      <c r="F246" s="158" t="s">
        <v>538</v>
      </c>
      <c r="G246" s="158" t="s">
        <v>155</v>
      </c>
      <c r="H246" s="97">
        <v>80111600</v>
      </c>
      <c r="I246" s="159">
        <v>1</v>
      </c>
      <c r="J246" s="163">
        <v>10</v>
      </c>
      <c r="K246" s="151">
        <v>0</v>
      </c>
      <c r="L246" s="154">
        <f>77000000-17000000</f>
        <v>60000000</v>
      </c>
      <c r="M246" s="158" t="s">
        <v>473</v>
      </c>
      <c r="N246" s="53" t="s">
        <v>530</v>
      </c>
      <c r="O246" s="51" t="s">
        <v>226</v>
      </c>
      <c r="P246" s="160" t="str">
        <f>IFERROR(VLOOKUP(C246,TD!$B$32:$F$36,2,0)," ")</f>
        <v>O230117</v>
      </c>
      <c r="Q246" s="160" t="str">
        <f>IFERROR(VLOOKUP(C246,TD!$B$32:$F$36,3,0)," ")</f>
        <v>4503</v>
      </c>
      <c r="R246" s="160">
        <f>IFERROR(VLOOKUP(C246,TD!$B$32:$F$36,4,0)," ")</f>
        <v>20240255</v>
      </c>
      <c r="S246" s="51" t="s">
        <v>179</v>
      </c>
      <c r="T246" s="160" t="str">
        <f>IFERROR(VLOOKUP(S246,TD!$J$33:$K$43,2,0)," ")</f>
        <v>Infraestructura Tecnológica   (Sistemas de Información y Tecnologia)</v>
      </c>
      <c r="U246" s="161" t="str">
        <f>CONCATENATE(S246,"-",T246)</f>
        <v>11-Infraestructura Tecnológica   (Sistemas de Información y Tecnologia)</v>
      </c>
      <c r="V246" s="51" t="s">
        <v>235</v>
      </c>
      <c r="W246" s="160" t="str">
        <f>IFERROR(VLOOKUP(V246,TD!$N$33:$O$45,2,0)," ")</f>
        <v>"Servicio de monitoreo y seguimiento para la gestión del riesgo"</v>
      </c>
      <c r="X246" s="161" t="str">
        <f>CONCATENATE(V246,"_",W246)</f>
        <v>018_"Servicio de monitoreo y seguimiento para la gestión del riesgo"</v>
      </c>
      <c r="Y246" s="161" t="str">
        <f>CONCATENATE(U246," ",X246)</f>
        <v>11-Infraestructura Tecnológica   (Sistemas de Información y Tecnologia) 018_"Servicio de monitoreo y seguimiento para la gestión del riesgo"</v>
      </c>
      <c r="Z246" s="160" t="str">
        <f>CONCATENATE(P246,Q246,R246,S246,V246)</f>
        <v>O23011745032024025511018</v>
      </c>
      <c r="AA246" s="160" t="str">
        <f>IFERROR(VLOOKUP(Y246,TD!$K$46:$L$64,2,0)," ")</f>
        <v>PM/0131/0111/45030180255</v>
      </c>
      <c r="AB246" s="53" t="s">
        <v>138</v>
      </c>
      <c r="AC246" s="162" t="s">
        <v>204</v>
      </c>
    </row>
    <row r="247" spans="2:29" s="28" customFormat="1" ht="99" customHeight="1" x14ac:dyDescent="0.35">
      <c r="B247" s="77">
        <v>20250247</v>
      </c>
      <c r="C247" s="50" t="s">
        <v>209</v>
      </c>
      <c r="D247" s="158" t="s">
        <v>167</v>
      </c>
      <c r="E247" s="51" t="s">
        <v>527</v>
      </c>
      <c r="F247" s="158" t="s">
        <v>538</v>
      </c>
      <c r="G247" s="158" t="s">
        <v>155</v>
      </c>
      <c r="H247" s="97">
        <v>80111600</v>
      </c>
      <c r="I247" s="159">
        <v>1</v>
      </c>
      <c r="J247" s="163">
        <v>10</v>
      </c>
      <c r="K247" s="151">
        <v>0</v>
      </c>
      <c r="L247" s="154">
        <f>77000000-27000000</f>
        <v>50000000</v>
      </c>
      <c r="M247" s="158" t="s">
        <v>473</v>
      </c>
      <c r="N247" s="53" t="s">
        <v>530</v>
      </c>
      <c r="O247" s="51" t="s">
        <v>226</v>
      </c>
      <c r="P247" s="160" t="str">
        <f>IFERROR(VLOOKUP(C247,TD!$B$32:$F$36,2,0)," ")</f>
        <v>O230117</v>
      </c>
      <c r="Q247" s="160" t="str">
        <f>IFERROR(VLOOKUP(C247,TD!$B$32:$F$36,3,0)," ")</f>
        <v>4503</v>
      </c>
      <c r="R247" s="160">
        <f>IFERROR(VLOOKUP(C247,TD!$B$32:$F$36,4,0)," ")</f>
        <v>20240255</v>
      </c>
      <c r="S247" s="51" t="s">
        <v>179</v>
      </c>
      <c r="T247" s="160" t="str">
        <f>IFERROR(VLOOKUP(S247,TD!$J$33:$K$43,2,0)," ")</f>
        <v>Infraestructura Tecnológica   (Sistemas de Información y Tecnologia)</v>
      </c>
      <c r="U247" s="161" t="str">
        <f>CONCATENATE(S247,"-",T247)</f>
        <v>11-Infraestructura Tecnológica   (Sistemas de Información y Tecnologia)</v>
      </c>
      <c r="V247" s="51" t="s">
        <v>235</v>
      </c>
      <c r="W247" s="160" t="str">
        <f>IFERROR(VLOOKUP(V247,TD!$N$33:$O$45,2,0)," ")</f>
        <v>"Servicio de monitoreo y seguimiento para la gestión del riesgo"</v>
      </c>
      <c r="X247" s="161" t="str">
        <f>CONCATENATE(V247,"_",W247)</f>
        <v>018_"Servicio de monitoreo y seguimiento para la gestión del riesgo"</v>
      </c>
      <c r="Y247" s="161" t="str">
        <f>CONCATENATE(U247," ",X247)</f>
        <v>11-Infraestructura Tecnológica   (Sistemas de Información y Tecnologia) 018_"Servicio de monitoreo y seguimiento para la gestión del riesgo"</v>
      </c>
      <c r="Z247" s="160" t="str">
        <f>CONCATENATE(P247,Q247,R247,S247,V247)</f>
        <v>O23011745032024025511018</v>
      </c>
      <c r="AA247" s="160" t="str">
        <f>IFERROR(VLOOKUP(Y247,TD!$K$46:$L$64,2,0)," ")</f>
        <v>PM/0131/0111/45030180255</v>
      </c>
      <c r="AB247" s="53" t="s">
        <v>138</v>
      </c>
      <c r="AC247" s="162" t="s">
        <v>204</v>
      </c>
    </row>
    <row r="248" spans="2:29" s="28" customFormat="1" ht="99" customHeight="1" x14ac:dyDescent="0.35">
      <c r="B248" s="77">
        <v>20250248</v>
      </c>
      <c r="C248" s="50" t="s">
        <v>209</v>
      </c>
      <c r="D248" s="158" t="s">
        <v>167</v>
      </c>
      <c r="E248" s="51" t="s">
        <v>527</v>
      </c>
      <c r="F248" s="158" t="s">
        <v>893</v>
      </c>
      <c r="G248" s="158" t="s">
        <v>156</v>
      </c>
      <c r="H248" s="97">
        <v>80111600</v>
      </c>
      <c r="I248" s="159">
        <v>1</v>
      </c>
      <c r="J248" s="163">
        <v>10</v>
      </c>
      <c r="K248" s="151">
        <v>0</v>
      </c>
      <c r="L248" s="154">
        <f>77000000-27000000</f>
        <v>50000000</v>
      </c>
      <c r="M248" s="158" t="s">
        <v>473</v>
      </c>
      <c r="N248" s="53" t="s">
        <v>530</v>
      </c>
      <c r="O248" s="51" t="s">
        <v>226</v>
      </c>
      <c r="P248" s="160" t="str">
        <f>IFERROR(VLOOKUP(C248,TD!$B$32:$F$36,2,0)," ")</f>
        <v>O230117</v>
      </c>
      <c r="Q248" s="160" t="str">
        <f>IFERROR(VLOOKUP(C248,TD!$B$32:$F$36,3,0)," ")</f>
        <v>4503</v>
      </c>
      <c r="R248" s="160">
        <f>IFERROR(VLOOKUP(C248,TD!$B$32:$F$36,4,0)," ")</f>
        <v>20240255</v>
      </c>
      <c r="S248" s="51" t="s">
        <v>179</v>
      </c>
      <c r="T248" s="160" t="str">
        <f>IFERROR(VLOOKUP(S248,TD!$J$33:$K$43,2,0)," ")</f>
        <v>Infraestructura Tecnológica   (Sistemas de Información y Tecnologia)</v>
      </c>
      <c r="U248" s="161" t="str">
        <f>CONCATENATE(S248,"-",T248)</f>
        <v>11-Infraestructura Tecnológica   (Sistemas de Información y Tecnologia)</v>
      </c>
      <c r="V248" s="51" t="s">
        <v>235</v>
      </c>
      <c r="W248" s="160" t="str">
        <f>IFERROR(VLOOKUP(V248,TD!$N$33:$O$45,2,0)," ")</f>
        <v>"Servicio de monitoreo y seguimiento para la gestión del riesgo"</v>
      </c>
      <c r="X248" s="161" t="str">
        <f>CONCATENATE(V248,"_",W248)</f>
        <v>018_"Servicio de monitoreo y seguimiento para la gestión del riesgo"</v>
      </c>
      <c r="Y248" s="161" t="str">
        <f>CONCATENATE(U248," ",X248)</f>
        <v>11-Infraestructura Tecnológica   (Sistemas de Información y Tecnologia) 018_"Servicio de monitoreo y seguimiento para la gestión del riesgo"</v>
      </c>
      <c r="Z248" s="160" t="str">
        <f>CONCATENATE(P248,Q248,R248,S248,V248)</f>
        <v>O23011745032024025511018</v>
      </c>
      <c r="AA248" s="160" t="str">
        <f>IFERROR(VLOOKUP(Y248,TD!$K$46:$L$64,2,0)," ")</f>
        <v>PM/0131/0111/45030180255</v>
      </c>
      <c r="AB248" s="53" t="s">
        <v>138</v>
      </c>
      <c r="AC248" s="162" t="s">
        <v>204</v>
      </c>
    </row>
    <row r="249" spans="2:29" s="28" customFormat="1" ht="99" customHeight="1" x14ac:dyDescent="0.35">
      <c r="B249" s="77">
        <v>20250249</v>
      </c>
      <c r="C249" s="50" t="s">
        <v>209</v>
      </c>
      <c r="D249" s="158" t="s">
        <v>167</v>
      </c>
      <c r="E249" s="51" t="s">
        <v>527</v>
      </c>
      <c r="F249" s="158" t="s">
        <v>538</v>
      </c>
      <c r="G249" s="158" t="s">
        <v>155</v>
      </c>
      <c r="H249" s="97">
        <v>80111600</v>
      </c>
      <c r="I249" s="159">
        <v>1</v>
      </c>
      <c r="J249" s="163">
        <v>10</v>
      </c>
      <c r="K249" s="151">
        <v>0</v>
      </c>
      <c r="L249" s="154">
        <f>49500000+500000</f>
        <v>50000000</v>
      </c>
      <c r="M249" s="158" t="s">
        <v>473</v>
      </c>
      <c r="N249" s="53" t="s">
        <v>530</v>
      </c>
      <c r="O249" s="51" t="s">
        <v>226</v>
      </c>
      <c r="P249" s="160" t="str">
        <f>IFERROR(VLOOKUP(C249,TD!$B$32:$F$36,2,0)," ")</f>
        <v>O230117</v>
      </c>
      <c r="Q249" s="160" t="str">
        <f>IFERROR(VLOOKUP(C249,TD!$B$32:$F$36,3,0)," ")</f>
        <v>4503</v>
      </c>
      <c r="R249" s="160">
        <f>IFERROR(VLOOKUP(C249,TD!$B$32:$F$36,4,0)," ")</f>
        <v>20240255</v>
      </c>
      <c r="S249" s="51" t="s">
        <v>179</v>
      </c>
      <c r="T249" s="160" t="str">
        <f>IFERROR(VLOOKUP(S249,TD!$J$33:$K$43,2,0)," ")</f>
        <v>Infraestructura Tecnológica   (Sistemas de Información y Tecnologia)</v>
      </c>
      <c r="U249" s="161" t="str">
        <f>CONCATENATE(S249,"-",T249)</f>
        <v>11-Infraestructura Tecnológica   (Sistemas de Información y Tecnologia)</v>
      </c>
      <c r="V249" s="51" t="s">
        <v>235</v>
      </c>
      <c r="W249" s="160" t="str">
        <f>IFERROR(VLOOKUP(V249,TD!$N$33:$O$45,2,0)," ")</f>
        <v>"Servicio de monitoreo y seguimiento para la gestión del riesgo"</v>
      </c>
      <c r="X249" s="161" t="str">
        <f>CONCATENATE(V249,"_",W249)</f>
        <v>018_"Servicio de monitoreo y seguimiento para la gestión del riesgo"</v>
      </c>
      <c r="Y249" s="161" t="str">
        <f>CONCATENATE(U249," ",X249)</f>
        <v>11-Infraestructura Tecnológica   (Sistemas de Información y Tecnologia) 018_"Servicio de monitoreo y seguimiento para la gestión del riesgo"</v>
      </c>
      <c r="Z249" s="160" t="str">
        <f>CONCATENATE(P249,Q249,R249,S249,V249)</f>
        <v>O23011745032024025511018</v>
      </c>
      <c r="AA249" s="160" t="str">
        <f>IFERROR(VLOOKUP(Y249,TD!$K$46:$L$64,2,0)," ")</f>
        <v>PM/0131/0111/45030180255</v>
      </c>
      <c r="AB249" s="53" t="s">
        <v>138</v>
      </c>
      <c r="AC249" s="162" t="s">
        <v>204</v>
      </c>
    </row>
    <row r="250" spans="2:29" s="28" customFormat="1" ht="99" customHeight="1" x14ac:dyDescent="0.35">
      <c r="B250" s="77">
        <v>20250250</v>
      </c>
      <c r="C250" s="50" t="s">
        <v>209</v>
      </c>
      <c r="D250" s="158" t="s">
        <v>167</v>
      </c>
      <c r="E250" s="51" t="s">
        <v>527</v>
      </c>
      <c r="F250" s="158" t="s">
        <v>372</v>
      </c>
      <c r="G250" s="158" t="s">
        <v>156</v>
      </c>
      <c r="H250" s="97">
        <v>80111600</v>
      </c>
      <c r="I250" s="159">
        <v>1</v>
      </c>
      <c r="J250" s="163">
        <v>10</v>
      </c>
      <c r="K250" s="151">
        <v>0</v>
      </c>
      <c r="L250" s="154">
        <f>49500000-5500000</f>
        <v>44000000</v>
      </c>
      <c r="M250" s="158" t="s">
        <v>473</v>
      </c>
      <c r="N250" s="53" t="s">
        <v>530</v>
      </c>
      <c r="O250" s="51" t="s">
        <v>221</v>
      </c>
      <c r="P250" s="160" t="str">
        <f>IFERROR(VLOOKUP(C250,TD!$B$32:$F$36,2,0)," ")</f>
        <v>O230117</v>
      </c>
      <c r="Q250" s="160" t="str">
        <f>IFERROR(VLOOKUP(C250,TD!$B$32:$F$36,3,0)," ")</f>
        <v>4503</v>
      </c>
      <c r="R250" s="160">
        <f>IFERROR(VLOOKUP(C250,TD!$B$32:$F$36,4,0)," ")</f>
        <v>20240255</v>
      </c>
      <c r="S250" s="51" t="s">
        <v>181</v>
      </c>
      <c r="T250" s="160" t="str">
        <f>IFERROR(VLOOKUP(S250,TD!$J$33:$K$43,2,0)," ")</f>
        <v>Servicio de inspecciones técnicas realizadas</v>
      </c>
      <c r="U250" s="161" t="str">
        <f>CONCATENATE(S250,"-",T250)</f>
        <v>06-Servicio de inspecciones técnicas realizadas</v>
      </c>
      <c r="V250" s="51" t="s">
        <v>234</v>
      </c>
      <c r="W250" s="160" t="str">
        <f>IFERROR(VLOOKUP(V250,TD!$N$33:$O$45,2,0)," ")</f>
        <v>Servicio prevención y control de incendios</v>
      </c>
      <c r="X250" s="161" t="str">
        <f>CONCATENATE(V250,"_",W250)</f>
        <v>035_Servicio prevención y control de incendios</v>
      </c>
      <c r="Y250" s="161" t="str">
        <f>CONCATENATE(U250," ",X250)</f>
        <v>06-Servicio de inspecciones técnicas realizadas 035_Servicio prevención y control de incendios</v>
      </c>
      <c r="Z250" s="160" t="str">
        <f>CONCATENATE(P250,Q250,R250,S250,V250)</f>
        <v>O23011745032024025506035</v>
      </c>
      <c r="AA250" s="160" t="str">
        <f>IFERROR(VLOOKUP(Y250,TD!$K$46:$L$64,2,0)," ")</f>
        <v>PM/0131/0106/45030350255</v>
      </c>
      <c r="AB250" s="53" t="s">
        <v>138</v>
      </c>
      <c r="AC250" s="162" t="s">
        <v>204</v>
      </c>
    </row>
    <row r="251" spans="2:29" s="28" customFormat="1" ht="99" customHeight="1" x14ac:dyDescent="0.35">
      <c r="B251" s="77">
        <v>20250251</v>
      </c>
      <c r="C251" s="50" t="s">
        <v>209</v>
      </c>
      <c r="D251" s="158" t="s">
        <v>167</v>
      </c>
      <c r="E251" s="51" t="s">
        <v>527</v>
      </c>
      <c r="F251" s="158" t="s">
        <v>733</v>
      </c>
      <c r="G251" s="158" t="s">
        <v>155</v>
      </c>
      <c r="H251" s="97">
        <v>80111600</v>
      </c>
      <c r="I251" s="159">
        <v>1</v>
      </c>
      <c r="J251" s="163">
        <v>10</v>
      </c>
      <c r="K251" s="151">
        <v>0</v>
      </c>
      <c r="L251" s="154">
        <f>55000000+35000000</f>
        <v>90000000</v>
      </c>
      <c r="M251" s="158" t="s">
        <v>473</v>
      </c>
      <c r="N251" s="53" t="s">
        <v>530</v>
      </c>
      <c r="O251" s="51" t="s">
        <v>226</v>
      </c>
      <c r="P251" s="160" t="str">
        <f>IFERROR(VLOOKUP(C251,TD!$B$32:$F$36,2,0)," ")</f>
        <v>O230117</v>
      </c>
      <c r="Q251" s="160" t="str">
        <f>IFERROR(VLOOKUP(C251,TD!$B$32:$F$36,3,0)," ")</f>
        <v>4503</v>
      </c>
      <c r="R251" s="160">
        <f>IFERROR(VLOOKUP(C251,TD!$B$32:$F$36,4,0)," ")</f>
        <v>20240255</v>
      </c>
      <c r="S251" s="51" t="s">
        <v>179</v>
      </c>
      <c r="T251" s="160" t="str">
        <f>IFERROR(VLOOKUP(S251,TD!$J$33:$K$43,2,0)," ")</f>
        <v>Infraestructura Tecnológica   (Sistemas de Información y Tecnologia)</v>
      </c>
      <c r="U251" s="161" t="str">
        <f>CONCATENATE(S251,"-",T251)</f>
        <v>11-Infraestructura Tecnológica   (Sistemas de Información y Tecnologia)</v>
      </c>
      <c r="V251" s="51" t="s">
        <v>235</v>
      </c>
      <c r="W251" s="160" t="str">
        <f>IFERROR(VLOOKUP(V251,TD!$N$33:$O$45,2,0)," ")</f>
        <v>"Servicio de monitoreo y seguimiento para la gestión del riesgo"</v>
      </c>
      <c r="X251" s="161" t="str">
        <f>CONCATENATE(V251,"_",W251)</f>
        <v>018_"Servicio de monitoreo y seguimiento para la gestión del riesgo"</v>
      </c>
      <c r="Y251" s="161" t="str">
        <f>CONCATENATE(U251," ",X251)</f>
        <v>11-Infraestructura Tecnológica   (Sistemas de Información y Tecnologia) 018_"Servicio de monitoreo y seguimiento para la gestión del riesgo"</v>
      </c>
      <c r="Z251" s="160" t="str">
        <f>CONCATENATE(P251,Q251,R251,S251,V251)</f>
        <v>O23011745032024025511018</v>
      </c>
      <c r="AA251" s="160" t="str">
        <f>IFERROR(VLOOKUP(Y251,TD!$K$46:$L$64,2,0)," ")</f>
        <v>PM/0131/0111/45030180255</v>
      </c>
      <c r="AB251" s="53" t="s">
        <v>138</v>
      </c>
      <c r="AC251" s="162" t="s">
        <v>204</v>
      </c>
    </row>
    <row r="252" spans="2:29" s="28" customFormat="1" ht="99" customHeight="1" x14ac:dyDescent="0.35">
      <c r="B252" s="77">
        <v>20250252</v>
      </c>
      <c r="C252" s="50" t="s">
        <v>209</v>
      </c>
      <c r="D252" s="158" t="s">
        <v>167</v>
      </c>
      <c r="E252" s="51" t="s">
        <v>527</v>
      </c>
      <c r="F252" s="158" t="s">
        <v>539</v>
      </c>
      <c r="G252" s="158" t="s">
        <v>155</v>
      </c>
      <c r="H252" s="97">
        <v>80111600</v>
      </c>
      <c r="I252" s="159">
        <v>1</v>
      </c>
      <c r="J252" s="163">
        <v>10</v>
      </c>
      <c r="K252" s="151">
        <v>0</v>
      </c>
      <c r="L252" s="154">
        <v>60000000</v>
      </c>
      <c r="M252" s="158" t="s">
        <v>473</v>
      </c>
      <c r="N252" s="53" t="s">
        <v>530</v>
      </c>
      <c r="O252" s="51" t="s">
        <v>226</v>
      </c>
      <c r="P252" s="160" t="str">
        <f>IFERROR(VLOOKUP(C252,TD!$B$32:$F$36,2,0)," ")</f>
        <v>O230117</v>
      </c>
      <c r="Q252" s="160" t="str">
        <f>IFERROR(VLOOKUP(C252,TD!$B$32:$F$36,3,0)," ")</f>
        <v>4503</v>
      </c>
      <c r="R252" s="160">
        <f>IFERROR(VLOOKUP(C252,TD!$B$32:$F$36,4,0)," ")</f>
        <v>20240255</v>
      </c>
      <c r="S252" s="51" t="s">
        <v>179</v>
      </c>
      <c r="T252" s="160" t="str">
        <f>IFERROR(VLOOKUP(S252,TD!$J$33:$K$43,2,0)," ")</f>
        <v>Infraestructura Tecnológica   (Sistemas de Información y Tecnologia)</v>
      </c>
      <c r="U252" s="161" t="str">
        <f>CONCATENATE(S252,"-",T252)</f>
        <v>11-Infraestructura Tecnológica   (Sistemas de Información y Tecnologia)</v>
      </c>
      <c r="V252" s="51" t="s">
        <v>235</v>
      </c>
      <c r="W252" s="160" t="str">
        <f>IFERROR(VLOOKUP(V252,TD!$N$33:$O$45,2,0)," ")</f>
        <v>"Servicio de monitoreo y seguimiento para la gestión del riesgo"</v>
      </c>
      <c r="X252" s="161" t="str">
        <f>CONCATENATE(V252,"_",W252)</f>
        <v>018_"Servicio de monitoreo y seguimiento para la gestión del riesgo"</v>
      </c>
      <c r="Y252" s="161" t="str">
        <f>CONCATENATE(U252," ",X252)</f>
        <v>11-Infraestructura Tecnológica   (Sistemas de Información y Tecnologia) 018_"Servicio de monitoreo y seguimiento para la gestión del riesgo"</v>
      </c>
      <c r="Z252" s="160" t="str">
        <f>CONCATENATE(P252,Q252,R252,S252,V252)</f>
        <v>O23011745032024025511018</v>
      </c>
      <c r="AA252" s="160" t="str">
        <f>IFERROR(VLOOKUP(Y252,TD!$K$46:$L$64,2,0)," ")</f>
        <v>PM/0131/0111/45030180255</v>
      </c>
      <c r="AB252" s="53" t="s">
        <v>138</v>
      </c>
      <c r="AC252" s="162" t="s">
        <v>204</v>
      </c>
    </row>
    <row r="253" spans="2:29" s="28" customFormat="1" ht="99" customHeight="1" x14ac:dyDescent="0.35">
      <c r="B253" s="77">
        <v>20250253</v>
      </c>
      <c r="C253" s="50" t="s">
        <v>209</v>
      </c>
      <c r="D253" s="158" t="s">
        <v>167</v>
      </c>
      <c r="E253" s="51" t="s">
        <v>527</v>
      </c>
      <c r="F253" s="158" t="s">
        <v>539</v>
      </c>
      <c r="G253" s="158" t="s">
        <v>155</v>
      </c>
      <c r="H253" s="97">
        <v>80111600</v>
      </c>
      <c r="I253" s="159">
        <v>1</v>
      </c>
      <c r="J253" s="163">
        <v>10</v>
      </c>
      <c r="K253" s="151">
        <v>0</v>
      </c>
      <c r="L253" s="154">
        <f>33000000+7000000+10000000</f>
        <v>50000000</v>
      </c>
      <c r="M253" s="158" t="s">
        <v>473</v>
      </c>
      <c r="N253" s="53" t="s">
        <v>530</v>
      </c>
      <c r="O253" s="51" t="s">
        <v>226</v>
      </c>
      <c r="P253" s="160" t="str">
        <f>IFERROR(VLOOKUP(C253,TD!$B$32:$F$36,2,0)," ")</f>
        <v>O230117</v>
      </c>
      <c r="Q253" s="160" t="str">
        <f>IFERROR(VLOOKUP(C253,TD!$B$32:$F$36,3,0)," ")</f>
        <v>4503</v>
      </c>
      <c r="R253" s="160">
        <f>IFERROR(VLOOKUP(C253,TD!$B$32:$F$36,4,0)," ")</f>
        <v>20240255</v>
      </c>
      <c r="S253" s="51" t="s">
        <v>179</v>
      </c>
      <c r="T253" s="160" t="str">
        <f>IFERROR(VLOOKUP(S253,TD!$J$33:$K$43,2,0)," ")</f>
        <v>Infraestructura Tecnológica   (Sistemas de Información y Tecnologia)</v>
      </c>
      <c r="U253" s="161" t="str">
        <f>CONCATENATE(S253,"-",T253)</f>
        <v>11-Infraestructura Tecnológica   (Sistemas de Información y Tecnologia)</v>
      </c>
      <c r="V253" s="51" t="s">
        <v>235</v>
      </c>
      <c r="W253" s="160" t="str">
        <f>IFERROR(VLOOKUP(V253,TD!$N$33:$O$45,2,0)," ")</f>
        <v>"Servicio de monitoreo y seguimiento para la gestión del riesgo"</v>
      </c>
      <c r="X253" s="161" t="str">
        <f>CONCATENATE(V253,"_",W253)</f>
        <v>018_"Servicio de monitoreo y seguimiento para la gestión del riesgo"</v>
      </c>
      <c r="Y253" s="161" t="str">
        <f>CONCATENATE(U253," ",X253)</f>
        <v>11-Infraestructura Tecnológica   (Sistemas de Información y Tecnologia) 018_"Servicio de monitoreo y seguimiento para la gestión del riesgo"</v>
      </c>
      <c r="Z253" s="160" t="str">
        <f>CONCATENATE(P253,Q253,R253,S253,V253)</f>
        <v>O23011745032024025511018</v>
      </c>
      <c r="AA253" s="160" t="str">
        <f>IFERROR(VLOOKUP(Y253,TD!$K$46:$L$64,2,0)," ")</f>
        <v>PM/0131/0111/45030180255</v>
      </c>
      <c r="AB253" s="53" t="s">
        <v>138</v>
      </c>
      <c r="AC253" s="162" t="s">
        <v>204</v>
      </c>
    </row>
    <row r="254" spans="2:29" s="28" customFormat="1" ht="99" customHeight="1" x14ac:dyDescent="0.35">
      <c r="B254" s="77">
        <v>20250254</v>
      </c>
      <c r="C254" s="50" t="s">
        <v>209</v>
      </c>
      <c r="D254" s="158" t="s">
        <v>167</v>
      </c>
      <c r="E254" s="51" t="s">
        <v>527</v>
      </c>
      <c r="F254" s="158" t="s">
        <v>539</v>
      </c>
      <c r="G254" s="158" t="s">
        <v>155</v>
      </c>
      <c r="H254" s="97">
        <v>80111600</v>
      </c>
      <c r="I254" s="159">
        <v>1</v>
      </c>
      <c r="J254" s="163">
        <v>10</v>
      </c>
      <c r="K254" s="151">
        <v>0</v>
      </c>
      <c r="L254" s="154">
        <f>33000000+7000000+10000000</f>
        <v>50000000</v>
      </c>
      <c r="M254" s="158" t="s">
        <v>473</v>
      </c>
      <c r="N254" s="53" t="s">
        <v>530</v>
      </c>
      <c r="O254" s="51" t="s">
        <v>226</v>
      </c>
      <c r="P254" s="160" t="str">
        <f>IFERROR(VLOOKUP(C254,TD!$B$32:$F$36,2,0)," ")</f>
        <v>O230117</v>
      </c>
      <c r="Q254" s="160" t="str">
        <f>IFERROR(VLOOKUP(C254,TD!$B$32:$F$36,3,0)," ")</f>
        <v>4503</v>
      </c>
      <c r="R254" s="160">
        <f>IFERROR(VLOOKUP(C254,TD!$B$32:$F$36,4,0)," ")</f>
        <v>20240255</v>
      </c>
      <c r="S254" s="51" t="s">
        <v>179</v>
      </c>
      <c r="T254" s="160" t="str">
        <f>IFERROR(VLOOKUP(S254,TD!$J$33:$K$43,2,0)," ")</f>
        <v>Infraestructura Tecnológica   (Sistemas de Información y Tecnologia)</v>
      </c>
      <c r="U254" s="161" t="str">
        <f>CONCATENATE(S254,"-",T254)</f>
        <v>11-Infraestructura Tecnológica   (Sistemas de Información y Tecnologia)</v>
      </c>
      <c r="V254" s="51" t="s">
        <v>235</v>
      </c>
      <c r="W254" s="160" t="str">
        <f>IFERROR(VLOOKUP(V254,TD!$N$33:$O$45,2,0)," ")</f>
        <v>"Servicio de monitoreo y seguimiento para la gestión del riesgo"</v>
      </c>
      <c r="X254" s="161" t="str">
        <f>CONCATENATE(V254,"_",W254)</f>
        <v>018_"Servicio de monitoreo y seguimiento para la gestión del riesgo"</v>
      </c>
      <c r="Y254" s="161" t="str">
        <f>CONCATENATE(U254," ",X254)</f>
        <v>11-Infraestructura Tecnológica   (Sistemas de Información y Tecnologia) 018_"Servicio de monitoreo y seguimiento para la gestión del riesgo"</v>
      </c>
      <c r="Z254" s="160" t="str">
        <f>CONCATENATE(P254,Q254,R254,S254,V254)</f>
        <v>O23011745032024025511018</v>
      </c>
      <c r="AA254" s="160" t="str">
        <f>IFERROR(VLOOKUP(Y254,TD!$K$46:$L$64,2,0)," ")</f>
        <v>PM/0131/0111/45030180255</v>
      </c>
      <c r="AB254" s="53" t="s">
        <v>138</v>
      </c>
      <c r="AC254" s="162" t="s">
        <v>204</v>
      </c>
    </row>
    <row r="255" spans="2:29" s="28" customFormat="1" ht="99" customHeight="1" x14ac:dyDescent="0.35">
      <c r="B255" s="77">
        <v>20250259</v>
      </c>
      <c r="C255" s="50" t="s">
        <v>209</v>
      </c>
      <c r="D255" s="158" t="s">
        <v>167</v>
      </c>
      <c r="E255" s="51" t="s">
        <v>527</v>
      </c>
      <c r="F255" s="158" t="s">
        <v>374</v>
      </c>
      <c r="G255" s="158" t="s">
        <v>156</v>
      </c>
      <c r="H255" s="97">
        <v>80111600</v>
      </c>
      <c r="I255" s="159">
        <v>1</v>
      </c>
      <c r="J255" s="163">
        <v>10</v>
      </c>
      <c r="K255" s="151">
        <v>0</v>
      </c>
      <c r="L255" s="154">
        <f>33000000+2000000</f>
        <v>35000000</v>
      </c>
      <c r="M255" s="158" t="s">
        <v>473</v>
      </c>
      <c r="N255" s="53" t="s">
        <v>530</v>
      </c>
      <c r="O255" s="51" t="s">
        <v>226</v>
      </c>
      <c r="P255" s="160" t="str">
        <f>IFERROR(VLOOKUP(C255,TD!$B$32:$F$36,2,0)," ")</f>
        <v>O230117</v>
      </c>
      <c r="Q255" s="160" t="str">
        <f>IFERROR(VLOOKUP(C255,TD!$B$32:$F$36,3,0)," ")</f>
        <v>4503</v>
      </c>
      <c r="R255" s="160">
        <f>IFERROR(VLOOKUP(C255,TD!$B$32:$F$36,4,0)," ")</f>
        <v>20240255</v>
      </c>
      <c r="S255" s="51" t="s">
        <v>179</v>
      </c>
      <c r="T255" s="160" t="str">
        <f>IFERROR(VLOOKUP(S255,TD!$J$33:$K$43,2,0)," ")</f>
        <v>Infraestructura Tecnológica   (Sistemas de Información y Tecnologia)</v>
      </c>
      <c r="U255" s="161" t="str">
        <f>CONCATENATE(S255,"-",T255)</f>
        <v>11-Infraestructura Tecnológica   (Sistemas de Información y Tecnologia)</v>
      </c>
      <c r="V255" s="51" t="s">
        <v>235</v>
      </c>
      <c r="W255" s="160" t="str">
        <f>IFERROR(VLOOKUP(V255,TD!$N$33:$O$45,2,0)," ")</f>
        <v>"Servicio de monitoreo y seguimiento para la gestión del riesgo"</v>
      </c>
      <c r="X255" s="161" t="str">
        <f>CONCATENATE(V255,"_",W255)</f>
        <v>018_"Servicio de monitoreo y seguimiento para la gestión del riesgo"</v>
      </c>
      <c r="Y255" s="161" t="str">
        <f>CONCATENATE(U255," ",X255)</f>
        <v>11-Infraestructura Tecnológica   (Sistemas de Información y Tecnologia) 018_"Servicio de monitoreo y seguimiento para la gestión del riesgo"</v>
      </c>
      <c r="Z255" s="160" t="str">
        <f>CONCATENATE(P255,Q255,R255,S255,V255)</f>
        <v>O23011745032024025511018</v>
      </c>
      <c r="AA255" s="160" t="str">
        <f>IFERROR(VLOOKUP(Y255,TD!$K$46:$L$64,2,0)," ")</f>
        <v>PM/0131/0111/45030180255</v>
      </c>
      <c r="AB255" s="53" t="s">
        <v>138</v>
      </c>
      <c r="AC255" s="162" t="s">
        <v>204</v>
      </c>
    </row>
    <row r="256" spans="2:29" s="28" customFormat="1" ht="99" customHeight="1" x14ac:dyDescent="0.35">
      <c r="B256" s="77">
        <v>20250260</v>
      </c>
      <c r="C256" s="50" t="s">
        <v>209</v>
      </c>
      <c r="D256" s="158" t="s">
        <v>167</v>
      </c>
      <c r="E256" s="51" t="s">
        <v>527</v>
      </c>
      <c r="F256" s="158" t="s">
        <v>734</v>
      </c>
      <c r="G256" s="158" t="s">
        <v>155</v>
      </c>
      <c r="H256" s="97">
        <v>80111600</v>
      </c>
      <c r="I256" s="159">
        <v>1</v>
      </c>
      <c r="J256" s="163">
        <v>11</v>
      </c>
      <c r="K256" s="151">
        <v>0</v>
      </c>
      <c r="L256" s="154">
        <f>77000000+11000000</f>
        <v>88000000</v>
      </c>
      <c r="M256" s="158" t="s">
        <v>473</v>
      </c>
      <c r="N256" s="53" t="s">
        <v>530</v>
      </c>
      <c r="O256" s="51" t="s">
        <v>221</v>
      </c>
      <c r="P256" s="160" t="str">
        <f>IFERROR(VLOOKUP(C256,TD!$B$32:$F$36,2,0)," ")</f>
        <v>O230117</v>
      </c>
      <c r="Q256" s="160" t="str">
        <f>IFERROR(VLOOKUP(C256,TD!$B$32:$F$36,3,0)," ")</f>
        <v>4503</v>
      </c>
      <c r="R256" s="160">
        <f>IFERROR(VLOOKUP(C256,TD!$B$32:$F$36,4,0)," ")</f>
        <v>20240255</v>
      </c>
      <c r="S256" s="51" t="s">
        <v>177</v>
      </c>
      <c r="T256" s="160" t="str">
        <f>IFERROR(VLOOKUP(S256,TD!$J$33:$K$43,2,0)," ")</f>
        <v>Servicio de capacitaciones en gestión del riesgo de incendios  a la ciudadania.</v>
      </c>
      <c r="U256" s="161" t="str">
        <f>CONCATENATE(S256,"-",T256)</f>
        <v>05-Servicio de capacitaciones en gestión del riesgo de incendios  a la ciudadania.</v>
      </c>
      <c r="V256" s="51" t="s">
        <v>234</v>
      </c>
      <c r="W256" s="160" t="str">
        <f>IFERROR(VLOOKUP(V256,TD!$N$33:$O$45,2,0)," ")</f>
        <v>Servicio prevención y control de incendios</v>
      </c>
      <c r="X256" s="161" t="str">
        <f>CONCATENATE(V256,"_",W256)</f>
        <v>035_Servicio prevención y control de incendios</v>
      </c>
      <c r="Y256" s="161" t="str">
        <f>CONCATENATE(U256," ",X256)</f>
        <v>05-Servicio de capacitaciones en gestión del riesgo de incendios  a la ciudadania. 035_Servicio prevención y control de incendios</v>
      </c>
      <c r="Z256" s="160" t="str">
        <f>CONCATENATE(P256,Q256,R256,S256,V256)</f>
        <v>O23011745032024025505035</v>
      </c>
      <c r="AA256" s="160" t="str">
        <f>IFERROR(VLOOKUP(Y256,TD!$K$46:$L$64,2,0)," ")</f>
        <v>PM/0131/0105/45030350255</v>
      </c>
      <c r="AB256" s="53" t="s">
        <v>138</v>
      </c>
      <c r="AC256" s="162" t="s">
        <v>204</v>
      </c>
    </row>
    <row r="257" spans="2:29" s="28" customFormat="1" ht="99" customHeight="1" x14ac:dyDescent="0.35">
      <c r="B257" s="77">
        <v>20250261</v>
      </c>
      <c r="C257" s="50" t="s">
        <v>209</v>
      </c>
      <c r="D257" s="158" t="s">
        <v>167</v>
      </c>
      <c r="E257" s="51" t="s">
        <v>527</v>
      </c>
      <c r="F257" s="158" t="s">
        <v>540</v>
      </c>
      <c r="G257" s="158" t="s">
        <v>155</v>
      </c>
      <c r="H257" s="97">
        <v>80111600</v>
      </c>
      <c r="I257" s="159">
        <v>1</v>
      </c>
      <c r="J257" s="163">
        <v>10</v>
      </c>
      <c r="K257" s="151">
        <v>0</v>
      </c>
      <c r="L257" s="154">
        <f>77000000-27000000</f>
        <v>50000000</v>
      </c>
      <c r="M257" s="158" t="s">
        <v>473</v>
      </c>
      <c r="N257" s="53" t="s">
        <v>530</v>
      </c>
      <c r="O257" s="51" t="s">
        <v>221</v>
      </c>
      <c r="P257" s="160" t="str">
        <f>IFERROR(VLOOKUP(C257,TD!$B$32:$F$36,2,0)," ")</f>
        <v>O230117</v>
      </c>
      <c r="Q257" s="160" t="str">
        <f>IFERROR(VLOOKUP(C257,TD!$B$32:$F$36,3,0)," ")</f>
        <v>4503</v>
      </c>
      <c r="R257" s="160">
        <f>IFERROR(VLOOKUP(C257,TD!$B$32:$F$36,4,0)," ")</f>
        <v>20240255</v>
      </c>
      <c r="S257" s="51" t="s">
        <v>177</v>
      </c>
      <c r="T257" s="160" t="str">
        <f>IFERROR(VLOOKUP(S257,TD!$J$33:$K$43,2,0)," ")</f>
        <v>Servicio de capacitaciones en gestión del riesgo de incendios  a la ciudadania.</v>
      </c>
      <c r="U257" s="161" t="str">
        <f>CONCATENATE(S257,"-",T257)</f>
        <v>05-Servicio de capacitaciones en gestión del riesgo de incendios  a la ciudadania.</v>
      </c>
      <c r="V257" s="51" t="s">
        <v>234</v>
      </c>
      <c r="W257" s="160" t="str">
        <f>IFERROR(VLOOKUP(V257,TD!$N$33:$O$45,2,0)," ")</f>
        <v>Servicio prevención y control de incendios</v>
      </c>
      <c r="X257" s="161" t="str">
        <f>CONCATENATE(V257,"_",W257)</f>
        <v>035_Servicio prevención y control de incendios</v>
      </c>
      <c r="Y257" s="161" t="str">
        <f>CONCATENATE(U257," ",X257)</f>
        <v>05-Servicio de capacitaciones en gestión del riesgo de incendios  a la ciudadania. 035_Servicio prevención y control de incendios</v>
      </c>
      <c r="Z257" s="160" t="str">
        <f>CONCATENATE(P257,Q257,R257,S257,V257)</f>
        <v>O23011745032024025505035</v>
      </c>
      <c r="AA257" s="160" t="str">
        <f>IFERROR(VLOOKUP(Y257,TD!$K$46:$L$64,2,0)," ")</f>
        <v>PM/0131/0105/45030350255</v>
      </c>
      <c r="AB257" s="53" t="s">
        <v>138</v>
      </c>
      <c r="AC257" s="162" t="s">
        <v>204</v>
      </c>
    </row>
    <row r="258" spans="2:29" s="28" customFormat="1" ht="99" customHeight="1" x14ac:dyDescent="0.35">
      <c r="B258" s="77">
        <v>20250262</v>
      </c>
      <c r="C258" s="50" t="s">
        <v>209</v>
      </c>
      <c r="D258" s="158" t="s">
        <v>167</v>
      </c>
      <c r="E258" s="51" t="s">
        <v>527</v>
      </c>
      <c r="F258" s="158" t="s">
        <v>540</v>
      </c>
      <c r="G258" s="158" t="s">
        <v>155</v>
      </c>
      <c r="H258" s="97">
        <v>80111600</v>
      </c>
      <c r="I258" s="159">
        <v>1</v>
      </c>
      <c r="J258" s="163">
        <v>10</v>
      </c>
      <c r="K258" s="151">
        <v>0</v>
      </c>
      <c r="L258" s="154">
        <f>55000000-5000000</f>
        <v>50000000</v>
      </c>
      <c r="M258" s="158" t="s">
        <v>473</v>
      </c>
      <c r="N258" s="53" t="s">
        <v>530</v>
      </c>
      <c r="O258" s="51" t="s">
        <v>221</v>
      </c>
      <c r="P258" s="160" t="str">
        <f>IFERROR(VLOOKUP(C258,TD!$B$32:$F$36,2,0)," ")</f>
        <v>O230117</v>
      </c>
      <c r="Q258" s="160" t="str">
        <f>IFERROR(VLOOKUP(C258,TD!$B$32:$F$36,3,0)," ")</f>
        <v>4503</v>
      </c>
      <c r="R258" s="160">
        <f>IFERROR(VLOOKUP(C258,TD!$B$32:$F$36,4,0)," ")</f>
        <v>20240255</v>
      </c>
      <c r="S258" s="51" t="s">
        <v>177</v>
      </c>
      <c r="T258" s="160" t="str">
        <f>IFERROR(VLOOKUP(S258,TD!$J$33:$K$43,2,0)," ")</f>
        <v>Servicio de capacitaciones en gestión del riesgo de incendios  a la ciudadania.</v>
      </c>
      <c r="U258" s="161" t="str">
        <f>CONCATENATE(S258,"-",T258)</f>
        <v>05-Servicio de capacitaciones en gestión del riesgo de incendios  a la ciudadania.</v>
      </c>
      <c r="V258" s="51" t="s">
        <v>234</v>
      </c>
      <c r="W258" s="160" t="str">
        <f>IFERROR(VLOOKUP(V258,TD!$N$33:$O$45,2,0)," ")</f>
        <v>Servicio prevención y control de incendios</v>
      </c>
      <c r="X258" s="161" t="str">
        <f>CONCATENATE(V258,"_",W258)</f>
        <v>035_Servicio prevención y control de incendios</v>
      </c>
      <c r="Y258" s="161" t="str">
        <f>CONCATENATE(U258," ",X258)</f>
        <v>05-Servicio de capacitaciones en gestión del riesgo de incendios  a la ciudadania. 035_Servicio prevención y control de incendios</v>
      </c>
      <c r="Z258" s="160" t="str">
        <f>CONCATENATE(P258,Q258,R258,S258,V258)</f>
        <v>O23011745032024025505035</v>
      </c>
      <c r="AA258" s="160" t="str">
        <f>IFERROR(VLOOKUP(Y258,TD!$K$46:$L$64,2,0)," ")</f>
        <v>PM/0131/0105/45030350255</v>
      </c>
      <c r="AB258" s="53" t="s">
        <v>138</v>
      </c>
      <c r="AC258" s="162" t="s">
        <v>204</v>
      </c>
    </row>
    <row r="259" spans="2:29" s="28" customFormat="1" ht="99" customHeight="1" x14ac:dyDescent="0.35">
      <c r="B259" s="77">
        <v>20250263</v>
      </c>
      <c r="C259" s="50" t="s">
        <v>209</v>
      </c>
      <c r="D259" s="158" t="s">
        <v>167</v>
      </c>
      <c r="E259" s="51" t="s">
        <v>527</v>
      </c>
      <c r="F259" s="158" t="s">
        <v>541</v>
      </c>
      <c r="G259" s="158" t="s">
        <v>156</v>
      </c>
      <c r="H259" s="97">
        <v>80111600</v>
      </c>
      <c r="I259" s="159">
        <v>1</v>
      </c>
      <c r="J259" s="163">
        <v>10</v>
      </c>
      <c r="K259" s="151">
        <v>0</v>
      </c>
      <c r="L259" s="154">
        <f>55000000-20000000</f>
        <v>35000000</v>
      </c>
      <c r="M259" s="158" t="s">
        <v>473</v>
      </c>
      <c r="N259" s="53" t="s">
        <v>530</v>
      </c>
      <c r="O259" s="51" t="s">
        <v>221</v>
      </c>
      <c r="P259" s="160" t="str">
        <f>IFERROR(VLOOKUP(C259,TD!$B$32:$F$36,2,0)," ")</f>
        <v>O230117</v>
      </c>
      <c r="Q259" s="160" t="str">
        <f>IFERROR(VLOOKUP(C259,TD!$B$32:$F$36,3,0)," ")</f>
        <v>4503</v>
      </c>
      <c r="R259" s="160">
        <f>IFERROR(VLOOKUP(C259,TD!$B$32:$F$36,4,0)," ")</f>
        <v>20240255</v>
      </c>
      <c r="S259" s="51" t="s">
        <v>177</v>
      </c>
      <c r="T259" s="160" t="str">
        <f>IFERROR(VLOOKUP(S259,TD!$J$33:$K$43,2,0)," ")</f>
        <v>Servicio de capacitaciones en gestión del riesgo de incendios  a la ciudadania.</v>
      </c>
      <c r="U259" s="161" t="str">
        <f>CONCATENATE(S259,"-",T259)</f>
        <v>05-Servicio de capacitaciones en gestión del riesgo de incendios  a la ciudadania.</v>
      </c>
      <c r="V259" s="51" t="s">
        <v>234</v>
      </c>
      <c r="W259" s="160" t="str">
        <f>IFERROR(VLOOKUP(V259,TD!$N$33:$O$45,2,0)," ")</f>
        <v>Servicio prevención y control de incendios</v>
      </c>
      <c r="X259" s="161" t="str">
        <f>CONCATENATE(V259,"_",W259)</f>
        <v>035_Servicio prevención y control de incendios</v>
      </c>
      <c r="Y259" s="161" t="str">
        <f>CONCATENATE(U259," ",X259)</f>
        <v>05-Servicio de capacitaciones en gestión del riesgo de incendios  a la ciudadania. 035_Servicio prevención y control de incendios</v>
      </c>
      <c r="Z259" s="160" t="str">
        <f>CONCATENATE(P259,Q259,R259,S259,V259)</f>
        <v>O23011745032024025505035</v>
      </c>
      <c r="AA259" s="160" t="str">
        <f>IFERROR(VLOOKUP(Y259,TD!$K$46:$L$64,2,0)," ")</f>
        <v>PM/0131/0105/45030350255</v>
      </c>
      <c r="AB259" s="53" t="s">
        <v>138</v>
      </c>
      <c r="AC259" s="162" t="s">
        <v>204</v>
      </c>
    </row>
    <row r="260" spans="2:29" s="28" customFormat="1" ht="99" customHeight="1" x14ac:dyDescent="0.35">
      <c r="B260" s="77">
        <v>20250264</v>
      </c>
      <c r="C260" s="50" t="s">
        <v>209</v>
      </c>
      <c r="D260" s="158" t="s">
        <v>167</v>
      </c>
      <c r="E260" s="51" t="s">
        <v>527</v>
      </c>
      <c r="F260" s="158" t="s">
        <v>541</v>
      </c>
      <c r="G260" s="158" t="s">
        <v>156</v>
      </c>
      <c r="H260" s="97">
        <v>80111600</v>
      </c>
      <c r="I260" s="159">
        <v>1</v>
      </c>
      <c r="J260" s="163">
        <v>10</v>
      </c>
      <c r="K260" s="151">
        <v>0</v>
      </c>
      <c r="L260" s="154">
        <f>44000000-9000000</f>
        <v>35000000</v>
      </c>
      <c r="M260" s="158" t="s">
        <v>473</v>
      </c>
      <c r="N260" s="53" t="s">
        <v>530</v>
      </c>
      <c r="O260" s="51" t="s">
        <v>221</v>
      </c>
      <c r="P260" s="160" t="str">
        <f>IFERROR(VLOOKUP(C260,TD!$B$32:$F$36,2,0)," ")</f>
        <v>O230117</v>
      </c>
      <c r="Q260" s="160" t="str">
        <f>IFERROR(VLOOKUP(C260,TD!$B$32:$F$36,3,0)," ")</f>
        <v>4503</v>
      </c>
      <c r="R260" s="160">
        <f>IFERROR(VLOOKUP(C260,TD!$B$32:$F$36,4,0)," ")</f>
        <v>20240255</v>
      </c>
      <c r="S260" s="51" t="s">
        <v>177</v>
      </c>
      <c r="T260" s="160" t="str">
        <f>IFERROR(VLOOKUP(S260,TD!$J$33:$K$43,2,0)," ")</f>
        <v>Servicio de capacitaciones en gestión del riesgo de incendios  a la ciudadania.</v>
      </c>
      <c r="U260" s="161" t="str">
        <f>CONCATENATE(S260,"-",T260)</f>
        <v>05-Servicio de capacitaciones en gestión del riesgo de incendios  a la ciudadania.</v>
      </c>
      <c r="V260" s="51" t="s">
        <v>234</v>
      </c>
      <c r="W260" s="160" t="str">
        <f>IFERROR(VLOOKUP(V260,TD!$N$33:$O$45,2,0)," ")</f>
        <v>Servicio prevención y control de incendios</v>
      </c>
      <c r="X260" s="161" t="str">
        <f>CONCATENATE(V260,"_",W260)</f>
        <v>035_Servicio prevención y control de incendios</v>
      </c>
      <c r="Y260" s="161" t="str">
        <f>CONCATENATE(U260," ",X260)</f>
        <v>05-Servicio de capacitaciones en gestión del riesgo de incendios  a la ciudadania. 035_Servicio prevención y control de incendios</v>
      </c>
      <c r="Z260" s="160" t="str">
        <f>CONCATENATE(P260,Q260,R260,S260,V260)</f>
        <v>O23011745032024025505035</v>
      </c>
      <c r="AA260" s="160" t="str">
        <f>IFERROR(VLOOKUP(Y260,TD!$K$46:$L$64,2,0)," ")</f>
        <v>PM/0131/0105/45030350255</v>
      </c>
      <c r="AB260" s="53" t="s">
        <v>138</v>
      </c>
      <c r="AC260" s="162" t="s">
        <v>204</v>
      </c>
    </row>
    <row r="261" spans="2:29" s="28" customFormat="1" ht="99" customHeight="1" x14ac:dyDescent="0.35">
      <c r="B261" s="77">
        <v>20250265</v>
      </c>
      <c r="C261" s="50" t="s">
        <v>209</v>
      </c>
      <c r="D261" s="158" t="s">
        <v>167</v>
      </c>
      <c r="E261" s="51" t="s">
        <v>527</v>
      </c>
      <c r="F261" s="158" t="s">
        <v>541</v>
      </c>
      <c r="G261" s="158" t="s">
        <v>156</v>
      </c>
      <c r="H261" s="97">
        <v>80111600</v>
      </c>
      <c r="I261" s="159">
        <v>1</v>
      </c>
      <c r="J261" s="163">
        <v>10</v>
      </c>
      <c r="K261" s="151">
        <v>0</v>
      </c>
      <c r="L261" s="154">
        <f>44000000-9000000</f>
        <v>35000000</v>
      </c>
      <c r="M261" s="158" t="s">
        <v>473</v>
      </c>
      <c r="N261" s="53" t="s">
        <v>530</v>
      </c>
      <c r="O261" s="51" t="s">
        <v>221</v>
      </c>
      <c r="P261" s="160" t="str">
        <f>IFERROR(VLOOKUP(C261,TD!$B$32:$F$36,2,0)," ")</f>
        <v>O230117</v>
      </c>
      <c r="Q261" s="160" t="str">
        <f>IFERROR(VLOOKUP(C261,TD!$B$32:$F$36,3,0)," ")</f>
        <v>4503</v>
      </c>
      <c r="R261" s="160">
        <f>IFERROR(VLOOKUP(C261,TD!$B$32:$F$36,4,0)," ")</f>
        <v>20240255</v>
      </c>
      <c r="S261" s="51" t="s">
        <v>177</v>
      </c>
      <c r="T261" s="160" t="str">
        <f>IFERROR(VLOOKUP(S261,TD!$J$33:$K$43,2,0)," ")</f>
        <v>Servicio de capacitaciones en gestión del riesgo de incendios  a la ciudadania.</v>
      </c>
      <c r="U261" s="161" t="str">
        <f>CONCATENATE(S261,"-",T261)</f>
        <v>05-Servicio de capacitaciones en gestión del riesgo de incendios  a la ciudadania.</v>
      </c>
      <c r="V261" s="51" t="s">
        <v>234</v>
      </c>
      <c r="W261" s="160" t="str">
        <f>IFERROR(VLOOKUP(V261,TD!$N$33:$O$45,2,0)," ")</f>
        <v>Servicio prevención y control de incendios</v>
      </c>
      <c r="X261" s="161" t="str">
        <f>CONCATENATE(V261,"_",W261)</f>
        <v>035_Servicio prevención y control de incendios</v>
      </c>
      <c r="Y261" s="161" t="str">
        <f>CONCATENATE(U261," ",X261)</f>
        <v>05-Servicio de capacitaciones en gestión del riesgo de incendios  a la ciudadania. 035_Servicio prevención y control de incendios</v>
      </c>
      <c r="Z261" s="160" t="str">
        <f>CONCATENATE(P261,Q261,R261,S261,V261)</f>
        <v>O23011745032024025505035</v>
      </c>
      <c r="AA261" s="160" t="str">
        <f>IFERROR(VLOOKUP(Y261,TD!$K$46:$L$64,2,0)," ")</f>
        <v>PM/0131/0105/45030350255</v>
      </c>
      <c r="AB261" s="53" t="s">
        <v>138</v>
      </c>
      <c r="AC261" s="162" t="s">
        <v>204</v>
      </c>
    </row>
    <row r="262" spans="2:29" s="28" customFormat="1" ht="99" customHeight="1" x14ac:dyDescent="0.35">
      <c r="B262" s="186">
        <v>20250266</v>
      </c>
      <c r="C262" s="187" t="s">
        <v>209</v>
      </c>
      <c r="D262" s="188" t="s">
        <v>167</v>
      </c>
      <c r="E262" s="189" t="s">
        <v>527</v>
      </c>
      <c r="F262" s="188" t="s">
        <v>369</v>
      </c>
      <c r="G262" s="188" t="s">
        <v>133</v>
      </c>
      <c r="H262" s="190" t="s">
        <v>375</v>
      </c>
      <c r="I262" s="191">
        <v>1</v>
      </c>
      <c r="J262" s="202">
        <v>10</v>
      </c>
      <c r="K262" s="203">
        <v>0</v>
      </c>
      <c r="L262" s="204">
        <f>500000000+356000000-210000000-6000000</f>
        <v>640000000</v>
      </c>
      <c r="M262" s="188" t="s">
        <v>473</v>
      </c>
      <c r="N262" s="194" t="s">
        <v>90</v>
      </c>
      <c r="O262" s="189" t="s">
        <v>221</v>
      </c>
      <c r="P262" s="195" t="str">
        <f>IFERROR(VLOOKUP(C262,TD!$B$32:$F$36,2,0)," ")</f>
        <v>O230117</v>
      </c>
      <c r="Q262" s="195" t="str">
        <f>IFERROR(VLOOKUP(C262,TD!$B$32:$F$36,3,0)," ")</f>
        <v>4503</v>
      </c>
      <c r="R262" s="195">
        <f>IFERROR(VLOOKUP(C262,TD!$B$32:$F$36,4,0)," ")</f>
        <v>20240255</v>
      </c>
      <c r="S262" s="189" t="s">
        <v>177</v>
      </c>
      <c r="T262" s="195" t="str">
        <f>IFERROR(VLOOKUP(S262,TD!$J$33:$K$43,2,0)," ")</f>
        <v>Servicio de capacitaciones en gestión del riesgo de incendios  a la ciudadania.</v>
      </c>
      <c r="U262" s="161" t="str">
        <f>CONCATENATE(S262,"-",T262)</f>
        <v>05-Servicio de capacitaciones en gestión del riesgo de incendios  a la ciudadania.</v>
      </c>
      <c r="V262" s="189" t="s">
        <v>233</v>
      </c>
      <c r="W262" s="195" t="str">
        <f>IFERROR(VLOOKUP(V262,TD!$N$33:$O$45,2,0)," ")</f>
        <v>Servicio de educación informal</v>
      </c>
      <c r="X262" s="161" t="str">
        <f>CONCATENATE(V262,"_",W262)</f>
        <v>002_Servicio de educación informal</v>
      </c>
      <c r="Y262" s="161" t="str">
        <f>CONCATENATE(U262," ",X262)</f>
        <v>05-Servicio de capacitaciones en gestión del riesgo de incendios  a la ciudadania. 002_Servicio de educación informal</v>
      </c>
      <c r="Z262" s="195" t="str">
        <f>CONCATENATE(P262,Q262,R262,S262,V262)</f>
        <v>O23011745032024025505002</v>
      </c>
      <c r="AA262" s="195" t="str">
        <f>IFERROR(VLOOKUP(Y262,TD!$K$46:$L$64,2,0)," ")</f>
        <v>PM/0131/0105/45030020255</v>
      </c>
      <c r="AB262" s="194" t="s">
        <v>138</v>
      </c>
      <c r="AC262" s="196" t="s">
        <v>204</v>
      </c>
    </row>
    <row r="263" spans="2:29" s="28" customFormat="1" ht="99" customHeight="1" x14ac:dyDescent="0.35">
      <c r="B263" s="197">
        <v>20250267</v>
      </c>
      <c r="C263" s="198" t="s">
        <v>209</v>
      </c>
      <c r="D263" s="199" t="s">
        <v>167</v>
      </c>
      <c r="E263" s="200" t="s">
        <v>527</v>
      </c>
      <c r="F263" s="199" t="s">
        <v>542</v>
      </c>
      <c r="G263" s="199" t="s">
        <v>133</v>
      </c>
      <c r="H263" s="201" t="s">
        <v>543</v>
      </c>
      <c r="I263" s="202">
        <v>1</v>
      </c>
      <c r="J263" s="202">
        <v>12</v>
      </c>
      <c r="K263" s="203">
        <v>0</v>
      </c>
      <c r="L263" s="204">
        <f>107000000+10000000+120000000+170000000-190000000+6000000</f>
        <v>223000000</v>
      </c>
      <c r="M263" s="199" t="s">
        <v>473</v>
      </c>
      <c r="N263" s="205" t="s">
        <v>90</v>
      </c>
      <c r="O263" s="200" t="s">
        <v>221</v>
      </c>
      <c r="P263" s="206" t="str">
        <f>IFERROR(VLOOKUP(C263,TD!$B$32:$F$36,2,0)," ")</f>
        <v>O230117</v>
      </c>
      <c r="Q263" s="206" t="str">
        <f>IFERROR(VLOOKUP(C263,TD!$B$32:$F$36,3,0)," ")</f>
        <v>4503</v>
      </c>
      <c r="R263" s="206">
        <f>IFERROR(VLOOKUP(C263,TD!$B$32:$F$36,4,0)," ")</f>
        <v>20240255</v>
      </c>
      <c r="S263" s="200" t="s">
        <v>179</v>
      </c>
      <c r="T263" s="206" t="str">
        <f>IFERROR(VLOOKUP(S263,TD!$J$33:$K$43,2,0)," ")</f>
        <v>Infraestructura Tecnológica   (Sistemas de Información y Tecnologia)</v>
      </c>
      <c r="U263" s="161" t="str">
        <f>CONCATENATE(S263,"-",T263)</f>
        <v>11-Infraestructura Tecnológica   (Sistemas de Información y Tecnologia)</v>
      </c>
      <c r="V263" s="200" t="s">
        <v>235</v>
      </c>
      <c r="W263" s="206" t="str">
        <f>IFERROR(VLOOKUP(V263,TD!$N$33:$O$45,2,0)," ")</f>
        <v>"Servicio de monitoreo y seguimiento para la gestión del riesgo"</v>
      </c>
      <c r="X263" s="161" t="str">
        <f>CONCATENATE(V263,"_",W263)</f>
        <v>018_"Servicio de monitoreo y seguimiento para la gestión del riesgo"</v>
      </c>
      <c r="Y263" s="161" t="str">
        <f>CONCATENATE(U263," ",X263)</f>
        <v>11-Infraestructura Tecnológica   (Sistemas de Información y Tecnologia) 018_"Servicio de monitoreo y seguimiento para la gestión del riesgo"</v>
      </c>
      <c r="Z263" s="206" t="str">
        <f>CONCATENATE(P263,Q263,R263,S263,V263)</f>
        <v>O23011745032024025511018</v>
      </c>
      <c r="AA263" s="206" t="str">
        <f>IFERROR(VLOOKUP(Y263,TD!$K$46:$L$64,2,0)," ")</f>
        <v>PM/0131/0111/45030180255</v>
      </c>
      <c r="AB263" s="205" t="s">
        <v>138</v>
      </c>
      <c r="AC263" s="207" t="s">
        <v>204</v>
      </c>
    </row>
    <row r="264" spans="2:29" s="28" customFormat="1" ht="99" customHeight="1" x14ac:dyDescent="0.35">
      <c r="B264" s="77">
        <v>20250268</v>
      </c>
      <c r="C264" s="50" t="s">
        <v>209</v>
      </c>
      <c r="D264" s="158" t="s">
        <v>167</v>
      </c>
      <c r="E264" s="51" t="s">
        <v>527</v>
      </c>
      <c r="F264" s="158" t="s">
        <v>544</v>
      </c>
      <c r="G264" s="158" t="s">
        <v>119</v>
      </c>
      <c r="H264" s="97" t="s">
        <v>452</v>
      </c>
      <c r="I264" s="159">
        <v>1</v>
      </c>
      <c r="J264" s="159">
        <v>3</v>
      </c>
      <c r="K264" s="52">
        <v>0</v>
      </c>
      <c r="L264" s="153">
        <v>50000000</v>
      </c>
      <c r="M264" s="158" t="s">
        <v>473</v>
      </c>
      <c r="N264" s="53" t="s">
        <v>100</v>
      </c>
      <c r="O264" s="51" t="s">
        <v>226</v>
      </c>
      <c r="P264" s="160" t="str">
        <f>IFERROR(VLOOKUP(C264,TD!$B$32:$F$36,2,0)," ")</f>
        <v>O230117</v>
      </c>
      <c r="Q264" s="160" t="str">
        <f>IFERROR(VLOOKUP(C264,TD!$B$32:$F$36,3,0)," ")</f>
        <v>4503</v>
      </c>
      <c r="R264" s="160">
        <f>IFERROR(VLOOKUP(C264,TD!$B$32:$F$36,4,0)," ")</f>
        <v>20240255</v>
      </c>
      <c r="S264" s="51" t="s">
        <v>179</v>
      </c>
      <c r="T264" s="160" t="str">
        <f>IFERROR(VLOOKUP(S264,TD!$J$33:$K$43,2,0)," ")</f>
        <v>Infraestructura Tecnológica   (Sistemas de Información y Tecnologia)</v>
      </c>
      <c r="U264" s="161" t="str">
        <f>CONCATENATE(S264,"-",T264)</f>
        <v>11-Infraestructura Tecnológica   (Sistemas de Información y Tecnologia)</v>
      </c>
      <c r="V264" s="51" t="s">
        <v>235</v>
      </c>
      <c r="W264" s="160" t="str">
        <f>IFERROR(VLOOKUP(V264,TD!$N$33:$O$45,2,0)," ")</f>
        <v>"Servicio de monitoreo y seguimiento para la gestión del riesgo"</v>
      </c>
      <c r="X264" s="161" t="str">
        <f>CONCATENATE(V264,"_",W264)</f>
        <v>018_"Servicio de monitoreo y seguimiento para la gestión del riesgo"</v>
      </c>
      <c r="Y264" s="161" t="str">
        <f>CONCATENATE(U264," ",X264)</f>
        <v>11-Infraestructura Tecnológica   (Sistemas de Información y Tecnologia) 018_"Servicio de monitoreo y seguimiento para la gestión del riesgo"</v>
      </c>
      <c r="Z264" s="160" t="str">
        <f>CONCATENATE(P264,Q264,R264,S264,V264)</f>
        <v>O23011745032024025511018</v>
      </c>
      <c r="AA264" s="160" t="str">
        <f>IFERROR(VLOOKUP(Y264,TD!$K$46:$L$64,2,0)," ")</f>
        <v>PM/0131/0111/45030180255</v>
      </c>
      <c r="AB264" s="53" t="s">
        <v>138</v>
      </c>
      <c r="AC264" s="162" t="s">
        <v>204</v>
      </c>
    </row>
    <row r="265" spans="2:29" s="28" customFormat="1" ht="99" customHeight="1" x14ac:dyDescent="0.35">
      <c r="B265" s="77">
        <v>20250269</v>
      </c>
      <c r="C265" s="50" t="s">
        <v>209</v>
      </c>
      <c r="D265" s="158" t="s">
        <v>167</v>
      </c>
      <c r="E265" s="51" t="s">
        <v>527</v>
      </c>
      <c r="F265" s="158" t="s">
        <v>376</v>
      </c>
      <c r="G265" s="158" t="s">
        <v>155</v>
      </c>
      <c r="H265" s="97">
        <v>80111600</v>
      </c>
      <c r="I265" s="159">
        <v>1</v>
      </c>
      <c r="J265" s="163">
        <v>10</v>
      </c>
      <c r="K265" s="151">
        <v>0</v>
      </c>
      <c r="L265" s="154">
        <f>66000000+4000000</f>
        <v>70000000</v>
      </c>
      <c r="M265" s="158" t="s">
        <v>473</v>
      </c>
      <c r="N265" s="53" t="s">
        <v>530</v>
      </c>
      <c r="O265" s="51" t="s">
        <v>221</v>
      </c>
      <c r="P265" s="160" t="str">
        <f>IFERROR(VLOOKUP(C265,TD!$B$32:$F$36,2,0)," ")</f>
        <v>O230117</v>
      </c>
      <c r="Q265" s="160" t="str">
        <f>IFERROR(VLOOKUP(C265,TD!$B$32:$F$36,3,0)," ")</f>
        <v>4503</v>
      </c>
      <c r="R265" s="160">
        <f>IFERROR(VLOOKUP(C265,TD!$B$32:$F$36,4,0)," ")</f>
        <v>20240255</v>
      </c>
      <c r="S265" s="51" t="s">
        <v>177</v>
      </c>
      <c r="T265" s="160" t="str">
        <f>IFERROR(VLOOKUP(S265,TD!$J$33:$K$43,2,0)," ")</f>
        <v>Servicio de capacitaciones en gestión del riesgo de incendios  a la ciudadania.</v>
      </c>
      <c r="U265" s="161" t="str">
        <f>CONCATENATE(S265,"-",T265)</f>
        <v>05-Servicio de capacitaciones en gestión del riesgo de incendios  a la ciudadania.</v>
      </c>
      <c r="V265" s="51" t="s">
        <v>233</v>
      </c>
      <c r="W265" s="160" t="str">
        <f>IFERROR(VLOOKUP(V265,TD!$N$33:$O$45,2,0)," ")</f>
        <v>Servicio de educación informal</v>
      </c>
      <c r="X265" s="161" t="str">
        <f>CONCATENATE(V265,"_",W265)</f>
        <v>002_Servicio de educación informal</v>
      </c>
      <c r="Y265" s="161" t="str">
        <f>CONCATENATE(U265," ",X265)</f>
        <v>05-Servicio de capacitaciones en gestión del riesgo de incendios  a la ciudadania. 002_Servicio de educación informal</v>
      </c>
      <c r="Z265" s="160" t="str">
        <f>CONCATENATE(P265,Q265,R265,S265,V265)</f>
        <v>O23011745032024025505002</v>
      </c>
      <c r="AA265" s="160" t="str">
        <f>IFERROR(VLOOKUP(Y265,TD!$K$46:$L$64,2,0)," ")</f>
        <v>PM/0131/0105/45030020255</v>
      </c>
      <c r="AB265" s="53" t="s">
        <v>138</v>
      </c>
      <c r="AC265" s="162" t="s">
        <v>204</v>
      </c>
    </row>
    <row r="266" spans="2:29" s="28" customFormat="1" ht="99" customHeight="1" x14ac:dyDescent="0.35">
      <c r="B266" s="77">
        <v>20250270</v>
      </c>
      <c r="C266" s="50" t="s">
        <v>209</v>
      </c>
      <c r="D266" s="158" t="s">
        <v>167</v>
      </c>
      <c r="E266" s="51" t="s">
        <v>527</v>
      </c>
      <c r="F266" s="158" t="s">
        <v>373</v>
      </c>
      <c r="G266" s="158" t="s">
        <v>155</v>
      </c>
      <c r="H266" s="97">
        <v>80111600</v>
      </c>
      <c r="I266" s="159">
        <v>1</v>
      </c>
      <c r="J266" s="163">
        <v>10</v>
      </c>
      <c r="K266" s="151">
        <v>0</v>
      </c>
      <c r="L266" s="154">
        <f>77000000-27000000</f>
        <v>50000000</v>
      </c>
      <c r="M266" s="158" t="s">
        <v>473</v>
      </c>
      <c r="N266" s="53" t="s">
        <v>530</v>
      </c>
      <c r="O266" s="51" t="s">
        <v>221</v>
      </c>
      <c r="P266" s="160" t="str">
        <f>IFERROR(VLOOKUP(C266,TD!$B$32:$F$36,2,0)," ")</f>
        <v>O230117</v>
      </c>
      <c r="Q266" s="160" t="str">
        <f>IFERROR(VLOOKUP(C266,TD!$B$32:$F$36,3,0)," ")</f>
        <v>4503</v>
      </c>
      <c r="R266" s="160">
        <f>IFERROR(VLOOKUP(C266,TD!$B$32:$F$36,4,0)," ")</f>
        <v>20240255</v>
      </c>
      <c r="S266" s="51" t="s">
        <v>181</v>
      </c>
      <c r="T266" s="160" t="str">
        <f>IFERROR(VLOOKUP(S266,TD!$J$33:$K$43,2,0)," ")</f>
        <v>Servicio de inspecciones técnicas realizadas</v>
      </c>
      <c r="U266" s="161" t="str">
        <f>CONCATENATE(S266,"-",T266)</f>
        <v>06-Servicio de inspecciones técnicas realizadas</v>
      </c>
      <c r="V266" s="51" t="s">
        <v>234</v>
      </c>
      <c r="W266" s="160" t="str">
        <f>IFERROR(VLOOKUP(V266,TD!$N$33:$O$45,2,0)," ")</f>
        <v>Servicio prevención y control de incendios</v>
      </c>
      <c r="X266" s="161" t="str">
        <f>CONCATENATE(V266,"_",W266)</f>
        <v>035_Servicio prevención y control de incendios</v>
      </c>
      <c r="Y266" s="161" t="str">
        <f>CONCATENATE(U266," ",X266)</f>
        <v>06-Servicio de inspecciones técnicas realizadas 035_Servicio prevención y control de incendios</v>
      </c>
      <c r="Z266" s="160" t="str">
        <f>CONCATENATE(P266,Q266,R266,S266,V266)</f>
        <v>O23011745032024025506035</v>
      </c>
      <c r="AA266" s="160" t="str">
        <f>IFERROR(VLOOKUP(Y266,TD!$K$46:$L$64,2,0)," ")</f>
        <v>PM/0131/0106/45030350255</v>
      </c>
      <c r="AB266" s="53" t="s">
        <v>138</v>
      </c>
      <c r="AC266" s="162" t="s">
        <v>204</v>
      </c>
    </row>
    <row r="267" spans="2:29" s="28" customFormat="1" ht="99" customHeight="1" x14ac:dyDescent="0.35">
      <c r="B267" s="77">
        <v>20250271</v>
      </c>
      <c r="C267" s="50" t="s">
        <v>209</v>
      </c>
      <c r="D267" s="158" t="s">
        <v>167</v>
      </c>
      <c r="E267" s="51" t="s">
        <v>527</v>
      </c>
      <c r="F267" s="158" t="s">
        <v>786</v>
      </c>
      <c r="G267" s="158" t="s">
        <v>155</v>
      </c>
      <c r="H267" s="97">
        <v>80111600</v>
      </c>
      <c r="I267" s="159">
        <v>1</v>
      </c>
      <c r="J267" s="163">
        <v>10</v>
      </c>
      <c r="K267" s="151">
        <v>0</v>
      </c>
      <c r="L267" s="154">
        <f>77000000-27000000</f>
        <v>50000000</v>
      </c>
      <c r="M267" s="158" t="s">
        <v>473</v>
      </c>
      <c r="N267" s="53" t="s">
        <v>530</v>
      </c>
      <c r="O267" s="51" t="s">
        <v>221</v>
      </c>
      <c r="P267" s="160" t="str">
        <f>IFERROR(VLOOKUP(C267,TD!$B$32:$F$36,2,0)," ")</f>
        <v>O230117</v>
      </c>
      <c r="Q267" s="160" t="str">
        <f>IFERROR(VLOOKUP(C267,TD!$B$32:$F$36,3,0)," ")</f>
        <v>4503</v>
      </c>
      <c r="R267" s="160">
        <f>IFERROR(VLOOKUP(C267,TD!$B$32:$F$36,4,0)," ")</f>
        <v>20240255</v>
      </c>
      <c r="S267" s="51" t="s">
        <v>181</v>
      </c>
      <c r="T267" s="160" t="str">
        <f>IFERROR(VLOOKUP(S267,TD!$J$33:$K$43,2,0)," ")</f>
        <v>Servicio de inspecciones técnicas realizadas</v>
      </c>
      <c r="U267" s="161" t="str">
        <f>CONCATENATE(S267,"-",T267)</f>
        <v>06-Servicio de inspecciones técnicas realizadas</v>
      </c>
      <c r="V267" s="51" t="s">
        <v>234</v>
      </c>
      <c r="W267" s="160" t="str">
        <f>IFERROR(VLOOKUP(V267,TD!$N$33:$O$45,2,0)," ")</f>
        <v>Servicio prevención y control de incendios</v>
      </c>
      <c r="X267" s="161" t="str">
        <f>CONCATENATE(V267,"_",W267)</f>
        <v>035_Servicio prevención y control de incendios</v>
      </c>
      <c r="Y267" s="161" t="str">
        <f>CONCATENATE(U267," ",X267)</f>
        <v>06-Servicio de inspecciones técnicas realizadas 035_Servicio prevención y control de incendios</v>
      </c>
      <c r="Z267" s="160" t="str">
        <f>CONCATENATE(P267,Q267,R267,S267,V267)</f>
        <v>O23011745032024025506035</v>
      </c>
      <c r="AA267" s="160" t="str">
        <f>IFERROR(VLOOKUP(Y267,TD!$K$46:$L$64,2,0)," ")</f>
        <v>PM/0131/0106/45030350255</v>
      </c>
      <c r="AB267" s="53" t="s">
        <v>138</v>
      </c>
      <c r="AC267" s="162" t="s">
        <v>204</v>
      </c>
    </row>
    <row r="268" spans="2:29" s="28" customFormat="1" ht="99" customHeight="1" x14ac:dyDescent="0.35">
      <c r="B268" s="77">
        <v>20250272</v>
      </c>
      <c r="C268" s="50" t="s">
        <v>209</v>
      </c>
      <c r="D268" s="158" t="s">
        <v>167</v>
      </c>
      <c r="E268" s="51" t="s">
        <v>527</v>
      </c>
      <c r="F268" s="158" t="s">
        <v>373</v>
      </c>
      <c r="G268" s="158" t="s">
        <v>155</v>
      </c>
      <c r="H268" s="97">
        <v>80111600</v>
      </c>
      <c r="I268" s="159">
        <v>1</v>
      </c>
      <c r="J268" s="163">
        <v>10</v>
      </c>
      <c r="K268" s="151">
        <v>0</v>
      </c>
      <c r="L268" s="154">
        <f>77000000-7000000</f>
        <v>70000000</v>
      </c>
      <c r="M268" s="158" t="s">
        <v>473</v>
      </c>
      <c r="N268" s="53" t="s">
        <v>530</v>
      </c>
      <c r="O268" s="51" t="s">
        <v>221</v>
      </c>
      <c r="P268" s="160" t="str">
        <f>IFERROR(VLOOKUP(C268,TD!$B$32:$F$36,2,0)," ")</f>
        <v>O230117</v>
      </c>
      <c r="Q268" s="160" t="str">
        <f>IFERROR(VLOOKUP(C268,TD!$B$32:$F$36,3,0)," ")</f>
        <v>4503</v>
      </c>
      <c r="R268" s="160">
        <f>IFERROR(VLOOKUP(C268,TD!$B$32:$F$36,4,0)," ")</f>
        <v>20240255</v>
      </c>
      <c r="S268" s="51" t="s">
        <v>181</v>
      </c>
      <c r="T268" s="160" t="str">
        <f>IFERROR(VLOOKUP(S268,TD!$J$33:$K$43,2,0)," ")</f>
        <v>Servicio de inspecciones técnicas realizadas</v>
      </c>
      <c r="U268" s="161" t="str">
        <f>CONCATENATE(S268,"-",T268)</f>
        <v>06-Servicio de inspecciones técnicas realizadas</v>
      </c>
      <c r="V268" s="51" t="s">
        <v>234</v>
      </c>
      <c r="W268" s="160" t="str">
        <f>IFERROR(VLOOKUP(V268,TD!$N$33:$O$45,2,0)," ")</f>
        <v>Servicio prevención y control de incendios</v>
      </c>
      <c r="X268" s="161" t="str">
        <f>CONCATENATE(V268,"_",W268)</f>
        <v>035_Servicio prevención y control de incendios</v>
      </c>
      <c r="Y268" s="161" t="str">
        <f>CONCATENATE(U268," ",X268)</f>
        <v>06-Servicio de inspecciones técnicas realizadas 035_Servicio prevención y control de incendios</v>
      </c>
      <c r="Z268" s="160" t="str">
        <f>CONCATENATE(P268,Q268,R268,S268,V268)</f>
        <v>O23011745032024025506035</v>
      </c>
      <c r="AA268" s="160" t="str">
        <f>IFERROR(VLOOKUP(Y268,TD!$K$46:$L$64,2,0)," ")</f>
        <v>PM/0131/0106/45030350255</v>
      </c>
      <c r="AB268" s="53" t="s">
        <v>138</v>
      </c>
      <c r="AC268" s="162" t="s">
        <v>204</v>
      </c>
    </row>
    <row r="269" spans="2:29" s="28" customFormat="1" ht="99" customHeight="1" x14ac:dyDescent="0.35">
      <c r="B269" s="77">
        <v>20250273</v>
      </c>
      <c r="C269" s="50" t="s">
        <v>209</v>
      </c>
      <c r="D269" s="158" t="s">
        <v>167</v>
      </c>
      <c r="E269" s="51" t="s">
        <v>527</v>
      </c>
      <c r="F269" s="158" t="s">
        <v>373</v>
      </c>
      <c r="G269" s="158" t="s">
        <v>155</v>
      </c>
      <c r="H269" s="97">
        <v>80111600</v>
      </c>
      <c r="I269" s="159">
        <v>1</v>
      </c>
      <c r="J269" s="163">
        <v>10</v>
      </c>
      <c r="K269" s="151">
        <v>0</v>
      </c>
      <c r="L269" s="154">
        <f>77000000-17000000</f>
        <v>60000000</v>
      </c>
      <c r="M269" s="158" t="s">
        <v>473</v>
      </c>
      <c r="N269" s="53" t="s">
        <v>530</v>
      </c>
      <c r="O269" s="51" t="s">
        <v>221</v>
      </c>
      <c r="P269" s="160" t="str">
        <f>IFERROR(VLOOKUP(C269,TD!$B$32:$F$36,2,0)," ")</f>
        <v>O230117</v>
      </c>
      <c r="Q269" s="160" t="str">
        <f>IFERROR(VLOOKUP(C269,TD!$B$32:$F$36,3,0)," ")</f>
        <v>4503</v>
      </c>
      <c r="R269" s="160">
        <f>IFERROR(VLOOKUP(C269,TD!$B$32:$F$36,4,0)," ")</f>
        <v>20240255</v>
      </c>
      <c r="S269" s="51" t="s">
        <v>181</v>
      </c>
      <c r="T269" s="160" t="str">
        <f>IFERROR(VLOOKUP(S269,TD!$J$33:$K$43,2,0)," ")</f>
        <v>Servicio de inspecciones técnicas realizadas</v>
      </c>
      <c r="U269" s="161" t="str">
        <f>CONCATENATE(S269,"-",T269)</f>
        <v>06-Servicio de inspecciones técnicas realizadas</v>
      </c>
      <c r="V269" s="51" t="s">
        <v>234</v>
      </c>
      <c r="W269" s="160" t="str">
        <f>IFERROR(VLOOKUP(V269,TD!$N$33:$O$45,2,0)," ")</f>
        <v>Servicio prevención y control de incendios</v>
      </c>
      <c r="X269" s="161" t="str">
        <f>CONCATENATE(V269,"_",W269)</f>
        <v>035_Servicio prevención y control de incendios</v>
      </c>
      <c r="Y269" s="161" t="str">
        <f>CONCATENATE(U269," ",X269)</f>
        <v>06-Servicio de inspecciones técnicas realizadas 035_Servicio prevención y control de incendios</v>
      </c>
      <c r="Z269" s="160" t="str">
        <f>CONCATENATE(P269,Q269,R269,S269,V269)</f>
        <v>O23011745032024025506035</v>
      </c>
      <c r="AA269" s="160" t="str">
        <f>IFERROR(VLOOKUP(Y269,TD!$K$46:$L$64,2,0)," ")</f>
        <v>PM/0131/0106/45030350255</v>
      </c>
      <c r="AB269" s="53" t="s">
        <v>138</v>
      </c>
      <c r="AC269" s="162" t="s">
        <v>204</v>
      </c>
    </row>
    <row r="270" spans="2:29" s="28" customFormat="1" ht="99" customHeight="1" x14ac:dyDescent="0.35">
      <c r="B270" s="77">
        <v>20250274</v>
      </c>
      <c r="C270" s="50" t="s">
        <v>209</v>
      </c>
      <c r="D270" s="158" t="s">
        <v>167</v>
      </c>
      <c r="E270" s="51" t="s">
        <v>527</v>
      </c>
      <c r="F270" s="158" t="s">
        <v>373</v>
      </c>
      <c r="G270" s="158" t="s">
        <v>155</v>
      </c>
      <c r="H270" s="97">
        <v>80111600</v>
      </c>
      <c r="I270" s="159">
        <v>1</v>
      </c>
      <c r="J270" s="163">
        <v>10</v>
      </c>
      <c r="K270" s="151">
        <v>0</v>
      </c>
      <c r="L270" s="154">
        <f>77000000-17000000</f>
        <v>60000000</v>
      </c>
      <c r="M270" s="158" t="s">
        <v>473</v>
      </c>
      <c r="N270" s="53" t="s">
        <v>530</v>
      </c>
      <c r="O270" s="51" t="s">
        <v>221</v>
      </c>
      <c r="P270" s="160" t="str">
        <f>IFERROR(VLOOKUP(C270,TD!$B$32:$F$36,2,0)," ")</f>
        <v>O230117</v>
      </c>
      <c r="Q270" s="160" t="str">
        <f>IFERROR(VLOOKUP(C270,TD!$B$32:$F$36,3,0)," ")</f>
        <v>4503</v>
      </c>
      <c r="R270" s="160">
        <f>IFERROR(VLOOKUP(C270,TD!$B$32:$F$36,4,0)," ")</f>
        <v>20240255</v>
      </c>
      <c r="S270" s="51" t="s">
        <v>181</v>
      </c>
      <c r="T270" s="160" t="str">
        <f>IFERROR(VLOOKUP(S270,TD!$J$33:$K$43,2,0)," ")</f>
        <v>Servicio de inspecciones técnicas realizadas</v>
      </c>
      <c r="U270" s="161" t="str">
        <f>CONCATENATE(S270,"-",T270)</f>
        <v>06-Servicio de inspecciones técnicas realizadas</v>
      </c>
      <c r="V270" s="51" t="s">
        <v>234</v>
      </c>
      <c r="W270" s="160" t="str">
        <f>IFERROR(VLOOKUP(V270,TD!$N$33:$O$45,2,0)," ")</f>
        <v>Servicio prevención y control de incendios</v>
      </c>
      <c r="X270" s="161" t="str">
        <f>CONCATENATE(V270,"_",W270)</f>
        <v>035_Servicio prevención y control de incendios</v>
      </c>
      <c r="Y270" s="161" t="str">
        <f>CONCATENATE(U270," ",X270)</f>
        <v>06-Servicio de inspecciones técnicas realizadas 035_Servicio prevención y control de incendios</v>
      </c>
      <c r="Z270" s="160" t="str">
        <f>CONCATENATE(P270,Q270,R270,S270,V270)</f>
        <v>O23011745032024025506035</v>
      </c>
      <c r="AA270" s="160" t="str">
        <f>IFERROR(VLOOKUP(Y270,TD!$K$46:$L$64,2,0)," ")</f>
        <v>PM/0131/0106/45030350255</v>
      </c>
      <c r="AB270" s="53" t="s">
        <v>138</v>
      </c>
      <c r="AC270" s="162" t="s">
        <v>204</v>
      </c>
    </row>
    <row r="271" spans="2:29" s="28" customFormat="1" ht="99" customHeight="1" x14ac:dyDescent="0.35">
      <c r="B271" s="77">
        <v>20250275</v>
      </c>
      <c r="C271" s="50" t="s">
        <v>209</v>
      </c>
      <c r="D271" s="158" t="s">
        <v>167</v>
      </c>
      <c r="E271" s="51" t="s">
        <v>527</v>
      </c>
      <c r="F271" s="158" t="s">
        <v>372</v>
      </c>
      <c r="G271" s="158" t="s">
        <v>156</v>
      </c>
      <c r="H271" s="97">
        <v>80111600</v>
      </c>
      <c r="I271" s="159">
        <v>1</v>
      </c>
      <c r="J271" s="163">
        <v>10</v>
      </c>
      <c r="K271" s="151">
        <v>0</v>
      </c>
      <c r="L271" s="154">
        <f>44000000-4000000</f>
        <v>40000000</v>
      </c>
      <c r="M271" s="158" t="s">
        <v>473</v>
      </c>
      <c r="N271" s="53" t="s">
        <v>530</v>
      </c>
      <c r="O271" s="51" t="s">
        <v>221</v>
      </c>
      <c r="P271" s="160" t="str">
        <f>IFERROR(VLOOKUP(C271,TD!$B$32:$F$36,2,0)," ")</f>
        <v>O230117</v>
      </c>
      <c r="Q271" s="160" t="str">
        <f>IFERROR(VLOOKUP(C271,TD!$B$32:$F$36,3,0)," ")</f>
        <v>4503</v>
      </c>
      <c r="R271" s="160">
        <f>IFERROR(VLOOKUP(C271,TD!$B$32:$F$36,4,0)," ")</f>
        <v>20240255</v>
      </c>
      <c r="S271" s="51" t="s">
        <v>181</v>
      </c>
      <c r="T271" s="160" t="str">
        <f>IFERROR(VLOOKUP(S271,TD!$J$33:$K$43,2,0)," ")</f>
        <v>Servicio de inspecciones técnicas realizadas</v>
      </c>
      <c r="U271" s="161" t="str">
        <f>CONCATENATE(S271,"-",T271)</f>
        <v>06-Servicio de inspecciones técnicas realizadas</v>
      </c>
      <c r="V271" s="51" t="s">
        <v>234</v>
      </c>
      <c r="W271" s="160" t="str">
        <f>IFERROR(VLOOKUP(V271,TD!$N$33:$O$45,2,0)," ")</f>
        <v>Servicio prevención y control de incendios</v>
      </c>
      <c r="X271" s="161" t="str">
        <f>CONCATENATE(V271,"_",W271)</f>
        <v>035_Servicio prevención y control de incendios</v>
      </c>
      <c r="Y271" s="161" t="str">
        <f>CONCATENATE(U271," ",X271)</f>
        <v>06-Servicio de inspecciones técnicas realizadas 035_Servicio prevención y control de incendios</v>
      </c>
      <c r="Z271" s="160" t="str">
        <f>CONCATENATE(P271,Q271,R271,S271,V271)</f>
        <v>O23011745032024025506035</v>
      </c>
      <c r="AA271" s="160" t="str">
        <f>IFERROR(VLOOKUP(Y271,TD!$K$46:$L$64,2,0)," ")</f>
        <v>PM/0131/0106/45030350255</v>
      </c>
      <c r="AB271" s="53" t="s">
        <v>138</v>
      </c>
      <c r="AC271" s="162" t="s">
        <v>204</v>
      </c>
    </row>
    <row r="272" spans="2:29" s="28" customFormat="1" ht="99" customHeight="1" x14ac:dyDescent="0.35">
      <c r="B272" s="77">
        <v>20250276</v>
      </c>
      <c r="C272" s="50" t="s">
        <v>209</v>
      </c>
      <c r="D272" s="158" t="s">
        <v>167</v>
      </c>
      <c r="E272" s="51" t="s">
        <v>527</v>
      </c>
      <c r="F272" s="158" t="s">
        <v>372</v>
      </c>
      <c r="G272" s="158" t="s">
        <v>156</v>
      </c>
      <c r="H272" s="97">
        <v>80111600</v>
      </c>
      <c r="I272" s="159">
        <v>1</v>
      </c>
      <c r="J272" s="163">
        <v>10</v>
      </c>
      <c r="K272" s="151">
        <v>0</v>
      </c>
      <c r="L272" s="154">
        <f>44000000-4000000</f>
        <v>40000000</v>
      </c>
      <c r="M272" s="158" t="s">
        <v>473</v>
      </c>
      <c r="N272" s="53" t="s">
        <v>530</v>
      </c>
      <c r="O272" s="51" t="s">
        <v>221</v>
      </c>
      <c r="P272" s="160" t="str">
        <f>IFERROR(VLOOKUP(C272,TD!$B$32:$F$36,2,0)," ")</f>
        <v>O230117</v>
      </c>
      <c r="Q272" s="160" t="str">
        <f>IFERROR(VLOOKUP(C272,TD!$B$32:$F$36,3,0)," ")</f>
        <v>4503</v>
      </c>
      <c r="R272" s="160">
        <f>IFERROR(VLOOKUP(C272,TD!$B$32:$F$36,4,0)," ")</f>
        <v>20240255</v>
      </c>
      <c r="S272" s="51" t="s">
        <v>181</v>
      </c>
      <c r="T272" s="160" t="str">
        <f>IFERROR(VLOOKUP(S272,TD!$J$33:$K$43,2,0)," ")</f>
        <v>Servicio de inspecciones técnicas realizadas</v>
      </c>
      <c r="U272" s="161" t="str">
        <f>CONCATENATE(S272,"-",T272)</f>
        <v>06-Servicio de inspecciones técnicas realizadas</v>
      </c>
      <c r="V272" s="51" t="s">
        <v>234</v>
      </c>
      <c r="W272" s="160" t="str">
        <f>IFERROR(VLOOKUP(V272,TD!$N$33:$O$45,2,0)," ")</f>
        <v>Servicio prevención y control de incendios</v>
      </c>
      <c r="X272" s="161" t="str">
        <f>CONCATENATE(V272,"_",W272)</f>
        <v>035_Servicio prevención y control de incendios</v>
      </c>
      <c r="Y272" s="161" t="str">
        <f>CONCATENATE(U272," ",X272)</f>
        <v>06-Servicio de inspecciones técnicas realizadas 035_Servicio prevención y control de incendios</v>
      </c>
      <c r="Z272" s="160" t="str">
        <f>CONCATENATE(P272,Q272,R272,S272,V272)</f>
        <v>O23011745032024025506035</v>
      </c>
      <c r="AA272" s="160" t="str">
        <f>IFERROR(VLOOKUP(Y272,TD!$K$46:$L$64,2,0)," ")</f>
        <v>PM/0131/0106/45030350255</v>
      </c>
      <c r="AB272" s="53" t="s">
        <v>138</v>
      </c>
      <c r="AC272" s="162" t="s">
        <v>204</v>
      </c>
    </row>
    <row r="273" spans="2:29" s="28" customFormat="1" ht="99" customHeight="1" x14ac:dyDescent="0.35">
      <c r="B273" s="77">
        <v>20250277</v>
      </c>
      <c r="C273" s="50" t="s">
        <v>209</v>
      </c>
      <c r="D273" s="158" t="s">
        <v>167</v>
      </c>
      <c r="E273" s="51" t="s">
        <v>527</v>
      </c>
      <c r="F273" s="158" t="s">
        <v>372</v>
      </c>
      <c r="G273" s="158" t="s">
        <v>156</v>
      </c>
      <c r="H273" s="97">
        <v>80111600</v>
      </c>
      <c r="I273" s="159">
        <v>1</v>
      </c>
      <c r="J273" s="163">
        <v>10</v>
      </c>
      <c r="K273" s="151">
        <v>0</v>
      </c>
      <c r="L273" s="154">
        <f>44000000-4000000</f>
        <v>40000000</v>
      </c>
      <c r="M273" s="158" t="s">
        <v>473</v>
      </c>
      <c r="N273" s="53" t="s">
        <v>530</v>
      </c>
      <c r="O273" s="51" t="s">
        <v>221</v>
      </c>
      <c r="P273" s="160" t="str">
        <f>IFERROR(VLOOKUP(C273,TD!$B$32:$F$36,2,0)," ")</f>
        <v>O230117</v>
      </c>
      <c r="Q273" s="160" t="str">
        <f>IFERROR(VLOOKUP(C273,TD!$B$32:$F$36,3,0)," ")</f>
        <v>4503</v>
      </c>
      <c r="R273" s="160">
        <f>IFERROR(VLOOKUP(C273,TD!$B$32:$F$36,4,0)," ")</f>
        <v>20240255</v>
      </c>
      <c r="S273" s="51" t="s">
        <v>181</v>
      </c>
      <c r="T273" s="160" t="str">
        <f>IFERROR(VLOOKUP(S273,TD!$J$33:$K$43,2,0)," ")</f>
        <v>Servicio de inspecciones técnicas realizadas</v>
      </c>
      <c r="U273" s="161" t="str">
        <f>CONCATENATE(S273,"-",T273)</f>
        <v>06-Servicio de inspecciones técnicas realizadas</v>
      </c>
      <c r="V273" s="51" t="s">
        <v>234</v>
      </c>
      <c r="W273" s="160" t="str">
        <f>IFERROR(VLOOKUP(V273,TD!$N$33:$O$45,2,0)," ")</f>
        <v>Servicio prevención y control de incendios</v>
      </c>
      <c r="X273" s="161" t="str">
        <f>CONCATENATE(V273,"_",W273)</f>
        <v>035_Servicio prevención y control de incendios</v>
      </c>
      <c r="Y273" s="161" t="str">
        <f>CONCATENATE(U273," ",X273)</f>
        <v>06-Servicio de inspecciones técnicas realizadas 035_Servicio prevención y control de incendios</v>
      </c>
      <c r="Z273" s="160" t="str">
        <f>CONCATENATE(P273,Q273,R273,S273,V273)</f>
        <v>O23011745032024025506035</v>
      </c>
      <c r="AA273" s="160" t="str">
        <f>IFERROR(VLOOKUP(Y273,TD!$K$46:$L$64,2,0)," ")</f>
        <v>PM/0131/0106/45030350255</v>
      </c>
      <c r="AB273" s="53" t="s">
        <v>138</v>
      </c>
      <c r="AC273" s="162" t="s">
        <v>204</v>
      </c>
    </row>
    <row r="274" spans="2:29" s="28" customFormat="1" ht="99" customHeight="1" x14ac:dyDescent="0.35">
      <c r="B274" s="77">
        <v>20250278</v>
      </c>
      <c r="C274" s="50" t="s">
        <v>209</v>
      </c>
      <c r="D274" s="158" t="s">
        <v>167</v>
      </c>
      <c r="E274" s="51" t="s">
        <v>527</v>
      </c>
      <c r="F274" s="158" t="s">
        <v>372</v>
      </c>
      <c r="G274" s="158" t="s">
        <v>156</v>
      </c>
      <c r="H274" s="97">
        <v>80111600</v>
      </c>
      <c r="I274" s="159">
        <v>1</v>
      </c>
      <c r="J274" s="163">
        <v>10</v>
      </c>
      <c r="K274" s="151">
        <v>0</v>
      </c>
      <c r="L274" s="154">
        <f>44000000-4000000</f>
        <v>40000000</v>
      </c>
      <c r="M274" s="158" t="s">
        <v>473</v>
      </c>
      <c r="N274" s="53" t="s">
        <v>530</v>
      </c>
      <c r="O274" s="51" t="s">
        <v>221</v>
      </c>
      <c r="P274" s="160" t="str">
        <f>IFERROR(VLOOKUP(C274,TD!$B$32:$F$36,2,0)," ")</f>
        <v>O230117</v>
      </c>
      <c r="Q274" s="160" t="str">
        <f>IFERROR(VLOOKUP(C274,TD!$B$32:$F$36,3,0)," ")</f>
        <v>4503</v>
      </c>
      <c r="R274" s="160">
        <f>IFERROR(VLOOKUP(C274,TD!$B$32:$F$36,4,0)," ")</f>
        <v>20240255</v>
      </c>
      <c r="S274" s="51" t="s">
        <v>181</v>
      </c>
      <c r="T274" s="160" t="str">
        <f>IFERROR(VLOOKUP(S274,TD!$J$33:$K$43,2,0)," ")</f>
        <v>Servicio de inspecciones técnicas realizadas</v>
      </c>
      <c r="U274" s="161" t="str">
        <f>CONCATENATE(S274,"-",T274)</f>
        <v>06-Servicio de inspecciones técnicas realizadas</v>
      </c>
      <c r="V274" s="51" t="s">
        <v>234</v>
      </c>
      <c r="W274" s="160" t="str">
        <f>IFERROR(VLOOKUP(V274,TD!$N$33:$O$45,2,0)," ")</f>
        <v>Servicio prevención y control de incendios</v>
      </c>
      <c r="X274" s="161" t="str">
        <f>CONCATENATE(V274,"_",W274)</f>
        <v>035_Servicio prevención y control de incendios</v>
      </c>
      <c r="Y274" s="161" t="str">
        <f>CONCATENATE(U274," ",X274)</f>
        <v>06-Servicio de inspecciones técnicas realizadas 035_Servicio prevención y control de incendios</v>
      </c>
      <c r="Z274" s="160" t="str">
        <f>CONCATENATE(P274,Q274,R274,S274,V274)</f>
        <v>O23011745032024025506035</v>
      </c>
      <c r="AA274" s="160" t="str">
        <f>IFERROR(VLOOKUP(Y274,TD!$K$46:$L$64,2,0)," ")</f>
        <v>PM/0131/0106/45030350255</v>
      </c>
      <c r="AB274" s="53" t="s">
        <v>138</v>
      </c>
      <c r="AC274" s="162" t="s">
        <v>204</v>
      </c>
    </row>
    <row r="275" spans="2:29" s="28" customFormat="1" ht="99" customHeight="1" x14ac:dyDescent="0.35">
      <c r="B275" s="77">
        <v>20250279</v>
      </c>
      <c r="C275" s="50" t="s">
        <v>209</v>
      </c>
      <c r="D275" s="158" t="s">
        <v>167</v>
      </c>
      <c r="E275" s="51" t="s">
        <v>527</v>
      </c>
      <c r="F275" s="158" t="s">
        <v>372</v>
      </c>
      <c r="G275" s="158" t="s">
        <v>156</v>
      </c>
      <c r="H275" s="97">
        <v>80111600</v>
      </c>
      <c r="I275" s="159">
        <v>1</v>
      </c>
      <c r="J275" s="163">
        <v>10</v>
      </c>
      <c r="K275" s="151">
        <v>0</v>
      </c>
      <c r="L275" s="154">
        <f>44000000-4000000</f>
        <v>40000000</v>
      </c>
      <c r="M275" s="158" t="s">
        <v>473</v>
      </c>
      <c r="N275" s="53" t="s">
        <v>530</v>
      </c>
      <c r="O275" s="51" t="s">
        <v>221</v>
      </c>
      <c r="P275" s="160" t="str">
        <f>IFERROR(VLOOKUP(C275,TD!$B$32:$F$36,2,0)," ")</f>
        <v>O230117</v>
      </c>
      <c r="Q275" s="160" t="str">
        <f>IFERROR(VLOOKUP(C275,TD!$B$32:$F$36,3,0)," ")</f>
        <v>4503</v>
      </c>
      <c r="R275" s="160">
        <f>IFERROR(VLOOKUP(C275,TD!$B$32:$F$36,4,0)," ")</f>
        <v>20240255</v>
      </c>
      <c r="S275" s="51" t="s">
        <v>181</v>
      </c>
      <c r="T275" s="160" t="str">
        <f>IFERROR(VLOOKUP(S275,TD!$J$33:$K$43,2,0)," ")</f>
        <v>Servicio de inspecciones técnicas realizadas</v>
      </c>
      <c r="U275" s="161" t="str">
        <f>CONCATENATE(S275,"-",T275)</f>
        <v>06-Servicio de inspecciones técnicas realizadas</v>
      </c>
      <c r="V275" s="51" t="s">
        <v>234</v>
      </c>
      <c r="W275" s="160" t="str">
        <f>IFERROR(VLOOKUP(V275,TD!$N$33:$O$45,2,0)," ")</f>
        <v>Servicio prevención y control de incendios</v>
      </c>
      <c r="X275" s="161" t="str">
        <f>CONCATENATE(V275,"_",W275)</f>
        <v>035_Servicio prevención y control de incendios</v>
      </c>
      <c r="Y275" s="161" t="str">
        <f>CONCATENATE(U275," ",X275)</f>
        <v>06-Servicio de inspecciones técnicas realizadas 035_Servicio prevención y control de incendios</v>
      </c>
      <c r="Z275" s="160" t="str">
        <f>CONCATENATE(P275,Q275,R275,S275,V275)</f>
        <v>O23011745032024025506035</v>
      </c>
      <c r="AA275" s="160" t="str">
        <f>IFERROR(VLOOKUP(Y275,TD!$K$46:$L$64,2,0)," ")</f>
        <v>PM/0131/0106/45030350255</v>
      </c>
      <c r="AB275" s="53" t="s">
        <v>138</v>
      </c>
      <c r="AC275" s="162" t="s">
        <v>204</v>
      </c>
    </row>
    <row r="276" spans="2:29" s="28" customFormat="1" ht="99" customHeight="1" x14ac:dyDescent="0.35">
      <c r="B276" s="77">
        <v>20250280</v>
      </c>
      <c r="C276" s="50" t="s">
        <v>209</v>
      </c>
      <c r="D276" s="158" t="s">
        <v>167</v>
      </c>
      <c r="E276" s="51" t="s">
        <v>527</v>
      </c>
      <c r="F276" s="158" t="s">
        <v>372</v>
      </c>
      <c r="G276" s="158" t="s">
        <v>156</v>
      </c>
      <c r="H276" s="97">
        <v>80111600</v>
      </c>
      <c r="I276" s="159">
        <v>1</v>
      </c>
      <c r="J276" s="163">
        <v>10</v>
      </c>
      <c r="K276" s="151">
        <v>0</v>
      </c>
      <c r="L276" s="154">
        <f>44000000-4000000</f>
        <v>40000000</v>
      </c>
      <c r="M276" s="158" t="s">
        <v>473</v>
      </c>
      <c r="N276" s="53" t="s">
        <v>530</v>
      </c>
      <c r="O276" s="51" t="s">
        <v>221</v>
      </c>
      <c r="P276" s="160" t="str">
        <f>IFERROR(VLOOKUP(C276,TD!$B$32:$F$36,2,0)," ")</f>
        <v>O230117</v>
      </c>
      <c r="Q276" s="160" t="str">
        <f>IFERROR(VLOOKUP(C276,TD!$B$32:$F$36,3,0)," ")</f>
        <v>4503</v>
      </c>
      <c r="R276" s="160">
        <f>IFERROR(VLOOKUP(C276,TD!$B$32:$F$36,4,0)," ")</f>
        <v>20240255</v>
      </c>
      <c r="S276" s="51" t="s">
        <v>181</v>
      </c>
      <c r="T276" s="160" t="str">
        <f>IFERROR(VLOOKUP(S276,TD!$J$33:$K$43,2,0)," ")</f>
        <v>Servicio de inspecciones técnicas realizadas</v>
      </c>
      <c r="U276" s="161" t="str">
        <f>CONCATENATE(S276,"-",T276)</f>
        <v>06-Servicio de inspecciones técnicas realizadas</v>
      </c>
      <c r="V276" s="51" t="s">
        <v>234</v>
      </c>
      <c r="W276" s="160" t="str">
        <f>IFERROR(VLOOKUP(V276,TD!$N$33:$O$45,2,0)," ")</f>
        <v>Servicio prevención y control de incendios</v>
      </c>
      <c r="X276" s="161" t="str">
        <f>CONCATENATE(V276,"_",W276)</f>
        <v>035_Servicio prevención y control de incendios</v>
      </c>
      <c r="Y276" s="161" t="str">
        <f>CONCATENATE(U276," ",X276)</f>
        <v>06-Servicio de inspecciones técnicas realizadas 035_Servicio prevención y control de incendios</v>
      </c>
      <c r="Z276" s="160" t="str">
        <f>CONCATENATE(P276,Q276,R276,S276,V276)</f>
        <v>O23011745032024025506035</v>
      </c>
      <c r="AA276" s="160" t="str">
        <f>IFERROR(VLOOKUP(Y276,TD!$K$46:$L$64,2,0)," ")</f>
        <v>PM/0131/0106/45030350255</v>
      </c>
      <c r="AB276" s="53" t="s">
        <v>138</v>
      </c>
      <c r="AC276" s="162" t="s">
        <v>204</v>
      </c>
    </row>
    <row r="277" spans="2:29" s="28" customFormat="1" ht="99" customHeight="1" x14ac:dyDescent="0.35">
      <c r="B277" s="77">
        <v>20250281</v>
      </c>
      <c r="C277" s="50" t="s">
        <v>209</v>
      </c>
      <c r="D277" s="158" t="s">
        <v>167</v>
      </c>
      <c r="E277" s="51" t="s">
        <v>527</v>
      </c>
      <c r="F277" s="158" t="s">
        <v>372</v>
      </c>
      <c r="G277" s="158" t="s">
        <v>156</v>
      </c>
      <c r="H277" s="97">
        <v>80111600</v>
      </c>
      <c r="I277" s="159">
        <v>1</v>
      </c>
      <c r="J277" s="163">
        <v>10</v>
      </c>
      <c r="K277" s="151">
        <v>0</v>
      </c>
      <c r="L277" s="154">
        <f>44000000-4000000</f>
        <v>40000000</v>
      </c>
      <c r="M277" s="158" t="s">
        <v>473</v>
      </c>
      <c r="N277" s="53" t="s">
        <v>530</v>
      </c>
      <c r="O277" s="51" t="s">
        <v>221</v>
      </c>
      <c r="P277" s="160" t="str">
        <f>IFERROR(VLOOKUP(C277,TD!$B$32:$F$36,2,0)," ")</f>
        <v>O230117</v>
      </c>
      <c r="Q277" s="160" t="str">
        <f>IFERROR(VLOOKUP(C277,TD!$B$32:$F$36,3,0)," ")</f>
        <v>4503</v>
      </c>
      <c r="R277" s="160">
        <f>IFERROR(VLOOKUP(C277,TD!$B$32:$F$36,4,0)," ")</f>
        <v>20240255</v>
      </c>
      <c r="S277" s="51" t="s">
        <v>181</v>
      </c>
      <c r="T277" s="160" t="str">
        <f>IFERROR(VLOOKUP(S277,TD!$J$33:$K$43,2,0)," ")</f>
        <v>Servicio de inspecciones técnicas realizadas</v>
      </c>
      <c r="U277" s="161" t="str">
        <f>CONCATENATE(S277,"-",T277)</f>
        <v>06-Servicio de inspecciones técnicas realizadas</v>
      </c>
      <c r="V277" s="51" t="s">
        <v>234</v>
      </c>
      <c r="W277" s="160" t="str">
        <f>IFERROR(VLOOKUP(V277,TD!$N$33:$O$45,2,0)," ")</f>
        <v>Servicio prevención y control de incendios</v>
      </c>
      <c r="X277" s="161" t="str">
        <f>CONCATENATE(V277,"_",W277)</f>
        <v>035_Servicio prevención y control de incendios</v>
      </c>
      <c r="Y277" s="161" t="str">
        <f>CONCATENATE(U277," ",X277)</f>
        <v>06-Servicio de inspecciones técnicas realizadas 035_Servicio prevención y control de incendios</v>
      </c>
      <c r="Z277" s="160" t="str">
        <f>CONCATENATE(P277,Q277,R277,S277,V277)</f>
        <v>O23011745032024025506035</v>
      </c>
      <c r="AA277" s="160" t="str">
        <f>IFERROR(VLOOKUP(Y277,TD!$K$46:$L$64,2,0)," ")</f>
        <v>PM/0131/0106/45030350255</v>
      </c>
      <c r="AB277" s="53" t="s">
        <v>138</v>
      </c>
      <c r="AC277" s="162" t="s">
        <v>204</v>
      </c>
    </row>
    <row r="278" spans="2:29" s="28" customFormat="1" ht="99" customHeight="1" x14ac:dyDescent="0.35">
      <c r="B278" s="77">
        <v>20250282</v>
      </c>
      <c r="C278" s="50" t="s">
        <v>209</v>
      </c>
      <c r="D278" s="158" t="s">
        <v>167</v>
      </c>
      <c r="E278" s="51" t="s">
        <v>527</v>
      </c>
      <c r="F278" s="158" t="s">
        <v>372</v>
      </c>
      <c r="G278" s="158" t="s">
        <v>156</v>
      </c>
      <c r="H278" s="97">
        <v>80111600</v>
      </c>
      <c r="I278" s="159">
        <v>1</v>
      </c>
      <c r="J278" s="163">
        <v>10</v>
      </c>
      <c r="K278" s="151">
        <v>0</v>
      </c>
      <c r="L278" s="154">
        <f>44000000-4000000</f>
        <v>40000000</v>
      </c>
      <c r="M278" s="158" t="s">
        <v>473</v>
      </c>
      <c r="N278" s="53" t="s">
        <v>530</v>
      </c>
      <c r="O278" s="51" t="s">
        <v>221</v>
      </c>
      <c r="P278" s="160" t="str">
        <f>IFERROR(VLOOKUP(C278,TD!$B$32:$F$36,2,0)," ")</f>
        <v>O230117</v>
      </c>
      <c r="Q278" s="160" t="str">
        <f>IFERROR(VLOOKUP(C278,TD!$B$32:$F$36,3,0)," ")</f>
        <v>4503</v>
      </c>
      <c r="R278" s="160">
        <f>IFERROR(VLOOKUP(C278,TD!$B$32:$F$36,4,0)," ")</f>
        <v>20240255</v>
      </c>
      <c r="S278" s="51" t="s">
        <v>181</v>
      </c>
      <c r="T278" s="160" t="str">
        <f>IFERROR(VLOOKUP(S278,TD!$J$33:$K$43,2,0)," ")</f>
        <v>Servicio de inspecciones técnicas realizadas</v>
      </c>
      <c r="U278" s="161" t="str">
        <f>CONCATENATE(S278,"-",T278)</f>
        <v>06-Servicio de inspecciones técnicas realizadas</v>
      </c>
      <c r="V278" s="51" t="s">
        <v>234</v>
      </c>
      <c r="W278" s="160" t="str">
        <f>IFERROR(VLOOKUP(V278,TD!$N$33:$O$45,2,0)," ")</f>
        <v>Servicio prevención y control de incendios</v>
      </c>
      <c r="X278" s="161" t="str">
        <f>CONCATENATE(V278,"_",W278)</f>
        <v>035_Servicio prevención y control de incendios</v>
      </c>
      <c r="Y278" s="161" t="str">
        <f>CONCATENATE(U278," ",X278)</f>
        <v>06-Servicio de inspecciones técnicas realizadas 035_Servicio prevención y control de incendios</v>
      </c>
      <c r="Z278" s="160" t="str">
        <f>CONCATENATE(P278,Q278,R278,S278,V278)</f>
        <v>O23011745032024025506035</v>
      </c>
      <c r="AA278" s="160" t="str">
        <f>IFERROR(VLOOKUP(Y278,TD!$K$46:$L$64,2,0)," ")</f>
        <v>PM/0131/0106/45030350255</v>
      </c>
      <c r="AB278" s="53" t="s">
        <v>138</v>
      </c>
      <c r="AC278" s="162" t="s">
        <v>204</v>
      </c>
    </row>
    <row r="279" spans="2:29" s="28" customFormat="1" ht="99" customHeight="1" x14ac:dyDescent="0.35">
      <c r="B279" s="77">
        <v>20250283</v>
      </c>
      <c r="C279" s="50" t="s">
        <v>209</v>
      </c>
      <c r="D279" s="158" t="s">
        <v>167</v>
      </c>
      <c r="E279" s="51" t="s">
        <v>527</v>
      </c>
      <c r="F279" s="158" t="s">
        <v>372</v>
      </c>
      <c r="G279" s="158" t="s">
        <v>156</v>
      </c>
      <c r="H279" s="97">
        <v>80111600</v>
      </c>
      <c r="I279" s="159">
        <v>1</v>
      </c>
      <c r="J279" s="163">
        <v>10</v>
      </c>
      <c r="K279" s="151">
        <v>0</v>
      </c>
      <c r="L279" s="154">
        <f>44000000-4000000</f>
        <v>40000000</v>
      </c>
      <c r="M279" s="158" t="s">
        <v>473</v>
      </c>
      <c r="N279" s="53" t="s">
        <v>530</v>
      </c>
      <c r="O279" s="51" t="s">
        <v>221</v>
      </c>
      <c r="P279" s="160" t="str">
        <f>IFERROR(VLOOKUP(C279,TD!$B$32:$F$36,2,0)," ")</f>
        <v>O230117</v>
      </c>
      <c r="Q279" s="160" t="str">
        <f>IFERROR(VLOOKUP(C279,TD!$B$32:$F$36,3,0)," ")</f>
        <v>4503</v>
      </c>
      <c r="R279" s="160">
        <f>IFERROR(VLOOKUP(C279,TD!$B$32:$F$36,4,0)," ")</f>
        <v>20240255</v>
      </c>
      <c r="S279" s="51" t="s">
        <v>181</v>
      </c>
      <c r="T279" s="160" t="str">
        <f>IFERROR(VLOOKUP(S279,TD!$J$33:$K$43,2,0)," ")</f>
        <v>Servicio de inspecciones técnicas realizadas</v>
      </c>
      <c r="U279" s="161" t="str">
        <f>CONCATENATE(S279,"-",T279)</f>
        <v>06-Servicio de inspecciones técnicas realizadas</v>
      </c>
      <c r="V279" s="51" t="s">
        <v>234</v>
      </c>
      <c r="W279" s="160" t="str">
        <f>IFERROR(VLOOKUP(V279,TD!$N$33:$O$45,2,0)," ")</f>
        <v>Servicio prevención y control de incendios</v>
      </c>
      <c r="X279" s="161" t="str">
        <f>CONCATENATE(V279,"_",W279)</f>
        <v>035_Servicio prevención y control de incendios</v>
      </c>
      <c r="Y279" s="161" t="str">
        <f>CONCATENATE(U279," ",X279)</f>
        <v>06-Servicio de inspecciones técnicas realizadas 035_Servicio prevención y control de incendios</v>
      </c>
      <c r="Z279" s="160" t="str">
        <f>CONCATENATE(P279,Q279,R279,S279,V279)</f>
        <v>O23011745032024025506035</v>
      </c>
      <c r="AA279" s="160" t="str">
        <f>IFERROR(VLOOKUP(Y279,TD!$K$46:$L$64,2,0)," ")</f>
        <v>PM/0131/0106/45030350255</v>
      </c>
      <c r="AB279" s="53" t="s">
        <v>138</v>
      </c>
      <c r="AC279" s="162" t="s">
        <v>204</v>
      </c>
    </row>
    <row r="280" spans="2:29" s="28" customFormat="1" ht="99" customHeight="1" x14ac:dyDescent="0.35">
      <c r="B280" s="77">
        <v>20250284</v>
      </c>
      <c r="C280" s="50" t="s">
        <v>209</v>
      </c>
      <c r="D280" s="158" t="s">
        <v>167</v>
      </c>
      <c r="E280" s="51" t="s">
        <v>527</v>
      </c>
      <c r="F280" s="158" t="s">
        <v>372</v>
      </c>
      <c r="G280" s="158" t="s">
        <v>156</v>
      </c>
      <c r="H280" s="97">
        <v>80111600</v>
      </c>
      <c r="I280" s="159">
        <v>1</v>
      </c>
      <c r="J280" s="163">
        <v>10</v>
      </c>
      <c r="K280" s="151">
        <v>0</v>
      </c>
      <c r="L280" s="154">
        <f>44000000-4000000</f>
        <v>40000000</v>
      </c>
      <c r="M280" s="158" t="s">
        <v>473</v>
      </c>
      <c r="N280" s="53" t="s">
        <v>530</v>
      </c>
      <c r="O280" s="51" t="s">
        <v>221</v>
      </c>
      <c r="P280" s="160" t="str">
        <f>IFERROR(VLOOKUP(C280,TD!$B$32:$F$36,2,0)," ")</f>
        <v>O230117</v>
      </c>
      <c r="Q280" s="160" t="str">
        <f>IFERROR(VLOOKUP(C280,TD!$B$32:$F$36,3,0)," ")</f>
        <v>4503</v>
      </c>
      <c r="R280" s="160">
        <f>IFERROR(VLOOKUP(C280,TD!$B$32:$F$36,4,0)," ")</f>
        <v>20240255</v>
      </c>
      <c r="S280" s="51" t="s">
        <v>181</v>
      </c>
      <c r="T280" s="160" t="str">
        <f>IFERROR(VLOOKUP(S280,TD!$J$33:$K$43,2,0)," ")</f>
        <v>Servicio de inspecciones técnicas realizadas</v>
      </c>
      <c r="U280" s="161" t="str">
        <f>CONCATENATE(S280,"-",T280)</f>
        <v>06-Servicio de inspecciones técnicas realizadas</v>
      </c>
      <c r="V280" s="51" t="s">
        <v>234</v>
      </c>
      <c r="W280" s="160" t="str">
        <f>IFERROR(VLOOKUP(V280,TD!$N$33:$O$45,2,0)," ")</f>
        <v>Servicio prevención y control de incendios</v>
      </c>
      <c r="X280" s="161" t="str">
        <f>CONCATENATE(V280,"_",W280)</f>
        <v>035_Servicio prevención y control de incendios</v>
      </c>
      <c r="Y280" s="161" t="str">
        <f>CONCATENATE(U280," ",X280)</f>
        <v>06-Servicio de inspecciones técnicas realizadas 035_Servicio prevención y control de incendios</v>
      </c>
      <c r="Z280" s="160" t="str">
        <f>CONCATENATE(P280,Q280,R280,S280,V280)</f>
        <v>O23011745032024025506035</v>
      </c>
      <c r="AA280" s="160" t="str">
        <f>IFERROR(VLOOKUP(Y280,TD!$K$46:$L$64,2,0)," ")</f>
        <v>PM/0131/0106/45030350255</v>
      </c>
      <c r="AB280" s="53" t="s">
        <v>138</v>
      </c>
      <c r="AC280" s="162" t="s">
        <v>204</v>
      </c>
    </row>
    <row r="281" spans="2:29" s="28" customFormat="1" ht="99" customHeight="1" x14ac:dyDescent="0.35">
      <c r="B281" s="77">
        <v>20250285</v>
      </c>
      <c r="C281" s="50" t="s">
        <v>209</v>
      </c>
      <c r="D281" s="158" t="s">
        <v>167</v>
      </c>
      <c r="E281" s="51" t="s">
        <v>527</v>
      </c>
      <c r="F281" s="158" t="s">
        <v>372</v>
      </c>
      <c r="G281" s="158" t="s">
        <v>156</v>
      </c>
      <c r="H281" s="97">
        <v>80111600</v>
      </c>
      <c r="I281" s="159">
        <v>1</v>
      </c>
      <c r="J281" s="163">
        <v>10</v>
      </c>
      <c r="K281" s="151">
        <v>0</v>
      </c>
      <c r="L281" s="154">
        <f>44000000-4000000</f>
        <v>40000000</v>
      </c>
      <c r="M281" s="158" t="s">
        <v>473</v>
      </c>
      <c r="N281" s="53" t="s">
        <v>530</v>
      </c>
      <c r="O281" s="51" t="s">
        <v>221</v>
      </c>
      <c r="P281" s="160" t="str">
        <f>IFERROR(VLOOKUP(C281,TD!$B$32:$F$36,2,0)," ")</f>
        <v>O230117</v>
      </c>
      <c r="Q281" s="160" t="str">
        <f>IFERROR(VLOOKUP(C281,TD!$B$32:$F$36,3,0)," ")</f>
        <v>4503</v>
      </c>
      <c r="R281" s="160">
        <f>IFERROR(VLOOKUP(C281,TD!$B$32:$F$36,4,0)," ")</f>
        <v>20240255</v>
      </c>
      <c r="S281" s="51" t="s">
        <v>181</v>
      </c>
      <c r="T281" s="160" t="str">
        <f>IFERROR(VLOOKUP(S281,TD!$J$33:$K$43,2,0)," ")</f>
        <v>Servicio de inspecciones técnicas realizadas</v>
      </c>
      <c r="U281" s="161" t="str">
        <f>CONCATENATE(S281,"-",T281)</f>
        <v>06-Servicio de inspecciones técnicas realizadas</v>
      </c>
      <c r="V281" s="51" t="s">
        <v>234</v>
      </c>
      <c r="W281" s="160" t="str">
        <f>IFERROR(VLOOKUP(V281,TD!$N$33:$O$45,2,0)," ")</f>
        <v>Servicio prevención y control de incendios</v>
      </c>
      <c r="X281" s="161" t="str">
        <f>CONCATENATE(V281,"_",W281)</f>
        <v>035_Servicio prevención y control de incendios</v>
      </c>
      <c r="Y281" s="161" t="str">
        <f>CONCATENATE(U281," ",X281)</f>
        <v>06-Servicio de inspecciones técnicas realizadas 035_Servicio prevención y control de incendios</v>
      </c>
      <c r="Z281" s="160" t="str">
        <f>CONCATENATE(P281,Q281,R281,S281,V281)</f>
        <v>O23011745032024025506035</v>
      </c>
      <c r="AA281" s="160" t="str">
        <f>IFERROR(VLOOKUP(Y281,TD!$K$46:$L$64,2,0)," ")</f>
        <v>PM/0131/0106/45030350255</v>
      </c>
      <c r="AB281" s="53" t="s">
        <v>138</v>
      </c>
      <c r="AC281" s="162" t="s">
        <v>204</v>
      </c>
    </row>
    <row r="282" spans="2:29" s="28" customFormat="1" ht="99" customHeight="1" x14ac:dyDescent="0.35">
      <c r="B282" s="77">
        <v>20250286</v>
      </c>
      <c r="C282" s="50" t="s">
        <v>209</v>
      </c>
      <c r="D282" s="158" t="s">
        <v>167</v>
      </c>
      <c r="E282" s="51" t="s">
        <v>527</v>
      </c>
      <c r="F282" s="158" t="s">
        <v>372</v>
      </c>
      <c r="G282" s="158" t="s">
        <v>156</v>
      </c>
      <c r="H282" s="97">
        <v>80111600</v>
      </c>
      <c r="I282" s="159">
        <v>1</v>
      </c>
      <c r="J282" s="163">
        <v>10</v>
      </c>
      <c r="K282" s="151">
        <v>0</v>
      </c>
      <c r="L282" s="154">
        <f>44000000-4000000</f>
        <v>40000000</v>
      </c>
      <c r="M282" s="158" t="s">
        <v>473</v>
      </c>
      <c r="N282" s="53" t="s">
        <v>530</v>
      </c>
      <c r="O282" s="51" t="s">
        <v>221</v>
      </c>
      <c r="P282" s="160" t="str">
        <f>IFERROR(VLOOKUP(C282,TD!$B$32:$F$36,2,0)," ")</f>
        <v>O230117</v>
      </c>
      <c r="Q282" s="160" t="str">
        <f>IFERROR(VLOOKUP(C282,TD!$B$32:$F$36,3,0)," ")</f>
        <v>4503</v>
      </c>
      <c r="R282" s="160">
        <f>IFERROR(VLOOKUP(C282,TD!$B$32:$F$36,4,0)," ")</f>
        <v>20240255</v>
      </c>
      <c r="S282" s="51" t="s">
        <v>181</v>
      </c>
      <c r="T282" s="160" t="str">
        <f>IFERROR(VLOOKUP(S282,TD!$J$33:$K$43,2,0)," ")</f>
        <v>Servicio de inspecciones técnicas realizadas</v>
      </c>
      <c r="U282" s="161" t="str">
        <f>CONCATENATE(S282,"-",T282)</f>
        <v>06-Servicio de inspecciones técnicas realizadas</v>
      </c>
      <c r="V282" s="51" t="s">
        <v>234</v>
      </c>
      <c r="W282" s="160" t="str">
        <f>IFERROR(VLOOKUP(V282,TD!$N$33:$O$45,2,0)," ")</f>
        <v>Servicio prevención y control de incendios</v>
      </c>
      <c r="X282" s="161" t="str">
        <f>CONCATENATE(V282,"_",W282)</f>
        <v>035_Servicio prevención y control de incendios</v>
      </c>
      <c r="Y282" s="161" t="str">
        <f>CONCATENATE(U282," ",X282)</f>
        <v>06-Servicio de inspecciones técnicas realizadas 035_Servicio prevención y control de incendios</v>
      </c>
      <c r="Z282" s="160" t="str">
        <f>CONCATENATE(P282,Q282,R282,S282,V282)</f>
        <v>O23011745032024025506035</v>
      </c>
      <c r="AA282" s="160" t="str">
        <f>IFERROR(VLOOKUP(Y282,TD!$K$46:$L$64,2,0)," ")</f>
        <v>PM/0131/0106/45030350255</v>
      </c>
      <c r="AB282" s="53" t="s">
        <v>138</v>
      </c>
      <c r="AC282" s="162" t="s">
        <v>204</v>
      </c>
    </row>
    <row r="283" spans="2:29" s="28" customFormat="1" ht="99" customHeight="1" x14ac:dyDescent="0.35">
      <c r="B283" s="77">
        <v>20250288</v>
      </c>
      <c r="C283" s="50" t="s">
        <v>209</v>
      </c>
      <c r="D283" s="158" t="s">
        <v>167</v>
      </c>
      <c r="E283" s="51" t="s">
        <v>527</v>
      </c>
      <c r="F283" s="158" t="s">
        <v>370</v>
      </c>
      <c r="G283" s="158" t="s">
        <v>155</v>
      </c>
      <c r="H283" s="97">
        <v>80111600</v>
      </c>
      <c r="I283" s="159">
        <v>1</v>
      </c>
      <c r="J283" s="159">
        <v>10</v>
      </c>
      <c r="K283" s="52">
        <v>0</v>
      </c>
      <c r="L283" s="153">
        <v>90000000</v>
      </c>
      <c r="M283" s="158" t="s">
        <v>473</v>
      </c>
      <c r="N283" s="53" t="s">
        <v>530</v>
      </c>
      <c r="O283" s="51" t="s">
        <v>221</v>
      </c>
      <c r="P283" s="160" t="str">
        <f>IFERROR(VLOOKUP(C283,TD!$B$32:$F$36,2,0)," ")</f>
        <v>O230117</v>
      </c>
      <c r="Q283" s="160" t="str">
        <f>IFERROR(VLOOKUP(C283,TD!$B$32:$F$36,3,0)," ")</f>
        <v>4503</v>
      </c>
      <c r="R283" s="160">
        <f>IFERROR(VLOOKUP(C283,TD!$B$32:$F$36,4,0)," ")</f>
        <v>20240255</v>
      </c>
      <c r="S283" s="51" t="s">
        <v>177</v>
      </c>
      <c r="T283" s="160" t="str">
        <f>IFERROR(VLOOKUP(S283,TD!$J$33:$K$43,2,0)," ")</f>
        <v>Servicio de capacitaciones en gestión del riesgo de incendios  a la ciudadania.</v>
      </c>
      <c r="U283" s="161" t="str">
        <f>CONCATENATE(S283,"-",T283)</f>
        <v>05-Servicio de capacitaciones en gestión del riesgo de incendios  a la ciudadania.</v>
      </c>
      <c r="V283" s="51" t="s">
        <v>234</v>
      </c>
      <c r="W283" s="160" t="str">
        <f>IFERROR(VLOOKUP(V283,TD!$N$33:$O$45,2,0)," ")</f>
        <v>Servicio prevención y control de incendios</v>
      </c>
      <c r="X283" s="161" t="str">
        <f>CONCATENATE(V283,"_",W283)</f>
        <v>035_Servicio prevención y control de incendios</v>
      </c>
      <c r="Y283" s="161" t="str">
        <f>CONCATENATE(U283," ",X283)</f>
        <v>05-Servicio de capacitaciones en gestión del riesgo de incendios  a la ciudadania. 035_Servicio prevención y control de incendios</v>
      </c>
      <c r="Z283" s="160" t="str">
        <f>CONCATENATE(P283,Q283,R283,S283,V283)</f>
        <v>O23011745032024025505035</v>
      </c>
      <c r="AA283" s="160" t="str">
        <f>IFERROR(VLOOKUP(Y283,TD!$K$46:$L$64,2,0)," ")</f>
        <v>PM/0131/0105/45030350255</v>
      </c>
      <c r="AB283" s="53" t="s">
        <v>138</v>
      </c>
      <c r="AC283" s="162" t="s">
        <v>204</v>
      </c>
    </row>
    <row r="284" spans="2:29" s="28" customFormat="1" ht="99" customHeight="1" x14ac:dyDescent="0.35">
      <c r="B284" s="77">
        <v>20250289</v>
      </c>
      <c r="C284" s="50" t="s">
        <v>209</v>
      </c>
      <c r="D284" s="158" t="s">
        <v>167</v>
      </c>
      <c r="E284" s="51" t="s">
        <v>527</v>
      </c>
      <c r="F284" s="158" t="s">
        <v>370</v>
      </c>
      <c r="G284" s="158" t="s">
        <v>155</v>
      </c>
      <c r="H284" s="97">
        <v>80111600</v>
      </c>
      <c r="I284" s="159">
        <v>1</v>
      </c>
      <c r="J284" s="163">
        <v>10</v>
      </c>
      <c r="K284" s="151">
        <v>0</v>
      </c>
      <c r="L284" s="154">
        <f>44000000+6000000</f>
        <v>50000000</v>
      </c>
      <c r="M284" s="158" t="s">
        <v>473</v>
      </c>
      <c r="N284" s="53" t="s">
        <v>530</v>
      </c>
      <c r="O284" s="51" t="s">
        <v>221</v>
      </c>
      <c r="P284" s="160" t="str">
        <f>IFERROR(VLOOKUP(C284,TD!$B$32:$F$36,2,0)," ")</f>
        <v>O230117</v>
      </c>
      <c r="Q284" s="160" t="str">
        <f>IFERROR(VLOOKUP(C284,TD!$B$32:$F$36,3,0)," ")</f>
        <v>4503</v>
      </c>
      <c r="R284" s="160">
        <f>IFERROR(VLOOKUP(C284,TD!$B$32:$F$36,4,0)," ")</f>
        <v>20240255</v>
      </c>
      <c r="S284" s="51" t="s">
        <v>177</v>
      </c>
      <c r="T284" s="160" t="str">
        <f>IFERROR(VLOOKUP(S284,TD!$J$33:$K$43,2,0)," ")</f>
        <v>Servicio de capacitaciones en gestión del riesgo de incendios  a la ciudadania.</v>
      </c>
      <c r="U284" s="161" t="str">
        <f>CONCATENATE(S284,"-",T284)</f>
        <v>05-Servicio de capacitaciones en gestión del riesgo de incendios  a la ciudadania.</v>
      </c>
      <c r="V284" s="51" t="s">
        <v>234</v>
      </c>
      <c r="W284" s="160" t="str">
        <f>IFERROR(VLOOKUP(V284,TD!$N$33:$O$45,2,0)," ")</f>
        <v>Servicio prevención y control de incendios</v>
      </c>
      <c r="X284" s="161" t="str">
        <f>CONCATENATE(V284,"_",W284)</f>
        <v>035_Servicio prevención y control de incendios</v>
      </c>
      <c r="Y284" s="161" t="str">
        <f>CONCATENATE(U284," ",X284)</f>
        <v>05-Servicio de capacitaciones en gestión del riesgo de incendios  a la ciudadania. 035_Servicio prevención y control de incendios</v>
      </c>
      <c r="Z284" s="160" t="str">
        <f>CONCATENATE(P284,Q284,R284,S284,V284)</f>
        <v>O23011745032024025505035</v>
      </c>
      <c r="AA284" s="160" t="str">
        <f>IFERROR(VLOOKUP(Y284,TD!$K$46:$L$64,2,0)," ")</f>
        <v>PM/0131/0105/45030350255</v>
      </c>
      <c r="AB284" s="53" t="s">
        <v>138</v>
      </c>
      <c r="AC284" s="162" t="s">
        <v>204</v>
      </c>
    </row>
    <row r="285" spans="2:29" s="28" customFormat="1" ht="99" customHeight="1" x14ac:dyDescent="0.35">
      <c r="B285" s="77">
        <v>20250290</v>
      </c>
      <c r="C285" s="50" t="s">
        <v>209</v>
      </c>
      <c r="D285" s="158" t="s">
        <v>167</v>
      </c>
      <c r="E285" s="51" t="s">
        <v>527</v>
      </c>
      <c r="F285" s="158" t="s">
        <v>370</v>
      </c>
      <c r="G285" s="158" t="s">
        <v>155</v>
      </c>
      <c r="H285" s="97">
        <v>80111600</v>
      </c>
      <c r="I285" s="159">
        <v>1</v>
      </c>
      <c r="J285" s="163">
        <v>10</v>
      </c>
      <c r="K285" s="151">
        <v>0</v>
      </c>
      <c r="L285" s="154">
        <f>77000000-7000000</f>
        <v>70000000</v>
      </c>
      <c r="M285" s="158" t="s">
        <v>473</v>
      </c>
      <c r="N285" s="53" t="s">
        <v>530</v>
      </c>
      <c r="O285" s="51" t="s">
        <v>221</v>
      </c>
      <c r="P285" s="160" t="str">
        <f>IFERROR(VLOOKUP(C285,TD!$B$32:$F$36,2,0)," ")</f>
        <v>O230117</v>
      </c>
      <c r="Q285" s="160" t="str">
        <f>IFERROR(VLOOKUP(C285,TD!$B$32:$F$36,3,0)," ")</f>
        <v>4503</v>
      </c>
      <c r="R285" s="160">
        <f>IFERROR(VLOOKUP(C285,TD!$B$32:$F$36,4,0)," ")</f>
        <v>20240255</v>
      </c>
      <c r="S285" s="51" t="s">
        <v>177</v>
      </c>
      <c r="T285" s="160" t="str">
        <f>IFERROR(VLOOKUP(S285,TD!$J$33:$K$43,2,0)," ")</f>
        <v>Servicio de capacitaciones en gestión del riesgo de incendios  a la ciudadania.</v>
      </c>
      <c r="U285" s="161" t="str">
        <f>CONCATENATE(S285,"-",T285)</f>
        <v>05-Servicio de capacitaciones en gestión del riesgo de incendios  a la ciudadania.</v>
      </c>
      <c r="V285" s="51" t="s">
        <v>234</v>
      </c>
      <c r="W285" s="160" t="str">
        <f>IFERROR(VLOOKUP(V285,TD!$N$33:$O$45,2,0)," ")</f>
        <v>Servicio prevención y control de incendios</v>
      </c>
      <c r="X285" s="161" t="str">
        <f>CONCATENATE(V285,"_",W285)</f>
        <v>035_Servicio prevención y control de incendios</v>
      </c>
      <c r="Y285" s="161" t="str">
        <f>CONCATENATE(U285," ",X285)</f>
        <v>05-Servicio de capacitaciones en gestión del riesgo de incendios  a la ciudadania. 035_Servicio prevención y control de incendios</v>
      </c>
      <c r="Z285" s="160" t="str">
        <f>CONCATENATE(P285,Q285,R285,S285,V285)</f>
        <v>O23011745032024025505035</v>
      </c>
      <c r="AA285" s="160" t="str">
        <f>IFERROR(VLOOKUP(Y285,TD!$K$46:$L$64,2,0)," ")</f>
        <v>PM/0131/0105/45030350255</v>
      </c>
      <c r="AB285" s="53" t="s">
        <v>138</v>
      </c>
      <c r="AC285" s="162" t="s">
        <v>204</v>
      </c>
    </row>
    <row r="286" spans="2:29" s="28" customFormat="1" ht="99" customHeight="1" x14ac:dyDescent="0.35">
      <c r="B286" s="77">
        <v>20250293</v>
      </c>
      <c r="C286" s="50" t="s">
        <v>209</v>
      </c>
      <c r="D286" s="158" t="s">
        <v>169</v>
      </c>
      <c r="E286" s="51" t="s">
        <v>545</v>
      </c>
      <c r="F286" s="158" t="s">
        <v>546</v>
      </c>
      <c r="G286" s="158" t="s">
        <v>156</v>
      </c>
      <c r="H286" s="97">
        <v>80111600</v>
      </c>
      <c r="I286" s="159">
        <v>2</v>
      </c>
      <c r="J286" s="159">
        <v>6</v>
      </c>
      <c r="K286" s="52">
        <v>0</v>
      </c>
      <c r="L286" s="153">
        <v>18000000</v>
      </c>
      <c r="M286" s="158" t="s">
        <v>473</v>
      </c>
      <c r="N286" s="53" t="s">
        <v>113</v>
      </c>
      <c r="O286" s="51" t="s">
        <v>222</v>
      </c>
      <c r="P286" s="160" t="str">
        <f>IFERROR(VLOOKUP(C286,TD!$B$32:$F$36,2,0)," ")</f>
        <v>O230117</v>
      </c>
      <c r="Q286" s="160" t="str">
        <f>IFERROR(VLOOKUP(C286,TD!$B$32:$F$36,3,0)," ")</f>
        <v>4503</v>
      </c>
      <c r="R286" s="160">
        <f>IFERROR(VLOOKUP(C286,TD!$B$32:$F$36,4,0)," ")</f>
        <v>20240255</v>
      </c>
      <c r="S286" s="51" t="s">
        <v>175</v>
      </c>
      <c r="T286" s="160" t="str">
        <f>IFERROR(VLOOKUP(S286,TD!$J$33:$K$43,2,0)," ")</f>
        <v>Servicio de atención a incidentes y emergencias.</v>
      </c>
      <c r="U286" s="161" t="str">
        <f>CONCATENATE(S286,"-",T286)</f>
        <v>04-Servicio de atención a incidentes y emergencias.</v>
      </c>
      <c r="V286" s="51" t="s">
        <v>232</v>
      </c>
      <c r="W286" s="160" t="str">
        <f>IFERROR(VLOOKUP(V286,TD!$N$33:$O$45,2,0)," ")</f>
        <v>Servicio de atención a emergencias y desastres</v>
      </c>
      <c r="X286" s="161" t="str">
        <f>CONCATENATE(V286,"_",W286)</f>
        <v>004_Servicio de atención a emergencias y desastres</v>
      </c>
      <c r="Y286" s="161" t="str">
        <f>CONCATENATE(U286," ",X286)</f>
        <v>04-Servicio de atención a incidentes y emergencias. 004_Servicio de atención a emergencias y desastres</v>
      </c>
      <c r="Z286" s="160" t="str">
        <f>CONCATENATE(P286,Q286,R286,S286,V286)</f>
        <v>O23011745032024025504004</v>
      </c>
      <c r="AA286" s="160" t="str">
        <f>IFERROR(VLOOKUP(Y286,TD!$K$46:$L$64,2,0)," ")</f>
        <v>PM/0131/0104/45030040255</v>
      </c>
      <c r="AB286" s="53" t="s">
        <v>138</v>
      </c>
      <c r="AC286" s="162" t="s">
        <v>204</v>
      </c>
    </row>
    <row r="287" spans="2:29" s="28" customFormat="1" ht="99" customHeight="1" x14ac:dyDescent="0.35">
      <c r="B287" s="77">
        <v>20250294</v>
      </c>
      <c r="C287" s="50" t="s">
        <v>209</v>
      </c>
      <c r="D287" s="158" t="s">
        <v>169</v>
      </c>
      <c r="E287" s="51" t="s">
        <v>545</v>
      </c>
      <c r="F287" s="158" t="s">
        <v>546</v>
      </c>
      <c r="G287" s="158" t="s">
        <v>156</v>
      </c>
      <c r="H287" s="97">
        <v>80111600</v>
      </c>
      <c r="I287" s="159">
        <v>2</v>
      </c>
      <c r="J287" s="159">
        <v>6</v>
      </c>
      <c r="K287" s="52">
        <v>0</v>
      </c>
      <c r="L287" s="153">
        <v>18000000</v>
      </c>
      <c r="M287" s="158" t="s">
        <v>473</v>
      </c>
      <c r="N287" s="53" t="s">
        <v>113</v>
      </c>
      <c r="O287" s="51" t="s">
        <v>222</v>
      </c>
      <c r="P287" s="160" t="str">
        <f>IFERROR(VLOOKUP(C287,TD!$B$32:$F$36,2,0)," ")</f>
        <v>O230117</v>
      </c>
      <c r="Q287" s="160" t="str">
        <f>IFERROR(VLOOKUP(C287,TD!$B$32:$F$36,3,0)," ")</f>
        <v>4503</v>
      </c>
      <c r="R287" s="160">
        <f>IFERROR(VLOOKUP(C287,TD!$B$32:$F$36,4,0)," ")</f>
        <v>20240255</v>
      </c>
      <c r="S287" s="51" t="s">
        <v>175</v>
      </c>
      <c r="T287" s="160" t="str">
        <f>IFERROR(VLOOKUP(S287,TD!$J$33:$K$43,2,0)," ")</f>
        <v>Servicio de atención a incidentes y emergencias.</v>
      </c>
      <c r="U287" s="161" t="str">
        <f>CONCATENATE(S287,"-",T287)</f>
        <v>04-Servicio de atención a incidentes y emergencias.</v>
      </c>
      <c r="V287" s="51" t="s">
        <v>232</v>
      </c>
      <c r="W287" s="160" t="str">
        <f>IFERROR(VLOOKUP(V287,TD!$N$33:$O$45,2,0)," ")</f>
        <v>Servicio de atención a emergencias y desastres</v>
      </c>
      <c r="X287" s="161" t="str">
        <f>CONCATENATE(V287,"_",W287)</f>
        <v>004_Servicio de atención a emergencias y desastres</v>
      </c>
      <c r="Y287" s="161" t="str">
        <f>CONCATENATE(U287," ",X287)</f>
        <v>04-Servicio de atención a incidentes y emergencias. 004_Servicio de atención a emergencias y desastres</v>
      </c>
      <c r="Z287" s="160" t="str">
        <f>CONCATENATE(P287,Q287,R287,S287,V287)</f>
        <v>O23011745032024025504004</v>
      </c>
      <c r="AA287" s="160" t="str">
        <f>IFERROR(VLOOKUP(Y287,TD!$K$46:$L$64,2,0)," ")</f>
        <v>PM/0131/0104/45030040255</v>
      </c>
      <c r="AB287" s="53" t="s">
        <v>138</v>
      </c>
      <c r="AC287" s="162" t="s">
        <v>204</v>
      </c>
    </row>
    <row r="288" spans="2:29" s="28" customFormat="1" ht="99" customHeight="1" x14ac:dyDescent="0.35">
      <c r="B288" s="77">
        <v>20250295</v>
      </c>
      <c r="C288" s="50" t="s">
        <v>209</v>
      </c>
      <c r="D288" s="158" t="s">
        <v>169</v>
      </c>
      <c r="E288" s="51" t="s">
        <v>545</v>
      </c>
      <c r="F288" s="158" t="s">
        <v>546</v>
      </c>
      <c r="G288" s="158" t="s">
        <v>156</v>
      </c>
      <c r="H288" s="97">
        <v>80111600</v>
      </c>
      <c r="I288" s="159">
        <v>2</v>
      </c>
      <c r="J288" s="159">
        <v>6</v>
      </c>
      <c r="K288" s="52">
        <v>0</v>
      </c>
      <c r="L288" s="153">
        <v>18000000</v>
      </c>
      <c r="M288" s="158" t="s">
        <v>473</v>
      </c>
      <c r="N288" s="53" t="s">
        <v>113</v>
      </c>
      <c r="O288" s="51" t="s">
        <v>222</v>
      </c>
      <c r="P288" s="160" t="str">
        <f>IFERROR(VLOOKUP(C288,TD!$B$32:$F$36,2,0)," ")</f>
        <v>O230117</v>
      </c>
      <c r="Q288" s="160" t="str">
        <f>IFERROR(VLOOKUP(C288,TD!$B$32:$F$36,3,0)," ")</f>
        <v>4503</v>
      </c>
      <c r="R288" s="160">
        <f>IFERROR(VLOOKUP(C288,TD!$B$32:$F$36,4,0)," ")</f>
        <v>20240255</v>
      </c>
      <c r="S288" s="51" t="s">
        <v>175</v>
      </c>
      <c r="T288" s="160" t="str">
        <f>IFERROR(VLOOKUP(S288,TD!$J$33:$K$43,2,0)," ")</f>
        <v>Servicio de atención a incidentes y emergencias.</v>
      </c>
      <c r="U288" s="161" t="str">
        <f>CONCATENATE(S288,"-",T288)</f>
        <v>04-Servicio de atención a incidentes y emergencias.</v>
      </c>
      <c r="V288" s="51" t="s">
        <v>232</v>
      </c>
      <c r="W288" s="160" t="str">
        <f>IFERROR(VLOOKUP(V288,TD!$N$33:$O$45,2,0)," ")</f>
        <v>Servicio de atención a emergencias y desastres</v>
      </c>
      <c r="X288" s="161" t="str">
        <f>CONCATENATE(V288,"_",W288)</f>
        <v>004_Servicio de atención a emergencias y desastres</v>
      </c>
      <c r="Y288" s="161" t="str">
        <f>CONCATENATE(U288," ",X288)</f>
        <v>04-Servicio de atención a incidentes y emergencias. 004_Servicio de atención a emergencias y desastres</v>
      </c>
      <c r="Z288" s="160" t="str">
        <f>CONCATENATE(P288,Q288,R288,S288,V288)</f>
        <v>O23011745032024025504004</v>
      </c>
      <c r="AA288" s="160" t="str">
        <f>IFERROR(VLOOKUP(Y288,TD!$K$46:$L$64,2,0)," ")</f>
        <v>PM/0131/0104/45030040255</v>
      </c>
      <c r="AB288" s="53" t="s">
        <v>138</v>
      </c>
      <c r="AC288" s="162" t="s">
        <v>204</v>
      </c>
    </row>
    <row r="289" spans="2:29" s="28" customFormat="1" ht="99" customHeight="1" x14ac:dyDescent="0.35">
      <c r="B289" s="77">
        <v>20250296</v>
      </c>
      <c r="C289" s="50" t="s">
        <v>209</v>
      </c>
      <c r="D289" s="158" t="s">
        <v>169</v>
      </c>
      <c r="E289" s="51" t="s">
        <v>545</v>
      </c>
      <c r="F289" s="158" t="s">
        <v>546</v>
      </c>
      <c r="G289" s="158" t="s">
        <v>156</v>
      </c>
      <c r="H289" s="97">
        <v>80111600</v>
      </c>
      <c r="I289" s="159">
        <v>2</v>
      </c>
      <c r="J289" s="159">
        <v>6</v>
      </c>
      <c r="K289" s="52">
        <v>0</v>
      </c>
      <c r="L289" s="153">
        <v>18000000</v>
      </c>
      <c r="M289" s="158" t="s">
        <v>473</v>
      </c>
      <c r="N289" s="53" t="s">
        <v>113</v>
      </c>
      <c r="O289" s="51" t="s">
        <v>222</v>
      </c>
      <c r="P289" s="160" t="str">
        <f>IFERROR(VLOOKUP(C289,TD!$B$32:$F$36,2,0)," ")</f>
        <v>O230117</v>
      </c>
      <c r="Q289" s="160" t="str">
        <f>IFERROR(VLOOKUP(C289,TD!$B$32:$F$36,3,0)," ")</f>
        <v>4503</v>
      </c>
      <c r="R289" s="160">
        <f>IFERROR(VLOOKUP(C289,TD!$B$32:$F$36,4,0)," ")</f>
        <v>20240255</v>
      </c>
      <c r="S289" s="51" t="s">
        <v>175</v>
      </c>
      <c r="T289" s="160" t="str">
        <f>IFERROR(VLOOKUP(S289,TD!$J$33:$K$43,2,0)," ")</f>
        <v>Servicio de atención a incidentes y emergencias.</v>
      </c>
      <c r="U289" s="161" t="str">
        <f>CONCATENATE(S289,"-",T289)</f>
        <v>04-Servicio de atención a incidentes y emergencias.</v>
      </c>
      <c r="V289" s="51" t="s">
        <v>232</v>
      </c>
      <c r="W289" s="160" t="str">
        <f>IFERROR(VLOOKUP(V289,TD!$N$33:$O$45,2,0)," ")</f>
        <v>Servicio de atención a emergencias y desastres</v>
      </c>
      <c r="X289" s="161" t="str">
        <f>CONCATENATE(V289,"_",W289)</f>
        <v>004_Servicio de atención a emergencias y desastres</v>
      </c>
      <c r="Y289" s="161" t="str">
        <f>CONCATENATE(U289," ",X289)</f>
        <v>04-Servicio de atención a incidentes y emergencias. 004_Servicio de atención a emergencias y desastres</v>
      </c>
      <c r="Z289" s="160" t="str">
        <f>CONCATENATE(P289,Q289,R289,S289,V289)</f>
        <v>O23011745032024025504004</v>
      </c>
      <c r="AA289" s="160" t="str">
        <f>IFERROR(VLOOKUP(Y289,TD!$K$46:$L$64,2,0)," ")</f>
        <v>PM/0131/0104/45030040255</v>
      </c>
      <c r="AB289" s="53" t="s">
        <v>138</v>
      </c>
      <c r="AC289" s="162" t="s">
        <v>204</v>
      </c>
    </row>
    <row r="290" spans="2:29" s="28" customFormat="1" ht="99" customHeight="1" x14ac:dyDescent="0.35">
      <c r="B290" s="77">
        <v>20250297</v>
      </c>
      <c r="C290" s="50" t="s">
        <v>209</v>
      </c>
      <c r="D290" s="158" t="s">
        <v>169</v>
      </c>
      <c r="E290" s="51" t="s">
        <v>545</v>
      </c>
      <c r="F290" s="158" t="s">
        <v>546</v>
      </c>
      <c r="G290" s="158" t="s">
        <v>156</v>
      </c>
      <c r="H290" s="97">
        <v>80111600</v>
      </c>
      <c r="I290" s="159">
        <v>3</v>
      </c>
      <c r="J290" s="159">
        <v>6</v>
      </c>
      <c r="K290" s="52">
        <v>0</v>
      </c>
      <c r="L290" s="153">
        <v>18000000</v>
      </c>
      <c r="M290" s="158" t="s">
        <v>473</v>
      </c>
      <c r="N290" s="53" t="s">
        <v>113</v>
      </c>
      <c r="O290" s="51" t="s">
        <v>222</v>
      </c>
      <c r="P290" s="160" t="str">
        <f>IFERROR(VLOOKUP(C290,TD!$B$32:$F$36,2,0)," ")</f>
        <v>O230117</v>
      </c>
      <c r="Q290" s="160" t="str">
        <f>IFERROR(VLOOKUP(C290,TD!$B$32:$F$36,3,0)," ")</f>
        <v>4503</v>
      </c>
      <c r="R290" s="160">
        <f>IFERROR(VLOOKUP(C290,TD!$B$32:$F$36,4,0)," ")</f>
        <v>20240255</v>
      </c>
      <c r="S290" s="51" t="s">
        <v>175</v>
      </c>
      <c r="T290" s="160" t="str">
        <f>IFERROR(VLOOKUP(S290,TD!$J$33:$K$43,2,0)," ")</f>
        <v>Servicio de atención a incidentes y emergencias.</v>
      </c>
      <c r="U290" s="161" t="str">
        <f>CONCATENATE(S290,"-",T290)</f>
        <v>04-Servicio de atención a incidentes y emergencias.</v>
      </c>
      <c r="V290" s="51" t="s">
        <v>232</v>
      </c>
      <c r="W290" s="160" t="str">
        <f>IFERROR(VLOOKUP(V290,TD!$N$33:$O$45,2,0)," ")</f>
        <v>Servicio de atención a emergencias y desastres</v>
      </c>
      <c r="X290" s="161" t="str">
        <f>CONCATENATE(V290,"_",W290)</f>
        <v>004_Servicio de atención a emergencias y desastres</v>
      </c>
      <c r="Y290" s="161" t="str">
        <f>CONCATENATE(U290," ",X290)</f>
        <v>04-Servicio de atención a incidentes y emergencias. 004_Servicio de atención a emergencias y desastres</v>
      </c>
      <c r="Z290" s="160" t="str">
        <f>CONCATENATE(P290,Q290,R290,S290,V290)</f>
        <v>O23011745032024025504004</v>
      </c>
      <c r="AA290" s="160" t="str">
        <f>IFERROR(VLOOKUP(Y290,TD!$K$46:$L$64,2,0)," ")</f>
        <v>PM/0131/0104/45030040255</v>
      </c>
      <c r="AB290" s="53" t="s">
        <v>138</v>
      </c>
      <c r="AC290" s="162" t="s">
        <v>204</v>
      </c>
    </row>
    <row r="291" spans="2:29" s="28" customFormat="1" ht="99" customHeight="1" x14ac:dyDescent="0.35">
      <c r="B291" s="77">
        <v>20250298</v>
      </c>
      <c r="C291" s="50" t="s">
        <v>209</v>
      </c>
      <c r="D291" s="158" t="s">
        <v>169</v>
      </c>
      <c r="E291" s="51" t="s">
        <v>545</v>
      </c>
      <c r="F291" s="158" t="s">
        <v>546</v>
      </c>
      <c r="G291" s="158" t="s">
        <v>156</v>
      </c>
      <c r="H291" s="97">
        <v>80111600</v>
      </c>
      <c r="I291" s="159">
        <v>3</v>
      </c>
      <c r="J291" s="159">
        <v>6</v>
      </c>
      <c r="K291" s="52">
        <v>0</v>
      </c>
      <c r="L291" s="153">
        <v>18000000</v>
      </c>
      <c r="M291" s="158" t="s">
        <v>473</v>
      </c>
      <c r="N291" s="53" t="s">
        <v>113</v>
      </c>
      <c r="O291" s="51" t="s">
        <v>222</v>
      </c>
      <c r="P291" s="160" t="str">
        <f>IFERROR(VLOOKUP(C291,TD!$B$32:$F$36,2,0)," ")</f>
        <v>O230117</v>
      </c>
      <c r="Q291" s="160" t="str">
        <f>IFERROR(VLOOKUP(C291,TD!$B$32:$F$36,3,0)," ")</f>
        <v>4503</v>
      </c>
      <c r="R291" s="160">
        <f>IFERROR(VLOOKUP(C291,TD!$B$32:$F$36,4,0)," ")</f>
        <v>20240255</v>
      </c>
      <c r="S291" s="51" t="s">
        <v>175</v>
      </c>
      <c r="T291" s="160" t="str">
        <f>IFERROR(VLOOKUP(S291,TD!$J$33:$K$43,2,0)," ")</f>
        <v>Servicio de atención a incidentes y emergencias.</v>
      </c>
      <c r="U291" s="161" t="str">
        <f>CONCATENATE(S291,"-",T291)</f>
        <v>04-Servicio de atención a incidentes y emergencias.</v>
      </c>
      <c r="V291" s="51" t="s">
        <v>232</v>
      </c>
      <c r="W291" s="160" t="str">
        <f>IFERROR(VLOOKUP(V291,TD!$N$33:$O$45,2,0)," ")</f>
        <v>Servicio de atención a emergencias y desastres</v>
      </c>
      <c r="X291" s="161" t="str">
        <f>CONCATENATE(V291,"_",W291)</f>
        <v>004_Servicio de atención a emergencias y desastres</v>
      </c>
      <c r="Y291" s="161" t="str">
        <f>CONCATENATE(U291," ",X291)</f>
        <v>04-Servicio de atención a incidentes y emergencias. 004_Servicio de atención a emergencias y desastres</v>
      </c>
      <c r="Z291" s="160" t="str">
        <f>CONCATENATE(P291,Q291,R291,S291,V291)</f>
        <v>O23011745032024025504004</v>
      </c>
      <c r="AA291" s="160" t="str">
        <f>IFERROR(VLOOKUP(Y291,TD!$K$46:$L$64,2,0)," ")</f>
        <v>PM/0131/0104/45030040255</v>
      </c>
      <c r="AB291" s="53" t="s">
        <v>138</v>
      </c>
      <c r="AC291" s="162" t="s">
        <v>204</v>
      </c>
    </row>
    <row r="292" spans="2:29" s="28" customFormat="1" ht="99" customHeight="1" x14ac:dyDescent="0.35">
      <c r="B292" s="77">
        <v>20250299</v>
      </c>
      <c r="C292" s="50" t="s">
        <v>209</v>
      </c>
      <c r="D292" s="158" t="s">
        <v>169</v>
      </c>
      <c r="E292" s="51" t="s">
        <v>545</v>
      </c>
      <c r="F292" s="158" t="s">
        <v>546</v>
      </c>
      <c r="G292" s="158" t="s">
        <v>156</v>
      </c>
      <c r="H292" s="97">
        <v>80111600</v>
      </c>
      <c r="I292" s="159">
        <v>3</v>
      </c>
      <c r="J292" s="159">
        <v>6</v>
      </c>
      <c r="K292" s="52">
        <v>0</v>
      </c>
      <c r="L292" s="153">
        <v>18000000</v>
      </c>
      <c r="M292" s="158" t="s">
        <v>473</v>
      </c>
      <c r="N292" s="53" t="s">
        <v>113</v>
      </c>
      <c r="O292" s="51" t="s">
        <v>222</v>
      </c>
      <c r="P292" s="160" t="str">
        <f>IFERROR(VLOOKUP(C292,TD!$B$32:$F$36,2,0)," ")</f>
        <v>O230117</v>
      </c>
      <c r="Q292" s="160" t="str">
        <f>IFERROR(VLOOKUP(C292,TD!$B$32:$F$36,3,0)," ")</f>
        <v>4503</v>
      </c>
      <c r="R292" s="160">
        <f>IFERROR(VLOOKUP(C292,TD!$B$32:$F$36,4,0)," ")</f>
        <v>20240255</v>
      </c>
      <c r="S292" s="51" t="s">
        <v>175</v>
      </c>
      <c r="T292" s="160" t="str">
        <f>IFERROR(VLOOKUP(S292,TD!$J$33:$K$43,2,0)," ")</f>
        <v>Servicio de atención a incidentes y emergencias.</v>
      </c>
      <c r="U292" s="161" t="str">
        <f>CONCATENATE(S292,"-",T292)</f>
        <v>04-Servicio de atención a incidentes y emergencias.</v>
      </c>
      <c r="V292" s="51" t="s">
        <v>232</v>
      </c>
      <c r="W292" s="160" t="str">
        <f>IFERROR(VLOOKUP(V292,TD!$N$33:$O$45,2,0)," ")</f>
        <v>Servicio de atención a emergencias y desastres</v>
      </c>
      <c r="X292" s="161" t="str">
        <f>CONCATENATE(V292,"_",W292)</f>
        <v>004_Servicio de atención a emergencias y desastres</v>
      </c>
      <c r="Y292" s="161" t="str">
        <f>CONCATENATE(U292," ",X292)</f>
        <v>04-Servicio de atención a incidentes y emergencias. 004_Servicio de atención a emergencias y desastres</v>
      </c>
      <c r="Z292" s="160" t="str">
        <f>CONCATENATE(P292,Q292,R292,S292,V292)</f>
        <v>O23011745032024025504004</v>
      </c>
      <c r="AA292" s="160" t="str">
        <f>IFERROR(VLOOKUP(Y292,TD!$K$46:$L$64,2,0)," ")</f>
        <v>PM/0131/0104/45030040255</v>
      </c>
      <c r="AB292" s="53" t="s">
        <v>138</v>
      </c>
      <c r="AC292" s="162" t="s">
        <v>204</v>
      </c>
    </row>
    <row r="293" spans="2:29" s="28" customFormat="1" ht="99" customHeight="1" x14ac:dyDescent="0.35">
      <c r="B293" s="77">
        <v>20250300</v>
      </c>
      <c r="C293" s="50" t="s">
        <v>209</v>
      </c>
      <c r="D293" s="158" t="s">
        <v>169</v>
      </c>
      <c r="E293" s="51" t="s">
        <v>545</v>
      </c>
      <c r="F293" s="158" t="s">
        <v>547</v>
      </c>
      <c r="G293" s="158" t="s">
        <v>156</v>
      </c>
      <c r="H293" s="97">
        <v>80111600</v>
      </c>
      <c r="I293" s="159">
        <v>2</v>
      </c>
      <c r="J293" s="159">
        <v>6</v>
      </c>
      <c r="K293" s="52">
        <v>0</v>
      </c>
      <c r="L293" s="153">
        <v>17400000</v>
      </c>
      <c r="M293" s="158" t="s">
        <v>473</v>
      </c>
      <c r="N293" s="53" t="s">
        <v>113</v>
      </c>
      <c r="O293" s="51" t="s">
        <v>222</v>
      </c>
      <c r="P293" s="160" t="str">
        <f>IFERROR(VLOOKUP(C293,TD!$B$32:$F$36,2,0)," ")</f>
        <v>O230117</v>
      </c>
      <c r="Q293" s="160" t="str">
        <f>IFERROR(VLOOKUP(C293,TD!$B$32:$F$36,3,0)," ")</f>
        <v>4503</v>
      </c>
      <c r="R293" s="160">
        <f>IFERROR(VLOOKUP(C293,TD!$B$32:$F$36,4,0)," ")</f>
        <v>20240255</v>
      </c>
      <c r="S293" s="51" t="s">
        <v>175</v>
      </c>
      <c r="T293" s="160" t="str">
        <f>IFERROR(VLOOKUP(S293,TD!$J$33:$K$43,2,0)," ")</f>
        <v>Servicio de atención a incidentes y emergencias.</v>
      </c>
      <c r="U293" s="161" t="str">
        <f>CONCATENATE(S293,"-",T293)</f>
        <v>04-Servicio de atención a incidentes y emergencias.</v>
      </c>
      <c r="V293" s="51" t="s">
        <v>232</v>
      </c>
      <c r="W293" s="160" t="str">
        <f>IFERROR(VLOOKUP(V293,TD!$N$33:$O$45,2,0)," ")</f>
        <v>Servicio de atención a emergencias y desastres</v>
      </c>
      <c r="X293" s="161" t="str">
        <f>CONCATENATE(V293,"_",W293)</f>
        <v>004_Servicio de atención a emergencias y desastres</v>
      </c>
      <c r="Y293" s="161" t="str">
        <f>CONCATENATE(U293," ",X293)</f>
        <v>04-Servicio de atención a incidentes y emergencias. 004_Servicio de atención a emergencias y desastres</v>
      </c>
      <c r="Z293" s="160" t="str">
        <f>CONCATENATE(P293,Q293,R293,S293,V293)</f>
        <v>O23011745032024025504004</v>
      </c>
      <c r="AA293" s="160" t="str">
        <f>IFERROR(VLOOKUP(Y293,TD!$K$46:$L$64,2,0)," ")</f>
        <v>PM/0131/0104/45030040255</v>
      </c>
      <c r="AB293" s="53" t="s">
        <v>138</v>
      </c>
      <c r="AC293" s="162" t="s">
        <v>204</v>
      </c>
    </row>
    <row r="294" spans="2:29" s="28" customFormat="1" ht="99" customHeight="1" x14ac:dyDescent="0.35">
      <c r="B294" s="77">
        <v>20250301</v>
      </c>
      <c r="C294" s="50" t="s">
        <v>209</v>
      </c>
      <c r="D294" s="158" t="s">
        <v>169</v>
      </c>
      <c r="E294" s="51" t="s">
        <v>545</v>
      </c>
      <c r="F294" s="158" t="s">
        <v>547</v>
      </c>
      <c r="G294" s="158" t="s">
        <v>156</v>
      </c>
      <c r="H294" s="97">
        <v>80111600</v>
      </c>
      <c r="I294" s="159">
        <v>2</v>
      </c>
      <c r="J294" s="159">
        <v>6</v>
      </c>
      <c r="K294" s="52">
        <v>0</v>
      </c>
      <c r="L294" s="153">
        <v>17400000</v>
      </c>
      <c r="M294" s="158" t="s">
        <v>473</v>
      </c>
      <c r="N294" s="53" t="s">
        <v>113</v>
      </c>
      <c r="O294" s="51" t="s">
        <v>222</v>
      </c>
      <c r="P294" s="160" t="str">
        <f>IFERROR(VLOOKUP(C294,TD!$B$32:$F$36,2,0)," ")</f>
        <v>O230117</v>
      </c>
      <c r="Q294" s="160" t="str">
        <f>IFERROR(VLOOKUP(C294,TD!$B$32:$F$36,3,0)," ")</f>
        <v>4503</v>
      </c>
      <c r="R294" s="160">
        <f>IFERROR(VLOOKUP(C294,TD!$B$32:$F$36,4,0)," ")</f>
        <v>20240255</v>
      </c>
      <c r="S294" s="51" t="s">
        <v>175</v>
      </c>
      <c r="T294" s="160" t="str">
        <f>IFERROR(VLOOKUP(S294,TD!$J$33:$K$43,2,0)," ")</f>
        <v>Servicio de atención a incidentes y emergencias.</v>
      </c>
      <c r="U294" s="161" t="str">
        <f>CONCATENATE(S294,"-",T294)</f>
        <v>04-Servicio de atención a incidentes y emergencias.</v>
      </c>
      <c r="V294" s="51" t="s">
        <v>232</v>
      </c>
      <c r="W294" s="160" t="str">
        <f>IFERROR(VLOOKUP(V294,TD!$N$33:$O$45,2,0)," ")</f>
        <v>Servicio de atención a emergencias y desastres</v>
      </c>
      <c r="X294" s="161" t="str">
        <f>CONCATENATE(V294,"_",W294)</f>
        <v>004_Servicio de atención a emergencias y desastres</v>
      </c>
      <c r="Y294" s="161" t="str">
        <f>CONCATENATE(U294," ",X294)</f>
        <v>04-Servicio de atención a incidentes y emergencias. 004_Servicio de atención a emergencias y desastres</v>
      </c>
      <c r="Z294" s="160" t="str">
        <f>CONCATENATE(P294,Q294,R294,S294,V294)</f>
        <v>O23011745032024025504004</v>
      </c>
      <c r="AA294" s="160" t="str">
        <f>IFERROR(VLOOKUP(Y294,TD!$K$46:$L$64,2,0)," ")</f>
        <v>PM/0131/0104/45030040255</v>
      </c>
      <c r="AB294" s="53" t="s">
        <v>138</v>
      </c>
      <c r="AC294" s="162" t="s">
        <v>204</v>
      </c>
    </row>
    <row r="295" spans="2:29" s="28" customFormat="1" ht="99" customHeight="1" x14ac:dyDescent="0.35">
      <c r="B295" s="77">
        <v>20250302</v>
      </c>
      <c r="C295" s="50" t="s">
        <v>209</v>
      </c>
      <c r="D295" s="158" t="s">
        <v>169</v>
      </c>
      <c r="E295" s="51" t="s">
        <v>545</v>
      </c>
      <c r="F295" s="158" t="s">
        <v>547</v>
      </c>
      <c r="G295" s="158" t="s">
        <v>156</v>
      </c>
      <c r="H295" s="97">
        <v>80111600</v>
      </c>
      <c r="I295" s="159">
        <v>2</v>
      </c>
      <c r="J295" s="159">
        <v>6</v>
      </c>
      <c r="K295" s="52">
        <v>0</v>
      </c>
      <c r="L295" s="153">
        <v>17400000</v>
      </c>
      <c r="M295" s="158" t="s">
        <v>473</v>
      </c>
      <c r="N295" s="53" t="s">
        <v>113</v>
      </c>
      <c r="O295" s="51" t="s">
        <v>222</v>
      </c>
      <c r="P295" s="160" t="str">
        <f>IFERROR(VLOOKUP(C295,TD!$B$32:$F$36,2,0)," ")</f>
        <v>O230117</v>
      </c>
      <c r="Q295" s="160" t="str">
        <f>IFERROR(VLOOKUP(C295,TD!$B$32:$F$36,3,0)," ")</f>
        <v>4503</v>
      </c>
      <c r="R295" s="160">
        <f>IFERROR(VLOOKUP(C295,TD!$B$32:$F$36,4,0)," ")</f>
        <v>20240255</v>
      </c>
      <c r="S295" s="51" t="s">
        <v>175</v>
      </c>
      <c r="T295" s="160" t="str">
        <f>IFERROR(VLOOKUP(S295,TD!$J$33:$K$43,2,0)," ")</f>
        <v>Servicio de atención a incidentes y emergencias.</v>
      </c>
      <c r="U295" s="161" t="str">
        <f>CONCATENATE(S295,"-",T295)</f>
        <v>04-Servicio de atención a incidentes y emergencias.</v>
      </c>
      <c r="V295" s="51" t="s">
        <v>232</v>
      </c>
      <c r="W295" s="160" t="str">
        <f>IFERROR(VLOOKUP(V295,TD!$N$33:$O$45,2,0)," ")</f>
        <v>Servicio de atención a emergencias y desastres</v>
      </c>
      <c r="X295" s="161" t="str">
        <f>CONCATENATE(V295,"_",W295)</f>
        <v>004_Servicio de atención a emergencias y desastres</v>
      </c>
      <c r="Y295" s="161" t="str">
        <f>CONCATENATE(U295," ",X295)</f>
        <v>04-Servicio de atención a incidentes y emergencias. 004_Servicio de atención a emergencias y desastres</v>
      </c>
      <c r="Z295" s="160" t="str">
        <f>CONCATENATE(P295,Q295,R295,S295,V295)</f>
        <v>O23011745032024025504004</v>
      </c>
      <c r="AA295" s="160" t="str">
        <f>IFERROR(VLOOKUP(Y295,TD!$K$46:$L$64,2,0)," ")</f>
        <v>PM/0131/0104/45030040255</v>
      </c>
      <c r="AB295" s="53" t="s">
        <v>138</v>
      </c>
      <c r="AC295" s="162" t="s">
        <v>204</v>
      </c>
    </row>
    <row r="296" spans="2:29" s="28" customFormat="1" ht="99" customHeight="1" x14ac:dyDescent="0.35">
      <c r="B296" s="77">
        <v>20250303</v>
      </c>
      <c r="C296" s="50" t="s">
        <v>209</v>
      </c>
      <c r="D296" s="158" t="s">
        <v>169</v>
      </c>
      <c r="E296" s="51" t="s">
        <v>545</v>
      </c>
      <c r="F296" s="158" t="s">
        <v>547</v>
      </c>
      <c r="G296" s="158" t="s">
        <v>156</v>
      </c>
      <c r="H296" s="97">
        <v>80111600</v>
      </c>
      <c r="I296" s="159">
        <v>2</v>
      </c>
      <c r="J296" s="159">
        <v>6</v>
      </c>
      <c r="K296" s="52">
        <v>0</v>
      </c>
      <c r="L296" s="153">
        <v>17400000</v>
      </c>
      <c r="M296" s="158" t="s">
        <v>473</v>
      </c>
      <c r="N296" s="53" t="s">
        <v>113</v>
      </c>
      <c r="O296" s="51" t="s">
        <v>222</v>
      </c>
      <c r="P296" s="160" t="str">
        <f>IFERROR(VLOOKUP(C296,TD!$B$32:$F$36,2,0)," ")</f>
        <v>O230117</v>
      </c>
      <c r="Q296" s="160" t="str">
        <f>IFERROR(VLOOKUP(C296,TD!$B$32:$F$36,3,0)," ")</f>
        <v>4503</v>
      </c>
      <c r="R296" s="160">
        <f>IFERROR(VLOOKUP(C296,TD!$B$32:$F$36,4,0)," ")</f>
        <v>20240255</v>
      </c>
      <c r="S296" s="51" t="s">
        <v>175</v>
      </c>
      <c r="T296" s="160" t="str">
        <f>IFERROR(VLOOKUP(S296,TD!$J$33:$K$43,2,0)," ")</f>
        <v>Servicio de atención a incidentes y emergencias.</v>
      </c>
      <c r="U296" s="161" t="str">
        <f>CONCATENATE(S296,"-",T296)</f>
        <v>04-Servicio de atención a incidentes y emergencias.</v>
      </c>
      <c r="V296" s="51" t="s">
        <v>232</v>
      </c>
      <c r="W296" s="160" t="str">
        <f>IFERROR(VLOOKUP(V296,TD!$N$33:$O$45,2,0)," ")</f>
        <v>Servicio de atención a emergencias y desastres</v>
      </c>
      <c r="X296" s="161" t="str">
        <f>CONCATENATE(V296,"_",W296)</f>
        <v>004_Servicio de atención a emergencias y desastres</v>
      </c>
      <c r="Y296" s="161" t="str">
        <f>CONCATENATE(U296," ",X296)</f>
        <v>04-Servicio de atención a incidentes y emergencias. 004_Servicio de atención a emergencias y desastres</v>
      </c>
      <c r="Z296" s="160" t="str">
        <f>CONCATENATE(P296,Q296,R296,S296,V296)</f>
        <v>O23011745032024025504004</v>
      </c>
      <c r="AA296" s="160" t="str">
        <f>IFERROR(VLOOKUP(Y296,TD!$K$46:$L$64,2,0)," ")</f>
        <v>PM/0131/0104/45030040255</v>
      </c>
      <c r="AB296" s="53" t="s">
        <v>138</v>
      </c>
      <c r="AC296" s="162" t="s">
        <v>204</v>
      </c>
    </row>
    <row r="297" spans="2:29" s="28" customFormat="1" ht="99" customHeight="1" x14ac:dyDescent="0.35">
      <c r="B297" s="77">
        <v>20250304</v>
      </c>
      <c r="C297" s="50" t="s">
        <v>209</v>
      </c>
      <c r="D297" s="158" t="s">
        <v>169</v>
      </c>
      <c r="E297" s="51" t="s">
        <v>545</v>
      </c>
      <c r="F297" s="158" t="s">
        <v>547</v>
      </c>
      <c r="G297" s="158" t="s">
        <v>156</v>
      </c>
      <c r="H297" s="97">
        <v>80111600</v>
      </c>
      <c r="I297" s="159">
        <v>2</v>
      </c>
      <c r="J297" s="159">
        <v>6</v>
      </c>
      <c r="K297" s="52">
        <v>0</v>
      </c>
      <c r="L297" s="153">
        <v>17400000</v>
      </c>
      <c r="M297" s="158" t="s">
        <v>473</v>
      </c>
      <c r="N297" s="53" t="s">
        <v>113</v>
      </c>
      <c r="O297" s="51" t="s">
        <v>222</v>
      </c>
      <c r="P297" s="160" t="str">
        <f>IFERROR(VLOOKUP(C297,TD!$B$32:$F$36,2,0)," ")</f>
        <v>O230117</v>
      </c>
      <c r="Q297" s="160" t="str">
        <f>IFERROR(VLOOKUP(C297,TD!$B$32:$F$36,3,0)," ")</f>
        <v>4503</v>
      </c>
      <c r="R297" s="160">
        <f>IFERROR(VLOOKUP(C297,TD!$B$32:$F$36,4,0)," ")</f>
        <v>20240255</v>
      </c>
      <c r="S297" s="51" t="s">
        <v>175</v>
      </c>
      <c r="T297" s="160" t="str">
        <f>IFERROR(VLOOKUP(S297,TD!$J$33:$K$43,2,0)," ")</f>
        <v>Servicio de atención a incidentes y emergencias.</v>
      </c>
      <c r="U297" s="161" t="str">
        <f>CONCATENATE(S297,"-",T297)</f>
        <v>04-Servicio de atención a incidentes y emergencias.</v>
      </c>
      <c r="V297" s="51" t="s">
        <v>232</v>
      </c>
      <c r="W297" s="160" t="str">
        <f>IFERROR(VLOOKUP(V297,TD!$N$33:$O$45,2,0)," ")</f>
        <v>Servicio de atención a emergencias y desastres</v>
      </c>
      <c r="X297" s="161" t="str">
        <f>CONCATENATE(V297,"_",W297)</f>
        <v>004_Servicio de atención a emergencias y desastres</v>
      </c>
      <c r="Y297" s="161" t="str">
        <f>CONCATENATE(U297," ",X297)</f>
        <v>04-Servicio de atención a incidentes y emergencias. 004_Servicio de atención a emergencias y desastres</v>
      </c>
      <c r="Z297" s="160" t="str">
        <f>CONCATENATE(P297,Q297,R297,S297,V297)</f>
        <v>O23011745032024025504004</v>
      </c>
      <c r="AA297" s="160" t="str">
        <f>IFERROR(VLOOKUP(Y297,TD!$K$46:$L$64,2,0)," ")</f>
        <v>PM/0131/0104/45030040255</v>
      </c>
      <c r="AB297" s="53" t="s">
        <v>138</v>
      </c>
      <c r="AC297" s="162" t="s">
        <v>204</v>
      </c>
    </row>
    <row r="298" spans="2:29" s="28" customFormat="1" ht="99" customHeight="1" x14ac:dyDescent="0.35">
      <c r="B298" s="77">
        <v>20250305</v>
      </c>
      <c r="C298" s="50" t="s">
        <v>209</v>
      </c>
      <c r="D298" s="158" t="s">
        <v>169</v>
      </c>
      <c r="E298" s="51" t="s">
        <v>545</v>
      </c>
      <c r="F298" s="158" t="s">
        <v>547</v>
      </c>
      <c r="G298" s="158" t="s">
        <v>156</v>
      </c>
      <c r="H298" s="97">
        <v>80111600</v>
      </c>
      <c r="I298" s="159">
        <v>2</v>
      </c>
      <c r="J298" s="159">
        <v>6</v>
      </c>
      <c r="K298" s="52">
        <v>0</v>
      </c>
      <c r="L298" s="153">
        <v>17400000</v>
      </c>
      <c r="M298" s="158" t="s">
        <v>473</v>
      </c>
      <c r="N298" s="53" t="s">
        <v>113</v>
      </c>
      <c r="O298" s="51" t="s">
        <v>222</v>
      </c>
      <c r="P298" s="160" t="str">
        <f>IFERROR(VLOOKUP(C298,TD!$B$32:$F$36,2,0)," ")</f>
        <v>O230117</v>
      </c>
      <c r="Q298" s="160" t="str">
        <f>IFERROR(VLOOKUP(C298,TD!$B$32:$F$36,3,0)," ")</f>
        <v>4503</v>
      </c>
      <c r="R298" s="160">
        <f>IFERROR(VLOOKUP(C298,TD!$B$32:$F$36,4,0)," ")</f>
        <v>20240255</v>
      </c>
      <c r="S298" s="51" t="s">
        <v>175</v>
      </c>
      <c r="T298" s="160" t="str">
        <f>IFERROR(VLOOKUP(S298,TD!$J$33:$K$43,2,0)," ")</f>
        <v>Servicio de atención a incidentes y emergencias.</v>
      </c>
      <c r="U298" s="161" t="str">
        <f>CONCATENATE(S298,"-",T298)</f>
        <v>04-Servicio de atención a incidentes y emergencias.</v>
      </c>
      <c r="V298" s="51" t="s">
        <v>232</v>
      </c>
      <c r="W298" s="160" t="str">
        <f>IFERROR(VLOOKUP(V298,TD!$N$33:$O$45,2,0)," ")</f>
        <v>Servicio de atención a emergencias y desastres</v>
      </c>
      <c r="X298" s="161" t="str">
        <f>CONCATENATE(V298,"_",W298)</f>
        <v>004_Servicio de atención a emergencias y desastres</v>
      </c>
      <c r="Y298" s="161" t="str">
        <f>CONCATENATE(U298," ",X298)</f>
        <v>04-Servicio de atención a incidentes y emergencias. 004_Servicio de atención a emergencias y desastres</v>
      </c>
      <c r="Z298" s="160" t="str">
        <f>CONCATENATE(P298,Q298,R298,S298,V298)</f>
        <v>O23011745032024025504004</v>
      </c>
      <c r="AA298" s="160" t="str">
        <f>IFERROR(VLOOKUP(Y298,TD!$K$46:$L$64,2,0)," ")</f>
        <v>PM/0131/0104/45030040255</v>
      </c>
      <c r="AB298" s="53" t="s">
        <v>138</v>
      </c>
      <c r="AC298" s="162" t="s">
        <v>204</v>
      </c>
    </row>
    <row r="299" spans="2:29" s="28" customFormat="1" ht="99" customHeight="1" x14ac:dyDescent="0.35">
      <c r="B299" s="77">
        <v>20250306</v>
      </c>
      <c r="C299" s="50" t="s">
        <v>209</v>
      </c>
      <c r="D299" s="158" t="s">
        <v>169</v>
      </c>
      <c r="E299" s="51" t="s">
        <v>545</v>
      </c>
      <c r="F299" s="158" t="s">
        <v>547</v>
      </c>
      <c r="G299" s="158" t="s">
        <v>156</v>
      </c>
      <c r="H299" s="97">
        <v>80111600</v>
      </c>
      <c r="I299" s="159">
        <v>2</v>
      </c>
      <c r="J299" s="159">
        <v>6</v>
      </c>
      <c r="K299" s="52">
        <v>8</v>
      </c>
      <c r="L299" s="153">
        <v>17400000</v>
      </c>
      <c r="M299" s="158" t="s">
        <v>473</v>
      </c>
      <c r="N299" s="53" t="s">
        <v>113</v>
      </c>
      <c r="O299" s="51" t="s">
        <v>222</v>
      </c>
      <c r="P299" s="160" t="str">
        <f>IFERROR(VLOOKUP(C299,TD!$B$32:$F$36,2,0)," ")</f>
        <v>O230117</v>
      </c>
      <c r="Q299" s="160" t="str">
        <f>IFERROR(VLOOKUP(C299,TD!$B$32:$F$36,3,0)," ")</f>
        <v>4503</v>
      </c>
      <c r="R299" s="160">
        <f>IFERROR(VLOOKUP(C299,TD!$B$32:$F$36,4,0)," ")</f>
        <v>20240255</v>
      </c>
      <c r="S299" s="51" t="s">
        <v>175</v>
      </c>
      <c r="T299" s="160" t="str">
        <f>IFERROR(VLOOKUP(S299,TD!$J$33:$K$43,2,0)," ")</f>
        <v>Servicio de atención a incidentes y emergencias.</v>
      </c>
      <c r="U299" s="161" t="str">
        <f>CONCATENATE(S299,"-",T299)</f>
        <v>04-Servicio de atención a incidentes y emergencias.</v>
      </c>
      <c r="V299" s="51" t="s">
        <v>232</v>
      </c>
      <c r="W299" s="160" t="str">
        <f>IFERROR(VLOOKUP(V299,TD!$N$33:$O$45,2,0)," ")</f>
        <v>Servicio de atención a emergencias y desastres</v>
      </c>
      <c r="X299" s="161" t="str">
        <f>CONCATENATE(V299,"_",W299)</f>
        <v>004_Servicio de atención a emergencias y desastres</v>
      </c>
      <c r="Y299" s="161" t="str">
        <f>CONCATENATE(U299," ",X299)</f>
        <v>04-Servicio de atención a incidentes y emergencias. 004_Servicio de atención a emergencias y desastres</v>
      </c>
      <c r="Z299" s="160" t="str">
        <f>CONCATENATE(P299,Q299,R299,S299,V299)</f>
        <v>O23011745032024025504004</v>
      </c>
      <c r="AA299" s="160" t="str">
        <f>IFERROR(VLOOKUP(Y299,TD!$K$46:$L$64,2,0)," ")</f>
        <v>PM/0131/0104/45030040255</v>
      </c>
      <c r="AB299" s="53" t="s">
        <v>138</v>
      </c>
      <c r="AC299" s="162" t="s">
        <v>204</v>
      </c>
    </row>
    <row r="300" spans="2:29" s="28" customFormat="1" ht="99" customHeight="1" x14ac:dyDescent="0.35">
      <c r="B300" s="77">
        <v>20250307</v>
      </c>
      <c r="C300" s="50" t="s">
        <v>209</v>
      </c>
      <c r="D300" s="158" t="s">
        <v>169</v>
      </c>
      <c r="E300" s="51" t="s">
        <v>545</v>
      </c>
      <c r="F300" s="158" t="s">
        <v>547</v>
      </c>
      <c r="G300" s="158" t="s">
        <v>156</v>
      </c>
      <c r="H300" s="97">
        <v>80111600</v>
      </c>
      <c r="I300" s="159">
        <v>2</v>
      </c>
      <c r="J300" s="159">
        <v>6</v>
      </c>
      <c r="K300" s="52">
        <v>0</v>
      </c>
      <c r="L300" s="153">
        <v>17400000</v>
      </c>
      <c r="M300" s="158" t="s">
        <v>473</v>
      </c>
      <c r="N300" s="53" t="s">
        <v>113</v>
      </c>
      <c r="O300" s="51" t="s">
        <v>222</v>
      </c>
      <c r="P300" s="160" t="str">
        <f>IFERROR(VLOOKUP(C300,TD!$B$32:$F$36,2,0)," ")</f>
        <v>O230117</v>
      </c>
      <c r="Q300" s="160" t="str">
        <f>IFERROR(VLOOKUP(C300,TD!$B$32:$F$36,3,0)," ")</f>
        <v>4503</v>
      </c>
      <c r="R300" s="160">
        <f>IFERROR(VLOOKUP(C300,TD!$B$32:$F$36,4,0)," ")</f>
        <v>20240255</v>
      </c>
      <c r="S300" s="51" t="s">
        <v>175</v>
      </c>
      <c r="T300" s="160" t="str">
        <f>IFERROR(VLOOKUP(S300,TD!$J$33:$K$43,2,0)," ")</f>
        <v>Servicio de atención a incidentes y emergencias.</v>
      </c>
      <c r="U300" s="161" t="str">
        <f>CONCATENATE(S300,"-",T300)</f>
        <v>04-Servicio de atención a incidentes y emergencias.</v>
      </c>
      <c r="V300" s="51" t="s">
        <v>232</v>
      </c>
      <c r="W300" s="160" t="str">
        <f>IFERROR(VLOOKUP(V300,TD!$N$33:$O$45,2,0)," ")</f>
        <v>Servicio de atención a emergencias y desastres</v>
      </c>
      <c r="X300" s="161" t="str">
        <f>CONCATENATE(V300,"_",W300)</f>
        <v>004_Servicio de atención a emergencias y desastres</v>
      </c>
      <c r="Y300" s="161" t="str">
        <f>CONCATENATE(U300," ",X300)</f>
        <v>04-Servicio de atención a incidentes y emergencias. 004_Servicio de atención a emergencias y desastres</v>
      </c>
      <c r="Z300" s="160" t="str">
        <f>CONCATENATE(P300,Q300,R300,S300,V300)</f>
        <v>O23011745032024025504004</v>
      </c>
      <c r="AA300" s="160" t="str">
        <f>IFERROR(VLOOKUP(Y300,TD!$K$46:$L$64,2,0)," ")</f>
        <v>PM/0131/0104/45030040255</v>
      </c>
      <c r="AB300" s="53" t="s">
        <v>138</v>
      </c>
      <c r="AC300" s="162" t="s">
        <v>204</v>
      </c>
    </row>
    <row r="301" spans="2:29" s="28" customFormat="1" ht="99" customHeight="1" x14ac:dyDescent="0.35">
      <c r="B301" s="77">
        <v>20250308</v>
      </c>
      <c r="C301" s="50" t="s">
        <v>209</v>
      </c>
      <c r="D301" s="158" t="s">
        <v>169</v>
      </c>
      <c r="E301" s="51" t="s">
        <v>545</v>
      </c>
      <c r="F301" s="158" t="s">
        <v>547</v>
      </c>
      <c r="G301" s="158" t="s">
        <v>156</v>
      </c>
      <c r="H301" s="97">
        <v>80111600</v>
      </c>
      <c r="I301" s="159">
        <v>2</v>
      </c>
      <c r="J301" s="159">
        <v>6</v>
      </c>
      <c r="K301" s="52">
        <v>0</v>
      </c>
      <c r="L301" s="153">
        <v>17400000</v>
      </c>
      <c r="M301" s="158" t="s">
        <v>473</v>
      </c>
      <c r="N301" s="53" t="s">
        <v>113</v>
      </c>
      <c r="O301" s="51" t="s">
        <v>222</v>
      </c>
      <c r="P301" s="160" t="str">
        <f>IFERROR(VLOOKUP(C301,TD!$B$32:$F$36,2,0)," ")</f>
        <v>O230117</v>
      </c>
      <c r="Q301" s="160" t="str">
        <f>IFERROR(VLOOKUP(C301,TD!$B$32:$F$36,3,0)," ")</f>
        <v>4503</v>
      </c>
      <c r="R301" s="160">
        <f>IFERROR(VLOOKUP(C301,TD!$B$32:$F$36,4,0)," ")</f>
        <v>20240255</v>
      </c>
      <c r="S301" s="51" t="s">
        <v>175</v>
      </c>
      <c r="T301" s="160" t="str">
        <f>IFERROR(VLOOKUP(S301,TD!$J$33:$K$43,2,0)," ")</f>
        <v>Servicio de atención a incidentes y emergencias.</v>
      </c>
      <c r="U301" s="161" t="str">
        <f>CONCATENATE(S301,"-",T301)</f>
        <v>04-Servicio de atención a incidentes y emergencias.</v>
      </c>
      <c r="V301" s="51" t="s">
        <v>232</v>
      </c>
      <c r="W301" s="160" t="str">
        <f>IFERROR(VLOOKUP(V301,TD!$N$33:$O$45,2,0)," ")</f>
        <v>Servicio de atención a emergencias y desastres</v>
      </c>
      <c r="X301" s="161" t="str">
        <f>CONCATENATE(V301,"_",W301)</f>
        <v>004_Servicio de atención a emergencias y desastres</v>
      </c>
      <c r="Y301" s="161" t="str">
        <f>CONCATENATE(U301," ",X301)</f>
        <v>04-Servicio de atención a incidentes y emergencias. 004_Servicio de atención a emergencias y desastres</v>
      </c>
      <c r="Z301" s="160" t="str">
        <f>CONCATENATE(P301,Q301,R301,S301,V301)</f>
        <v>O23011745032024025504004</v>
      </c>
      <c r="AA301" s="160" t="str">
        <f>IFERROR(VLOOKUP(Y301,TD!$K$46:$L$64,2,0)," ")</f>
        <v>PM/0131/0104/45030040255</v>
      </c>
      <c r="AB301" s="53" t="s">
        <v>138</v>
      </c>
      <c r="AC301" s="162" t="s">
        <v>204</v>
      </c>
    </row>
    <row r="302" spans="2:29" s="28" customFormat="1" ht="99" customHeight="1" x14ac:dyDescent="0.35">
      <c r="B302" s="77">
        <v>20250309</v>
      </c>
      <c r="C302" s="50" t="s">
        <v>209</v>
      </c>
      <c r="D302" s="158" t="s">
        <v>169</v>
      </c>
      <c r="E302" s="51" t="s">
        <v>545</v>
      </c>
      <c r="F302" s="158" t="s">
        <v>547</v>
      </c>
      <c r="G302" s="158" t="s">
        <v>156</v>
      </c>
      <c r="H302" s="97">
        <v>80111600</v>
      </c>
      <c r="I302" s="159">
        <v>3</v>
      </c>
      <c r="J302" s="159">
        <v>6</v>
      </c>
      <c r="K302" s="52">
        <v>0</v>
      </c>
      <c r="L302" s="153">
        <v>17400000</v>
      </c>
      <c r="M302" s="158" t="s">
        <v>473</v>
      </c>
      <c r="N302" s="53" t="s">
        <v>113</v>
      </c>
      <c r="O302" s="51" t="s">
        <v>222</v>
      </c>
      <c r="P302" s="160" t="str">
        <f>IFERROR(VLOOKUP(C302,TD!$B$32:$F$36,2,0)," ")</f>
        <v>O230117</v>
      </c>
      <c r="Q302" s="160" t="str">
        <f>IFERROR(VLOOKUP(C302,TD!$B$32:$F$36,3,0)," ")</f>
        <v>4503</v>
      </c>
      <c r="R302" s="160">
        <f>IFERROR(VLOOKUP(C302,TD!$B$32:$F$36,4,0)," ")</f>
        <v>20240255</v>
      </c>
      <c r="S302" s="51" t="s">
        <v>175</v>
      </c>
      <c r="T302" s="160" t="str">
        <f>IFERROR(VLOOKUP(S302,TD!$J$33:$K$43,2,0)," ")</f>
        <v>Servicio de atención a incidentes y emergencias.</v>
      </c>
      <c r="U302" s="161" t="str">
        <f>CONCATENATE(S302,"-",T302)</f>
        <v>04-Servicio de atención a incidentes y emergencias.</v>
      </c>
      <c r="V302" s="51" t="s">
        <v>232</v>
      </c>
      <c r="W302" s="160" t="str">
        <f>IFERROR(VLOOKUP(V302,TD!$N$33:$O$45,2,0)," ")</f>
        <v>Servicio de atención a emergencias y desastres</v>
      </c>
      <c r="X302" s="161" t="str">
        <f>CONCATENATE(V302,"_",W302)</f>
        <v>004_Servicio de atención a emergencias y desastres</v>
      </c>
      <c r="Y302" s="161" t="str">
        <f>CONCATENATE(U302," ",X302)</f>
        <v>04-Servicio de atención a incidentes y emergencias. 004_Servicio de atención a emergencias y desastres</v>
      </c>
      <c r="Z302" s="160" t="str">
        <f>CONCATENATE(P302,Q302,R302,S302,V302)</f>
        <v>O23011745032024025504004</v>
      </c>
      <c r="AA302" s="160" t="str">
        <f>IFERROR(VLOOKUP(Y302,TD!$K$46:$L$64,2,0)," ")</f>
        <v>PM/0131/0104/45030040255</v>
      </c>
      <c r="AB302" s="53" t="s">
        <v>138</v>
      </c>
      <c r="AC302" s="162" t="s">
        <v>204</v>
      </c>
    </row>
    <row r="303" spans="2:29" s="28" customFormat="1" ht="99" customHeight="1" x14ac:dyDescent="0.35">
      <c r="B303" s="77">
        <v>20250310</v>
      </c>
      <c r="C303" s="50" t="s">
        <v>209</v>
      </c>
      <c r="D303" s="158" t="s">
        <v>169</v>
      </c>
      <c r="E303" s="51" t="s">
        <v>545</v>
      </c>
      <c r="F303" s="158" t="s">
        <v>906</v>
      </c>
      <c r="G303" s="158" t="s">
        <v>156</v>
      </c>
      <c r="H303" s="97">
        <v>80111600</v>
      </c>
      <c r="I303" s="159">
        <v>2</v>
      </c>
      <c r="J303" s="159">
        <v>7</v>
      </c>
      <c r="K303" s="52">
        <v>0</v>
      </c>
      <c r="L303" s="153">
        <v>22400000</v>
      </c>
      <c r="M303" s="158" t="s">
        <v>473</v>
      </c>
      <c r="N303" s="53" t="s">
        <v>113</v>
      </c>
      <c r="O303" s="51" t="s">
        <v>222</v>
      </c>
      <c r="P303" s="160" t="str">
        <f>IFERROR(VLOOKUP(C303,TD!$B$32:$F$36,2,0)," ")</f>
        <v>O230117</v>
      </c>
      <c r="Q303" s="160" t="str">
        <f>IFERROR(VLOOKUP(C303,TD!$B$32:$F$36,3,0)," ")</f>
        <v>4503</v>
      </c>
      <c r="R303" s="160">
        <f>IFERROR(VLOOKUP(C303,TD!$B$32:$F$36,4,0)," ")</f>
        <v>20240255</v>
      </c>
      <c r="S303" s="51" t="s">
        <v>175</v>
      </c>
      <c r="T303" s="160" t="str">
        <f>IFERROR(VLOOKUP(S303,TD!$J$33:$K$43,2,0)," ")</f>
        <v>Servicio de atención a incidentes y emergencias.</v>
      </c>
      <c r="U303" s="161" t="str">
        <f>CONCATENATE(S303,"-",T303)</f>
        <v>04-Servicio de atención a incidentes y emergencias.</v>
      </c>
      <c r="V303" s="51" t="s">
        <v>232</v>
      </c>
      <c r="W303" s="160" t="str">
        <f>IFERROR(VLOOKUP(V303,TD!$N$33:$O$45,2,0)," ")</f>
        <v>Servicio de atención a emergencias y desastres</v>
      </c>
      <c r="X303" s="161" t="str">
        <f>CONCATENATE(V303,"_",W303)</f>
        <v>004_Servicio de atención a emergencias y desastres</v>
      </c>
      <c r="Y303" s="161" t="str">
        <f>CONCATENATE(U303," ",X303)</f>
        <v>04-Servicio de atención a incidentes y emergencias. 004_Servicio de atención a emergencias y desastres</v>
      </c>
      <c r="Z303" s="160" t="str">
        <f>CONCATENATE(P303,Q303,R303,S303,V303)</f>
        <v>O23011745032024025504004</v>
      </c>
      <c r="AA303" s="160" t="str">
        <f>IFERROR(VLOOKUP(Y303,TD!$K$46:$L$64,2,0)," ")</f>
        <v>PM/0131/0104/45030040255</v>
      </c>
      <c r="AB303" s="53" t="s">
        <v>138</v>
      </c>
      <c r="AC303" s="162" t="s">
        <v>204</v>
      </c>
    </row>
    <row r="304" spans="2:29" s="28" customFormat="1" ht="99" customHeight="1" x14ac:dyDescent="0.35">
      <c r="B304" s="77">
        <v>20250311</v>
      </c>
      <c r="C304" s="50" t="s">
        <v>209</v>
      </c>
      <c r="D304" s="158" t="s">
        <v>169</v>
      </c>
      <c r="E304" s="51" t="s">
        <v>545</v>
      </c>
      <c r="F304" s="158" t="s">
        <v>547</v>
      </c>
      <c r="G304" s="158" t="s">
        <v>156</v>
      </c>
      <c r="H304" s="97">
        <v>80111600</v>
      </c>
      <c r="I304" s="159">
        <v>3</v>
      </c>
      <c r="J304" s="159">
        <v>6</v>
      </c>
      <c r="K304" s="52">
        <v>0</v>
      </c>
      <c r="L304" s="153">
        <v>17400000</v>
      </c>
      <c r="M304" s="158" t="s">
        <v>473</v>
      </c>
      <c r="N304" s="53" t="s">
        <v>113</v>
      </c>
      <c r="O304" s="51" t="s">
        <v>222</v>
      </c>
      <c r="P304" s="160" t="str">
        <f>IFERROR(VLOOKUP(C304,TD!$B$32:$F$36,2,0)," ")</f>
        <v>O230117</v>
      </c>
      <c r="Q304" s="160" t="str">
        <f>IFERROR(VLOOKUP(C304,TD!$B$32:$F$36,3,0)," ")</f>
        <v>4503</v>
      </c>
      <c r="R304" s="160">
        <f>IFERROR(VLOOKUP(C304,TD!$B$32:$F$36,4,0)," ")</f>
        <v>20240255</v>
      </c>
      <c r="S304" s="51" t="s">
        <v>175</v>
      </c>
      <c r="T304" s="160" t="str">
        <f>IFERROR(VLOOKUP(S304,TD!$J$33:$K$43,2,0)," ")</f>
        <v>Servicio de atención a incidentes y emergencias.</v>
      </c>
      <c r="U304" s="161" t="str">
        <f>CONCATENATE(S304,"-",T304)</f>
        <v>04-Servicio de atención a incidentes y emergencias.</v>
      </c>
      <c r="V304" s="51" t="s">
        <v>232</v>
      </c>
      <c r="W304" s="160" t="str">
        <f>IFERROR(VLOOKUP(V304,TD!$N$33:$O$45,2,0)," ")</f>
        <v>Servicio de atención a emergencias y desastres</v>
      </c>
      <c r="X304" s="161" t="str">
        <f>CONCATENATE(V304,"_",W304)</f>
        <v>004_Servicio de atención a emergencias y desastres</v>
      </c>
      <c r="Y304" s="161" t="str">
        <f>CONCATENATE(U304," ",X304)</f>
        <v>04-Servicio de atención a incidentes y emergencias. 004_Servicio de atención a emergencias y desastres</v>
      </c>
      <c r="Z304" s="160" t="str">
        <f>CONCATENATE(P304,Q304,R304,S304,V304)</f>
        <v>O23011745032024025504004</v>
      </c>
      <c r="AA304" s="160" t="str">
        <f>IFERROR(VLOOKUP(Y304,TD!$K$46:$L$64,2,0)," ")</f>
        <v>PM/0131/0104/45030040255</v>
      </c>
      <c r="AB304" s="53" t="s">
        <v>138</v>
      </c>
      <c r="AC304" s="162" t="s">
        <v>204</v>
      </c>
    </row>
    <row r="305" spans="2:29" s="28" customFormat="1" ht="99" customHeight="1" x14ac:dyDescent="0.35">
      <c r="B305" s="77">
        <v>20250312</v>
      </c>
      <c r="C305" s="50" t="s">
        <v>209</v>
      </c>
      <c r="D305" s="158" t="s">
        <v>169</v>
      </c>
      <c r="E305" s="51" t="s">
        <v>545</v>
      </c>
      <c r="F305" s="158" t="s">
        <v>547</v>
      </c>
      <c r="G305" s="158" t="s">
        <v>156</v>
      </c>
      <c r="H305" s="97">
        <v>80111600</v>
      </c>
      <c r="I305" s="159">
        <v>3</v>
      </c>
      <c r="J305" s="159">
        <v>6</v>
      </c>
      <c r="K305" s="52">
        <v>0</v>
      </c>
      <c r="L305" s="153">
        <v>17400000</v>
      </c>
      <c r="M305" s="158" t="s">
        <v>473</v>
      </c>
      <c r="N305" s="53" t="s">
        <v>113</v>
      </c>
      <c r="O305" s="51" t="s">
        <v>222</v>
      </c>
      <c r="P305" s="160" t="str">
        <f>IFERROR(VLOOKUP(C305,TD!$B$32:$F$36,2,0)," ")</f>
        <v>O230117</v>
      </c>
      <c r="Q305" s="160" t="str">
        <f>IFERROR(VLOOKUP(C305,TD!$B$32:$F$36,3,0)," ")</f>
        <v>4503</v>
      </c>
      <c r="R305" s="160">
        <f>IFERROR(VLOOKUP(C305,TD!$B$32:$F$36,4,0)," ")</f>
        <v>20240255</v>
      </c>
      <c r="S305" s="51" t="s">
        <v>175</v>
      </c>
      <c r="T305" s="160" t="str">
        <f>IFERROR(VLOOKUP(S305,TD!$J$33:$K$43,2,0)," ")</f>
        <v>Servicio de atención a incidentes y emergencias.</v>
      </c>
      <c r="U305" s="161" t="str">
        <f>CONCATENATE(S305,"-",T305)</f>
        <v>04-Servicio de atención a incidentes y emergencias.</v>
      </c>
      <c r="V305" s="51" t="s">
        <v>232</v>
      </c>
      <c r="W305" s="160" t="str">
        <f>IFERROR(VLOOKUP(V305,TD!$N$33:$O$45,2,0)," ")</f>
        <v>Servicio de atención a emergencias y desastres</v>
      </c>
      <c r="X305" s="161" t="str">
        <f>CONCATENATE(V305,"_",W305)</f>
        <v>004_Servicio de atención a emergencias y desastres</v>
      </c>
      <c r="Y305" s="161" t="str">
        <f>CONCATENATE(U305," ",X305)</f>
        <v>04-Servicio de atención a incidentes y emergencias. 004_Servicio de atención a emergencias y desastres</v>
      </c>
      <c r="Z305" s="160" t="str">
        <f>CONCATENATE(P305,Q305,R305,S305,V305)</f>
        <v>O23011745032024025504004</v>
      </c>
      <c r="AA305" s="160" t="str">
        <f>IFERROR(VLOOKUP(Y305,TD!$K$46:$L$64,2,0)," ")</f>
        <v>PM/0131/0104/45030040255</v>
      </c>
      <c r="AB305" s="53" t="s">
        <v>138</v>
      </c>
      <c r="AC305" s="162" t="s">
        <v>204</v>
      </c>
    </row>
    <row r="306" spans="2:29" s="28" customFormat="1" ht="99" customHeight="1" x14ac:dyDescent="0.35">
      <c r="B306" s="77">
        <v>20250313</v>
      </c>
      <c r="C306" s="50" t="s">
        <v>209</v>
      </c>
      <c r="D306" s="158" t="s">
        <v>169</v>
      </c>
      <c r="E306" s="51" t="s">
        <v>545</v>
      </c>
      <c r="F306" s="158" t="s">
        <v>547</v>
      </c>
      <c r="G306" s="158" t="s">
        <v>156</v>
      </c>
      <c r="H306" s="97">
        <v>80111600</v>
      </c>
      <c r="I306" s="159">
        <v>3</v>
      </c>
      <c r="J306" s="159">
        <v>6</v>
      </c>
      <c r="K306" s="52">
        <v>0</v>
      </c>
      <c r="L306" s="153">
        <v>17400000</v>
      </c>
      <c r="M306" s="158" t="s">
        <v>473</v>
      </c>
      <c r="N306" s="53" t="s">
        <v>113</v>
      </c>
      <c r="O306" s="51" t="s">
        <v>222</v>
      </c>
      <c r="P306" s="160" t="str">
        <f>IFERROR(VLOOKUP(C306,TD!$B$32:$F$36,2,0)," ")</f>
        <v>O230117</v>
      </c>
      <c r="Q306" s="160" t="str">
        <f>IFERROR(VLOOKUP(C306,TD!$B$32:$F$36,3,0)," ")</f>
        <v>4503</v>
      </c>
      <c r="R306" s="160">
        <f>IFERROR(VLOOKUP(C306,TD!$B$32:$F$36,4,0)," ")</f>
        <v>20240255</v>
      </c>
      <c r="S306" s="51" t="s">
        <v>175</v>
      </c>
      <c r="T306" s="160" t="str">
        <f>IFERROR(VLOOKUP(S306,TD!$J$33:$K$43,2,0)," ")</f>
        <v>Servicio de atención a incidentes y emergencias.</v>
      </c>
      <c r="U306" s="161" t="str">
        <f>CONCATENATE(S306,"-",T306)</f>
        <v>04-Servicio de atención a incidentes y emergencias.</v>
      </c>
      <c r="V306" s="51" t="s">
        <v>232</v>
      </c>
      <c r="W306" s="160" t="str">
        <f>IFERROR(VLOOKUP(V306,TD!$N$33:$O$45,2,0)," ")</f>
        <v>Servicio de atención a emergencias y desastres</v>
      </c>
      <c r="X306" s="161" t="str">
        <f>CONCATENATE(V306,"_",W306)</f>
        <v>004_Servicio de atención a emergencias y desastres</v>
      </c>
      <c r="Y306" s="161" t="str">
        <f>CONCATENATE(U306," ",X306)</f>
        <v>04-Servicio de atención a incidentes y emergencias. 004_Servicio de atención a emergencias y desastres</v>
      </c>
      <c r="Z306" s="160" t="str">
        <f>CONCATENATE(P306,Q306,R306,S306,V306)</f>
        <v>O23011745032024025504004</v>
      </c>
      <c r="AA306" s="160" t="str">
        <f>IFERROR(VLOOKUP(Y306,TD!$K$46:$L$64,2,0)," ")</f>
        <v>PM/0131/0104/45030040255</v>
      </c>
      <c r="AB306" s="53" t="s">
        <v>138</v>
      </c>
      <c r="AC306" s="162" t="s">
        <v>204</v>
      </c>
    </row>
    <row r="307" spans="2:29" s="28" customFormat="1" ht="99" customHeight="1" x14ac:dyDescent="0.35">
      <c r="B307" s="77">
        <v>20250314</v>
      </c>
      <c r="C307" s="50" t="s">
        <v>209</v>
      </c>
      <c r="D307" s="158" t="s">
        <v>169</v>
      </c>
      <c r="E307" s="51" t="s">
        <v>545</v>
      </c>
      <c r="F307" s="158" t="s">
        <v>547</v>
      </c>
      <c r="G307" s="158" t="s">
        <v>156</v>
      </c>
      <c r="H307" s="97">
        <v>80111600</v>
      </c>
      <c r="I307" s="159">
        <v>3</v>
      </c>
      <c r="J307" s="159">
        <v>6</v>
      </c>
      <c r="K307" s="52">
        <v>0</v>
      </c>
      <c r="L307" s="153">
        <v>17400000</v>
      </c>
      <c r="M307" s="158" t="s">
        <v>473</v>
      </c>
      <c r="N307" s="53" t="s">
        <v>113</v>
      </c>
      <c r="O307" s="51" t="s">
        <v>222</v>
      </c>
      <c r="P307" s="160" t="str">
        <f>IFERROR(VLOOKUP(C307,TD!$B$32:$F$36,2,0)," ")</f>
        <v>O230117</v>
      </c>
      <c r="Q307" s="160" t="str">
        <f>IFERROR(VLOOKUP(C307,TD!$B$32:$F$36,3,0)," ")</f>
        <v>4503</v>
      </c>
      <c r="R307" s="160">
        <f>IFERROR(VLOOKUP(C307,TD!$B$32:$F$36,4,0)," ")</f>
        <v>20240255</v>
      </c>
      <c r="S307" s="51" t="s">
        <v>175</v>
      </c>
      <c r="T307" s="160" t="str">
        <f>IFERROR(VLOOKUP(S307,TD!$J$33:$K$43,2,0)," ")</f>
        <v>Servicio de atención a incidentes y emergencias.</v>
      </c>
      <c r="U307" s="161" t="str">
        <f>CONCATENATE(S307,"-",T307)</f>
        <v>04-Servicio de atención a incidentes y emergencias.</v>
      </c>
      <c r="V307" s="51" t="s">
        <v>232</v>
      </c>
      <c r="W307" s="160" t="str">
        <f>IFERROR(VLOOKUP(V307,TD!$N$33:$O$45,2,0)," ")</f>
        <v>Servicio de atención a emergencias y desastres</v>
      </c>
      <c r="X307" s="161" t="str">
        <f>CONCATENATE(V307,"_",W307)</f>
        <v>004_Servicio de atención a emergencias y desastres</v>
      </c>
      <c r="Y307" s="161" t="str">
        <f>CONCATENATE(U307," ",X307)</f>
        <v>04-Servicio de atención a incidentes y emergencias. 004_Servicio de atención a emergencias y desastres</v>
      </c>
      <c r="Z307" s="160" t="str">
        <f>CONCATENATE(P307,Q307,R307,S307,V307)</f>
        <v>O23011745032024025504004</v>
      </c>
      <c r="AA307" s="160" t="str">
        <f>IFERROR(VLOOKUP(Y307,TD!$K$46:$L$64,2,0)," ")</f>
        <v>PM/0131/0104/45030040255</v>
      </c>
      <c r="AB307" s="53" t="s">
        <v>138</v>
      </c>
      <c r="AC307" s="162" t="s">
        <v>204</v>
      </c>
    </row>
    <row r="308" spans="2:29" s="28" customFormat="1" ht="99" customHeight="1" x14ac:dyDescent="0.35">
      <c r="B308" s="77">
        <v>20250315</v>
      </c>
      <c r="C308" s="50" t="s">
        <v>209</v>
      </c>
      <c r="D308" s="158" t="s">
        <v>169</v>
      </c>
      <c r="E308" s="51" t="s">
        <v>545</v>
      </c>
      <c r="F308" s="158" t="s">
        <v>547</v>
      </c>
      <c r="G308" s="158" t="s">
        <v>156</v>
      </c>
      <c r="H308" s="97">
        <v>80111600</v>
      </c>
      <c r="I308" s="159">
        <v>3</v>
      </c>
      <c r="J308" s="159">
        <v>6</v>
      </c>
      <c r="K308" s="52">
        <v>0</v>
      </c>
      <c r="L308" s="153">
        <v>17400000</v>
      </c>
      <c r="M308" s="158" t="s">
        <v>473</v>
      </c>
      <c r="N308" s="53" t="s">
        <v>113</v>
      </c>
      <c r="O308" s="51" t="s">
        <v>222</v>
      </c>
      <c r="P308" s="160" t="str">
        <f>IFERROR(VLOOKUP(C308,TD!$B$32:$F$36,2,0)," ")</f>
        <v>O230117</v>
      </c>
      <c r="Q308" s="160" t="str">
        <f>IFERROR(VLOOKUP(C308,TD!$B$32:$F$36,3,0)," ")</f>
        <v>4503</v>
      </c>
      <c r="R308" s="160">
        <f>IFERROR(VLOOKUP(C308,TD!$B$32:$F$36,4,0)," ")</f>
        <v>20240255</v>
      </c>
      <c r="S308" s="51" t="s">
        <v>175</v>
      </c>
      <c r="T308" s="160" t="str">
        <f>IFERROR(VLOOKUP(S308,TD!$J$33:$K$43,2,0)," ")</f>
        <v>Servicio de atención a incidentes y emergencias.</v>
      </c>
      <c r="U308" s="161" t="str">
        <f>CONCATENATE(S308,"-",T308)</f>
        <v>04-Servicio de atención a incidentes y emergencias.</v>
      </c>
      <c r="V308" s="51" t="s">
        <v>232</v>
      </c>
      <c r="W308" s="160" t="str">
        <f>IFERROR(VLOOKUP(V308,TD!$N$33:$O$45,2,0)," ")</f>
        <v>Servicio de atención a emergencias y desastres</v>
      </c>
      <c r="X308" s="161" t="str">
        <f>CONCATENATE(V308,"_",W308)</f>
        <v>004_Servicio de atención a emergencias y desastres</v>
      </c>
      <c r="Y308" s="161" t="str">
        <f>CONCATENATE(U308," ",X308)</f>
        <v>04-Servicio de atención a incidentes y emergencias. 004_Servicio de atención a emergencias y desastres</v>
      </c>
      <c r="Z308" s="160" t="str">
        <f>CONCATENATE(P308,Q308,R308,S308,V308)</f>
        <v>O23011745032024025504004</v>
      </c>
      <c r="AA308" s="160" t="str">
        <f>IFERROR(VLOOKUP(Y308,TD!$K$46:$L$64,2,0)," ")</f>
        <v>PM/0131/0104/45030040255</v>
      </c>
      <c r="AB308" s="53" t="s">
        <v>138</v>
      </c>
      <c r="AC308" s="162" t="s">
        <v>204</v>
      </c>
    </row>
    <row r="309" spans="2:29" s="28" customFormat="1" ht="99" customHeight="1" x14ac:dyDescent="0.35">
      <c r="B309" s="77">
        <v>20250316</v>
      </c>
      <c r="C309" s="50" t="s">
        <v>209</v>
      </c>
      <c r="D309" s="158" t="s">
        <v>169</v>
      </c>
      <c r="E309" s="51" t="s">
        <v>545</v>
      </c>
      <c r="F309" s="158" t="s">
        <v>547</v>
      </c>
      <c r="G309" s="158" t="s">
        <v>156</v>
      </c>
      <c r="H309" s="97">
        <v>80111600</v>
      </c>
      <c r="I309" s="159">
        <v>3</v>
      </c>
      <c r="J309" s="159">
        <v>6</v>
      </c>
      <c r="K309" s="52">
        <v>0</v>
      </c>
      <c r="L309" s="153">
        <v>17400000</v>
      </c>
      <c r="M309" s="158" t="s">
        <v>473</v>
      </c>
      <c r="N309" s="53" t="s">
        <v>113</v>
      </c>
      <c r="O309" s="51" t="s">
        <v>222</v>
      </c>
      <c r="P309" s="160" t="str">
        <f>IFERROR(VLOOKUP(C309,TD!$B$32:$F$36,2,0)," ")</f>
        <v>O230117</v>
      </c>
      <c r="Q309" s="160" t="str">
        <f>IFERROR(VLOOKUP(C309,TD!$B$32:$F$36,3,0)," ")</f>
        <v>4503</v>
      </c>
      <c r="R309" s="160">
        <f>IFERROR(VLOOKUP(C309,TD!$B$32:$F$36,4,0)," ")</f>
        <v>20240255</v>
      </c>
      <c r="S309" s="51" t="s">
        <v>175</v>
      </c>
      <c r="T309" s="160" t="str">
        <f>IFERROR(VLOOKUP(S309,TD!$J$33:$K$43,2,0)," ")</f>
        <v>Servicio de atención a incidentes y emergencias.</v>
      </c>
      <c r="U309" s="161" t="str">
        <f>CONCATENATE(S309,"-",T309)</f>
        <v>04-Servicio de atención a incidentes y emergencias.</v>
      </c>
      <c r="V309" s="51" t="s">
        <v>232</v>
      </c>
      <c r="W309" s="160" t="str">
        <f>IFERROR(VLOOKUP(V309,TD!$N$33:$O$45,2,0)," ")</f>
        <v>Servicio de atención a emergencias y desastres</v>
      </c>
      <c r="X309" s="161" t="str">
        <f>CONCATENATE(V309,"_",W309)</f>
        <v>004_Servicio de atención a emergencias y desastres</v>
      </c>
      <c r="Y309" s="161" t="str">
        <f>CONCATENATE(U309," ",X309)</f>
        <v>04-Servicio de atención a incidentes y emergencias. 004_Servicio de atención a emergencias y desastres</v>
      </c>
      <c r="Z309" s="160" t="str">
        <f>CONCATENATE(P309,Q309,R309,S309,V309)</f>
        <v>O23011745032024025504004</v>
      </c>
      <c r="AA309" s="160" t="str">
        <f>IFERROR(VLOOKUP(Y309,TD!$K$46:$L$64,2,0)," ")</f>
        <v>PM/0131/0104/45030040255</v>
      </c>
      <c r="AB309" s="53" t="s">
        <v>138</v>
      </c>
      <c r="AC309" s="162" t="s">
        <v>204</v>
      </c>
    </row>
    <row r="310" spans="2:29" s="28" customFormat="1" ht="99" customHeight="1" x14ac:dyDescent="0.35">
      <c r="B310" s="77">
        <v>20250317</v>
      </c>
      <c r="C310" s="50" t="s">
        <v>209</v>
      </c>
      <c r="D310" s="158" t="s">
        <v>169</v>
      </c>
      <c r="E310" s="51" t="s">
        <v>545</v>
      </c>
      <c r="F310" s="158" t="s">
        <v>548</v>
      </c>
      <c r="G310" s="158" t="s">
        <v>155</v>
      </c>
      <c r="H310" s="97">
        <v>80111600</v>
      </c>
      <c r="I310" s="159">
        <v>2</v>
      </c>
      <c r="J310" s="159">
        <v>10</v>
      </c>
      <c r="K310" s="52">
        <v>0</v>
      </c>
      <c r="L310" s="153">
        <v>55000000</v>
      </c>
      <c r="M310" s="158" t="s">
        <v>473</v>
      </c>
      <c r="N310" s="53" t="s">
        <v>113</v>
      </c>
      <c r="O310" s="51" t="s">
        <v>222</v>
      </c>
      <c r="P310" s="160" t="str">
        <f>IFERROR(VLOOKUP(C310,TD!$B$32:$F$36,2,0)," ")</f>
        <v>O230117</v>
      </c>
      <c r="Q310" s="160" t="str">
        <f>IFERROR(VLOOKUP(C310,TD!$B$32:$F$36,3,0)," ")</f>
        <v>4503</v>
      </c>
      <c r="R310" s="160">
        <f>IFERROR(VLOOKUP(C310,TD!$B$32:$F$36,4,0)," ")</f>
        <v>20240255</v>
      </c>
      <c r="S310" s="51" t="s">
        <v>175</v>
      </c>
      <c r="T310" s="160" t="str">
        <f>IFERROR(VLOOKUP(S310,TD!$J$33:$K$43,2,0)," ")</f>
        <v>Servicio de atención a incidentes y emergencias.</v>
      </c>
      <c r="U310" s="161" t="str">
        <f>CONCATENATE(S310,"-",T310)</f>
        <v>04-Servicio de atención a incidentes y emergencias.</v>
      </c>
      <c r="V310" s="51" t="s">
        <v>232</v>
      </c>
      <c r="W310" s="160" t="str">
        <f>IFERROR(VLOOKUP(V310,TD!$N$33:$O$45,2,0)," ")</f>
        <v>Servicio de atención a emergencias y desastres</v>
      </c>
      <c r="X310" s="161" t="str">
        <f>CONCATENATE(V310,"_",W310)</f>
        <v>004_Servicio de atención a emergencias y desastres</v>
      </c>
      <c r="Y310" s="161" t="str">
        <f>CONCATENATE(U310," ",X310)</f>
        <v>04-Servicio de atención a incidentes y emergencias. 004_Servicio de atención a emergencias y desastres</v>
      </c>
      <c r="Z310" s="160" t="str">
        <f>CONCATENATE(P310,Q310,R310,S310,V310)</f>
        <v>O23011745032024025504004</v>
      </c>
      <c r="AA310" s="160" t="str">
        <f>IFERROR(VLOOKUP(Y310,TD!$K$46:$L$64,2,0)," ")</f>
        <v>PM/0131/0104/45030040255</v>
      </c>
      <c r="AB310" s="53" t="s">
        <v>138</v>
      </c>
      <c r="AC310" s="162" t="s">
        <v>204</v>
      </c>
    </row>
    <row r="311" spans="2:29" s="28" customFormat="1" ht="99" customHeight="1" x14ac:dyDescent="0.35">
      <c r="B311" s="77">
        <v>20250318</v>
      </c>
      <c r="C311" s="50" t="s">
        <v>209</v>
      </c>
      <c r="D311" s="158" t="s">
        <v>169</v>
      </c>
      <c r="E311" s="51" t="s">
        <v>545</v>
      </c>
      <c r="F311" s="158" t="s">
        <v>549</v>
      </c>
      <c r="G311" s="158" t="s">
        <v>156</v>
      </c>
      <c r="H311" s="97">
        <v>80111600</v>
      </c>
      <c r="I311" s="159">
        <v>2</v>
      </c>
      <c r="J311" s="159">
        <v>10</v>
      </c>
      <c r="K311" s="52">
        <v>0</v>
      </c>
      <c r="L311" s="153">
        <v>35000000</v>
      </c>
      <c r="M311" s="158" t="s">
        <v>473</v>
      </c>
      <c r="N311" s="53" t="s">
        <v>113</v>
      </c>
      <c r="O311" s="51" t="s">
        <v>222</v>
      </c>
      <c r="P311" s="160" t="str">
        <f>IFERROR(VLOOKUP(C311,TD!$B$32:$F$36,2,0)," ")</f>
        <v>O230117</v>
      </c>
      <c r="Q311" s="160" t="str">
        <f>IFERROR(VLOOKUP(C311,TD!$B$32:$F$36,3,0)," ")</f>
        <v>4503</v>
      </c>
      <c r="R311" s="160">
        <f>IFERROR(VLOOKUP(C311,TD!$B$32:$F$36,4,0)," ")</f>
        <v>20240255</v>
      </c>
      <c r="S311" s="51" t="s">
        <v>175</v>
      </c>
      <c r="T311" s="160" t="str">
        <f>IFERROR(VLOOKUP(S311,TD!$J$33:$K$43,2,0)," ")</f>
        <v>Servicio de atención a incidentes y emergencias.</v>
      </c>
      <c r="U311" s="161" t="str">
        <f>CONCATENATE(S311,"-",T311)</f>
        <v>04-Servicio de atención a incidentes y emergencias.</v>
      </c>
      <c r="V311" s="51" t="s">
        <v>232</v>
      </c>
      <c r="W311" s="160" t="str">
        <f>IFERROR(VLOOKUP(V311,TD!$N$33:$O$45,2,0)," ")</f>
        <v>Servicio de atención a emergencias y desastres</v>
      </c>
      <c r="X311" s="161" t="str">
        <f>CONCATENATE(V311,"_",W311)</f>
        <v>004_Servicio de atención a emergencias y desastres</v>
      </c>
      <c r="Y311" s="161" t="str">
        <f>CONCATENATE(U311," ",X311)</f>
        <v>04-Servicio de atención a incidentes y emergencias. 004_Servicio de atención a emergencias y desastres</v>
      </c>
      <c r="Z311" s="160" t="str">
        <f>CONCATENATE(P311,Q311,R311,S311,V311)</f>
        <v>O23011745032024025504004</v>
      </c>
      <c r="AA311" s="160" t="str">
        <f>IFERROR(VLOOKUP(Y311,TD!$K$46:$L$64,2,0)," ")</f>
        <v>PM/0131/0104/45030040255</v>
      </c>
      <c r="AB311" s="53" t="s">
        <v>138</v>
      </c>
      <c r="AC311" s="162" t="s">
        <v>204</v>
      </c>
    </row>
    <row r="312" spans="2:29" s="28" customFormat="1" ht="99" customHeight="1" x14ac:dyDescent="0.35">
      <c r="B312" s="77">
        <v>20250319</v>
      </c>
      <c r="C312" s="50" t="s">
        <v>209</v>
      </c>
      <c r="D312" s="158" t="s">
        <v>169</v>
      </c>
      <c r="E312" s="51" t="s">
        <v>545</v>
      </c>
      <c r="F312" s="158" t="s">
        <v>548</v>
      </c>
      <c r="G312" s="158" t="s">
        <v>155</v>
      </c>
      <c r="H312" s="97">
        <v>80111600</v>
      </c>
      <c r="I312" s="159">
        <v>2</v>
      </c>
      <c r="J312" s="159">
        <v>10</v>
      </c>
      <c r="K312" s="52">
        <v>0</v>
      </c>
      <c r="L312" s="153">
        <v>55000000</v>
      </c>
      <c r="M312" s="158" t="s">
        <v>473</v>
      </c>
      <c r="N312" s="53" t="s">
        <v>113</v>
      </c>
      <c r="O312" s="51" t="s">
        <v>222</v>
      </c>
      <c r="P312" s="160" t="str">
        <f>IFERROR(VLOOKUP(C312,TD!$B$32:$F$36,2,0)," ")</f>
        <v>O230117</v>
      </c>
      <c r="Q312" s="160" t="str">
        <f>IFERROR(VLOOKUP(C312,TD!$B$32:$F$36,3,0)," ")</f>
        <v>4503</v>
      </c>
      <c r="R312" s="160">
        <f>IFERROR(VLOOKUP(C312,TD!$B$32:$F$36,4,0)," ")</f>
        <v>20240255</v>
      </c>
      <c r="S312" s="51" t="s">
        <v>175</v>
      </c>
      <c r="T312" s="160" t="str">
        <f>IFERROR(VLOOKUP(S312,TD!$J$33:$K$43,2,0)," ")</f>
        <v>Servicio de atención a incidentes y emergencias.</v>
      </c>
      <c r="U312" s="161" t="str">
        <f>CONCATENATE(S312,"-",T312)</f>
        <v>04-Servicio de atención a incidentes y emergencias.</v>
      </c>
      <c r="V312" s="51" t="s">
        <v>232</v>
      </c>
      <c r="W312" s="160" t="str">
        <f>IFERROR(VLOOKUP(V312,TD!$N$33:$O$45,2,0)," ")</f>
        <v>Servicio de atención a emergencias y desastres</v>
      </c>
      <c r="X312" s="161" t="str">
        <f>CONCATENATE(V312,"_",W312)</f>
        <v>004_Servicio de atención a emergencias y desastres</v>
      </c>
      <c r="Y312" s="161" t="str">
        <f>CONCATENATE(U312," ",X312)</f>
        <v>04-Servicio de atención a incidentes y emergencias. 004_Servicio de atención a emergencias y desastres</v>
      </c>
      <c r="Z312" s="160" t="str">
        <f>CONCATENATE(P312,Q312,R312,S312,V312)</f>
        <v>O23011745032024025504004</v>
      </c>
      <c r="AA312" s="160" t="str">
        <f>IFERROR(VLOOKUP(Y312,TD!$K$46:$L$64,2,0)," ")</f>
        <v>PM/0131/0104/45030040255</v>
      </c>
      <c r="AB312" s="53" t="s">
        <v>138</v>
      </c>
      <c r="AC312" s="162" t="s">
        <v>204</v>
      </c>
    </row>
    <row r="313" spans="2:29" s="28" customFormat="1" ht="99" customHeight="1" x14ac:dyDescent="0.35">
      <c r="B313" s="77">
        <v>20250320</v>
      </c>
      <c r="C313" s="50" t="s">
        <v>209</v>
      </c>
      <c r="D313" s="158" t="s">
        <v>169</v>
      </c>
      <c r="E313" s="51" t="s">
        <v>545</v>
      </c>
      <c r="F313" s="158" t="s">
        <v>550</v>
      </c>
      <c r="G313" s="158" t="s">
        <v>156</v>
      </c>
      <c r="H313" s="97">
        <v>80111600</v>
      </c>
      <c r="I313" s="159">
        <v>2</v>
      </c>
      <c r="J313" s="159">
        <v>9</v>
      </c>
      <c r="K313" s="52">
        <v>15</v>
      </c>
      <c r="L313" s="153">
        <v>30400000</v>
      </c>
      <c r="M313" s="158" t="s">
        <v>473</v>
      </c>
      <c r="N313" s="53" t="s">
        <v>113</v>
      </c>
      <c r="O313" s="51" t="s">
        <v>222</v>
      </c>
      <c r="P313" s="160" t="str">
        <f>IFERROR(VLOOKUP(C313,TD!$B$32:$F$36,2,0)," ")</f>
        <v>O230117</v>
      </c>
      <c r="Q313" s="160" t="str">
        <f>IFERROR(VLOOKUP(C313,TD!$B$32:$F$36,3,0)," ")</f>
        <v>4503</v>
      </c>
      <c r="R313" s="160">
        <f>IFERROR(VLOOKUP(C313,TD!$B$32:$F$36,4,0)," ")</f>
        <v>20240255</v>
      </c>
      <c r="S313" s="51" t="s">
        <v>175</v>
      </c>
      <c r="T313" s="160" t="str">
        <f>IFERROR(VLOOKUP(S313,TD!$J$33:$K$43,2,0)," ")</f>
        <v>Servicio de atención a incidentes y emergencias.</v>
      </c>
      <c r="U313" s="161" t="str">
        <f>CONCATENATE(S313,"-",T313)</f>
        <v>04-Servicio de atención a incidentes y emergencias.</v>
      </c>
      <c r="V313" s="51" t="s">
        <v>232</v>
      </c>
      <c r="W313" s="160" t="str">
        <f>IFERROR(VLOOKUP(V313,TD!$N$33:$O$45,2,0)," ")</f>
        <v>Servicio de atención a emergencias y desastres</v>
      </c>
      <c r="X313" s="161" t="str">
        <f>CONCATENATE(V313,"_",W313)</f>
        <v>004_Servicio de atención a emergencias y desastres</v>
      </c>
      <c r="Y313" s="161" t="str">
        <f>CONCATENATE(U313," ",X313)</f>
        <v>04-Servicio de atención a incidentes y emergencias. 004_Servicio de atención a emergencias y desastres</v>
      </c>
      <c r="Z313" s="160" t="str">
        <f>CONCATENATE(P313,Q313,R313,S313,V313)</f>
        <v>O23011745032024025504004</v>
      </c>
      <c r="AA313" s="160" t="str">
        <f>IFERROR(VLOOKUP(Y313,TD!$K$46:$L$64,2,0)," ")</f>
        <v>PM/0131/0104/45030040255</v>
      </c>
      <c r="AB313" s="53" t="s">
        <v>138</v>
      </c>
      <c r="AC313" s="162" t="s">
        <v>204</v>
      </c>
    </row>
    <row r="314" spans="2:29" s="28" customFormat="1" ht="99" customHeight="1" x14ac:dyDescent="0.35">
      <c r="B314" s="77">
        <v>20250321</v>
      </c>
      <c r="C314" s="50" t="s">
        <v>209</v>
      </c>
      <c r="D314" s="158" t="s">
        <v>169</v>
      </c>
      <c r="E314" s="51" t="s">
        <v>545</v>
      </c>
      <c r="F314" s="158" t="s">
        <v>551</v>
      </c>
      <c r="G314" s="158" t="s">
        <v>156</v>
      </c>
      <c r="H314" s="97">
        <v>80111600</v>
      </c>
      <c r="I314" s="159">
        <v>2</v>
      </c>
      <c r="J314" s="159">
        <v>11</v>
      </c>
      <c r="K314" s="52">
        <v>0</v>
      </c>
      <c r="L314" s="153">
        <v>36590400</v>
      </c>
      <c r="M314" s="158" t="s">
        <v>473</v>
      </c>
      <c r="N314" s="53" t="s">
        <v>113</v>
      </c>
      <c r="O314" s="51" t="s">
        <v>222</v>
      </c>
      <c r="P314" s="160" t="str">
        <f>IFERROR(VLOOKUP(C314,TD!$B$32:$F$36,2,0)," ")</f>
        <v>O230117</v>
      </c>
      <c r="Q314" s="160" t="str">
        <f>IFERROR(VLOOKUP(C314,TD!$B$32:$F$36,3,0)," ")</f>
        <v>4503</v>
      </c>
      <c r="R314" s="160">
        <f>IFERROR(VLOOKUP(C314,TD!$B$32:$F$36,4,0)," ")</f>
        <v>20240255</v>
      </c>
      <c r="S314" s="51" t="s">
        <v>175</v>
      </c>
      <c r="T314" s="160" t="str">
        <f>IFERROR(VLOOKUP(S314,TD!$J$33:$K$43,2,0)," ")</f>
        <v>Servicio de atención a incidentes y emergencias.</v>
      </c>
      <c r="U314" s="161" t="str">
        <f>CONCATENATE(S314,"-",T314)</f>
        <v>04-Servicio de atención a incidentes y emergencias.</v>
      </c>
      <c r="V314" s="51" t="s">
        <v>232</v>
      </c>
      <c r="W314" s="160" t="str">
        <f>IFERROR(VLOOKUP(V314,TD!$N$33:$O$45,2,0)," ")</f>
        <v>Servicio de atención a emergencias y desastres</v>
      </c>
      <c r="X314" s="161" t="str">
        <f>CONCATENATE(V314,"_",W314)</f>
        <v>004_Servicio de atención a emergencias y desastres</v>
      </c>
      <c r="Y314" s="161" t="str">
        <f>CONCATENATE(U314," ",X314)</f>
        <v>04-Servicio de atención a incidentes y emergencias. 004_Servicio de atención a emergencias y desastres</v>
      </c>
      <c r="Z314" s="160" t="str">
        <f>CONCATENATE(P314,Q314,R314,S314,V314)</f>
        <v>O23011745032024025504004</v>
      </c>
      <c r="AA314" s="160" t="str">
        <f>IFERROR(VLOOKUP(Y314,TD!$K$46:$L$64,2,0)," ")</f>
        <v>PM/0131/0104/45030040255</v>
      </c>
      <c r="AB314" s="53" t="s">
        <v>138</v>
      </c>
      <c r="AC314" s="162" t="s">
        <v>204</v>
      </c>
    </row>
    <row r="315" spans="2:29" s="28" customFormat="1" ht="99" customHeight="1" x14ac:dyDescent="0.35">
      <c r="B315" s="77">
        <v>20250322</v>
      </c>
      <c r="C315" s="50" t="s">
        <v>209</v>
      </c>
      <c r="D315" s="158" t="s">
        <v>169</v>
      </c>
      <c r="E315" s="51" t="s">
        <v>545</v>
      </c>
      <c r="F315" s="158" t="s">
        <v>552</v>
      </c>
      <c r="G315" s="158" t="s">
        <v>155</v>
      </c>
      <c r="H315" s="97">
        <v>80111600</v>
      </c>
      <c r="I315" s="159">
        <v>2</v>
      </c>
      <c r="J315" s="159">
        <v>11</v>
      </c>
      <c r="K315" s="52">
        <v>0</v>
      </c>
      <c r="L315" s="153">
        <v>104500000</v>
      </c>
      <c r="M315" s="158" t="s">
        <v>473</v>
      </c>
      <c r="N315" s="53" t="s">
        <v>113</v>
      </c>
      <c r="O315" s="51" t="s">
        <v>222</v>
      </c>
      <c r="P315" s="160" t="str">
        <f>IFERROR(VLOOKUP(C315,TD!$B$32:$F$36,2,0)," ")</f>
        <v>O230117</v>
      </c>
      <c r="Q315" s="160" t="str">
        <f>IFERROR(VLOOKUP(C315,TD!$B$32:$F$36,3,0)," ")</f>
        <v>4503</v>
      </c>
      <c r="R315" s="160">
        <f>IFERROR(VLOOKUP(C315,TD!$B$32:$F$36,4,0)," ")</f>
        <v>20240255</v>
      </c>
      <c r="S315" s="51" t="s">
        <v>175</v>
      </c>
      <c r="T315" s="160" t="str">
        <f>IFERROR(VLOOKUP(S315,TD!$J$33:$K$43,2,0)," ")</f>
        <v>Servicio de atención a incidentes y emergencias.</v>
      </c>
      <c r="U315" s="161" t="str">
        <f>CONCATENATE(S315,"-",T315)</f>
        <v>04-Servicio de atención a incidentes y emergencias.</v>
      </c>
      <c r="V315" s="51" t="s">
        <v>232</v>
      </c>
      <c r="W315" s="160" t="str">
        <f>IFERROR(VLOOKUP(V315,TD!$N$33:$O$45,2,0)," ")</f>
        <v>Servicio de atención a emergencias y desastres</v>
      </c>
      <c r="X315" s="161" t="str">
        <f>CONCATENATE(V315,"_",W315)</f>
        <v>004_Servicio de atención a emergencias y desastres</v>
      </c>
      <c r="Y315" s="161" t="str">
        <f>CONCATENATE(U315," ",X315)</f>
        <v>04-Servicio de atención a incidentes y emergencias. 004_Servicio de atención a emergencias y desastres</v>
      </c>
      <c r="Z315" s="160" t="str">
        <f>CONCATENATE(P315,Q315,R315,S315,V315)</f>
        <v>O23011745032024025504004</v>
      </c>
      <c r="AA315" s="160" t="str">
        <f>IFERROR(VLOOKUP(Y315,TD!$K$46:$L$64,2,0)," ")</f>
        <v>PM/0131/0104/45030040255</v>
      </c>
      <c r="AB315" s="53" t="s">
        <v>138</v>
      </c>
      <c r="AC315" s="162" t="s">
        <v>204</v>
      </c>
    </row>
    <row r="316" spans="2:29" s="28" customFormat="1" ht="99" customHeight="1" x14ac:dyDescent="0.35">
      <c r="B316" s="77">
        <v>20250323</v>
      </c>
      <c r="C316" s="50" t="s">
        <v>209</v>
      </c>
      <c r="D316" s="158" t="s">
        <v>169</v>
      </c>
      <c r="E316" s="51" t="s">
        <v>545</v>
      </c>
      <c r="F316" s="158" t="s">
        <v>553</v>
      </c>
      <c r="G316" s="158" t="s">
        <v>155</v>
      </c>
      <c r="H316" s="97">
        <v>80111600</v>
      </c>
      <c r="I316" s="159">
        <v>2</v>
      </c>
      <c r="J316" s="159">
        <v>11</v>
      </c>
      <c r="K316" s="52">
        <v>0</v>
      </c>
      <c r="L316" s="153">
        <v>88000000</v>
      </c>
      <c r="M316" s="158" t="s">
        <v>473</v>
      </c>
      <c r="N316" s="53" t="s">
        <v>113</v>
      </c>
      <c r="O316" s="51" t="s">
        <v>222</v>
      </c>
      <c r="P316" s="160" t="str">
        <f>IFERROR(VLOOKUP(C316,TD!$B$32:$F$36,2,0)," ")</f>
        <v>O230117</v>
      </c>
      <c r="Q316" s="160" t="str">
        <f>IFERROR(VLOOKUP(C316,TD!$B$32:$F$36,3,0)," ")</f>
        <v>4503</v>
      </c>
      <c r="R316" s="160">
        <f>IFERROR(VLOOKUP(C316,TD!$B$32:$F$36,4,0)," ")</f>
        <v>20240255</v>
      </c>
      <c r="S316" s="51" t="s">
        <v>175</v>
      </c>
      <c r="T316" s="160" t="str">
        <f>IFERROR(VLOOKUP(S316,TD!$J$33:$K$43,2,0)," ")</f>
        <v>Servicio de atención a incidentes y emergencias.</v>
      </c>
      <c r="U316" s="161" t="str">
        <f>CONCATENATE(S316,"-",T316)</f>
        <v>04-Servicio de atención a incidentes y emergencias.</v>
      </c>
      <c r="V316" s="51" t="s">
        <v>232</v>
      </c>
      <c r="W316" s="160" t="str">
        <f>IFERROR(VLOOKUP(V316,TD!$N$33:$O$45,2,0)," ")</f>
        <v>Servicio de atención a emergencias y desastres</v>
      </c>
      <c r="X316" s="161" t="str">
        <f>CONCATENATE(V316,"_",W316)</f>
        <v>004_Servicio de atención a emergencias y desastres</v>
      </c>
      <c r="Y316" s="161" t="str">
        <f>CONCATENATE(U316," ",X316)</f>
        <v>04-Servicio de atención a incidentes y emergencias. 004_Servicio de atención a emergencias y desastres</v>
      </c>
      <c r="Z316" s="160" t="str">
        <f>CONCATENATE(P316,Q316,R316,S316,V316)</f>
        <v>O23011745032024025504004</v>
      </c>
      <c r="AA316" s="160" t="str">
        <f>IFERROR(VLOOKUP(Y316,TD!$K$46:$L$64,2,0)," ")</f>
        <v>PM/0131/0104/45030040255</v>
      </c>
      <c r="AB316" s="53" t="s">
        <v>138</v>
      </c>
      <c r="AC316" s="162" t="s">
        <v>204</v>
      </c>
    </row>
    <row r="317" spans="2:29" s="28" customFormat="1" ht="99" customHeight="1" x14ac:dyDescent="0.35">
      <c r="B317" s="77">
        <v>20250324</v>
      </c>
      <c r="C317" s="50" t="s">
        <v>209</v>
      </c>
      <c r="D317" s="158" t="s">
        <v>169</v>
      </c>
      <c r="E317" s="51" t="s">
        <v>545</v>
      </c>
      <c r="F317" s="158" t="s">
        <v>554</v>
      </c>
      <c r="G317" s="158" t="s">
        <v>155</v>
      </c>
      <c r="H317" s="97">
        <v>80111600</v>
      </c>
      <c r="I317" s="159">
        <v>2</v>
      </c>
      <c r="J317" s="159">
        <v>10</v>
      </c>
      <c r="K317" s="52">
        <v>0</v>
      </c>
      <c r="L317" s="153">
        <v>70000000</v>
      </c>
      <c r="M317" s="158" t="s">
        <v>473</v>
      </c>
      <c r="N317" s="53" t="s">
        <v>113</v>
      </c>
      <c r="O317" s="51" t="s">
        <v>222</v>
      </c>
      <c r="P317" s="160" t="str">
        <f>IFERROR(VLOOKUP(C317,TD!$B$32:$F$36,2,0)," ")</f>
        <v>O230117</v>
      </c>
      <c r="Q317" s="160" t="str">
        <f>IFERROR(VLOOKUP(C317,TD!$B$32:$F$36,3,0)," ")</f>
        <v>4503</v>
      </c>
      <c r="R317" s="160">
        <f>IFERROR(VLOOKUP(C317,TD!$B$32:$F$36,4,0)," ")</f>
        <v>20240255</v>
      </c>
      <c r="S317" s="51" t="s">
        <v>175</v>
      </c>
      <c r="T317" s="160" t="str">
        <f>IFERROR(VLOOKUP(S317,TD!$J$33:$K$43,2,0)," ")</f>
        <v>Servicio de atención a incidentes y emergencias.</v>
      </c>
      <c r="U317" s="161" t="str">
        <f>CONCATENATE(S317,"-",T317)</f>
        <v>04-Servicio de atención a incidentes y emergencias.</v>
      </c>
      <c r="V317" s="51" t="s">
        <v>232</v>
      </c>
      <c r="W317" s="160" t="str">
        <f>IFERROR(VLOOKUP(V317,TD!$N$33:$O$45,2,0)," ")</f>
        <v>Servicio de atención a emergencias y desastres</v>
      </c>
      <c r="X317" s="161" t="str">
        <f>CONCATENATE(V317,"_",W317)</f>
        <v>004_Servicio de atención a emergencias y desastres</v>
      </c>
      <c r="Y317" s="161" t="str">
        <f>CONCATENATE(U317," ",X317)</f>
        <v>04-Servicio de atención a incidentes y emergencias. 004_Servicio de atención a emergencias y desastres</v>
      </c>
      <c r="Z317" s="160" t="str">
        <f>CONCATENATE(P317,Q317,R317,S317,V317)</f>
        <v>O23011745032024025504004</v>
      </c>
      <c r="AA317" s="160" t="str">
        <f>IFERROR(VLOOKUP(Y317,TD!$K$46:$L$64,2,0)," ")</f>
        <v>PM/0131/0104/45030040255</v>
      </c>
      <c r="AB317" s="53" t="s">
        <v>138</v>
      </c>
      <c r="AC317" s="162" t="s">
        <v>204</v>
      </c>
    </row>
    <row r="318" spans="2:29" s="28" customFormat="1" ht="99" customHeight="1" x14ac:dyDescent="0.35">
      <c r="B318" s="77">
        <v>20250325</v>
      </c>
      <c r="C318" s="50" t="s">
        <v>209</v>
      </c>
      <c r="D318" s="158" t="s">
        <v>169</v>
      </c>
      <c r="E318" s="51" t="s">
        <v>545</v>
      </c>
      <c r="F318" s="158" t="s">
        <v>555</v>
      </c>
      <c r="G318" s="158" t="s">
        <v>155</v>
      </c>
      <c r="H318" s="97">
        <v>80111600</v>
      </c>
      <c r="I318" s="159">
        <v>2</v>
      </c>
      <c r="J318" s="159">
        <v>10</v>
      </c>
      <c r="K318" s="52">
        <v>0</v>
      </c>
      <c r="L318" s="153">
        <v>71355000</v>
      </c>
      <c r="M318" s="158" t="s">
        <v>473</v>
      </c>
      <c r="N318" s="53" t="s">
        <v>113</v>
      </c>
      <c r="O318" s="51" t="s">
        <v>222</v>
      </c>
      <c r="P318" s="160" t="str">
        <f>IFERROR(VLOOKUP(C318,TD!$B$32:$F$36,2,0)," ")</f>
        <v>O230117</v>
      </c>
      <c r="Q318" s="160" t="str">
        <f>IFERROR(VLOOKUP(C318,TD!$B$32:$F$36,3,0)," ")</f>
        <v>4503</v>
      </c>
      <c r="R318" s="160">
        <f>IFERROR(VLOOKUP(C318,TD!$B$32:$F$36,4,0)," ")</f>
        <v>20240255</v>
      </c>
      <c r="S318" s="51" t="s">
        <v>175</v>
      </c>
      <c r="T318" s="160" t="str">
        <f>IFERROR(VLOOKUP(S318,TD!$J$33:$K$43,2,0)," ")</f>
        <v>Servicio de atención a incidentes y emergencias.</v>
      </c>
      <c r="U318" s="161" t="str">
        <f>CONCATENATE(S318,"-",T318)</f>
        <v>04-Servicio de atención a incidentes y emergencias.</v>
      </c>
      <c r="V318" s="51" t="s">
        <v>232</v>
      </c>
      <c r="W318" s="160" t="str">
        <f>IFERROR(VLOOKUP(V318,TD!$N$33:$O$45,2,0)," ")</f>
        <v>Servicio de atención a emergencias y desastres</v>
      </c>
      <c r="X318" s="161" t="str">
        <f>CONCATENATE(V318,"_",W318)</f>
        <v>004_Servicio de atención a emergencias y desastres</v>
      </c>
      <c r="Y318" s="161" t="str">
        <f>CONCATENATE(U318," ",X318)</f>
        <v>04-Servicio de atención a incidentes y emergencias. 004_Servicio de atención a emergencias y desastres</v>
      </c>
      <c r="Z318" s="160" t="str">
        <f>CONCATENATE(P318,Q318,R318,S318,V318)</f>
        <v>O23011745032024025504004</v>
      </c>
      <c r="AA318" s="160" t="str">
        <f>IFERROR(VLOOKUP(Y318,TD!$K$46:$L$64,2,0)," ")</f>
        <v>PM/0131/0104/45030040255</v>
      </c>
      <c r="AB318" s="53" t="s">
        <v>138</v>
      </c>
      <c r="AC318" s="162" t="s">
        <v>204</v>
      </c>
    </row>
    <row r="319" spans="2:29" s="28" customFormat="1" ht="99" customHeight="1" x14ac:dyDescent="0.35">
      <c r="B319" s="77">
        <v>20250326</v>
      </c>
      <c r="C319" s="50" t="s">
        <v>209</v>
      </c>
      <c r="D319" s="158" t="s">
        <v>169</v>
      </c>
      <c r="E319" s="51" t="s">
        <v>545</v>
      </c>
      <c r="F319" s="158" t="s">
        <v>556</v>
      </c>
      <c r="G319" s="158" t="s">
        <v>155</v>
      </c>
      <c r="H319" s="97">
        <v>80111600</v>
      </c>
      <c r="I319" s="159">
        <v>3</v>
      </c>
      <c r="J319" s="159">
        <v>10</v>
      </c>
      <c r="K319" s="52">
        <v>0</v>
      </c>
      <c r="L319" s="153">
        <v>95000000</v>
      </c>
      <c r="M319" s="158" t="s">
        <v>473</v>
      </c>
      <c r="N319" s="53" t="s">
        <v>113</v>
      </c>
      <c r="O319" s="51" t="s">
        <v>222</v>
      </c>
      <c r="P319" s="160" t="str">
        <f>IFERROR(VLOOKUP(C319,TD!$B$32:$F$36,2,0)," ")</f>
        <v>O230117</v>
      </c>
      <c r="Q319" s="160" t="str">
        <f>IFERROR(VLOOKUP(C319,TD!$B$32:$F$36,3,0)," ")</f>
        <v>4503</v>
      </c>
      <c r="R319" s="160">
        <f>IFERROR(VLOOKUP(C319,TD!$B$32:$F$36,4,0)," ")</f>
        <v>20240255</v>
      </c>
      <c r="S319" s="51" t="s">
        <v>175</v>
      </c>
      <c r="T319" s="160" t="str">
        <f>IFERROR(VLOOKUP(S319,TD!$J$33:$K$43,2,0)," ")</f>
        <v>Servicio de atención a incidentes y emergencias.</v>
      </c>
      <c r="U319" s="161" t="str">
        <f>CONCATENATE(S319,"-",T319)</f>
        <v>04-Servicio de atención a incidentes y emergencias.</v>
      </c>
      <c r="V319" s="51" t="s">
        <v>232</v>
      </c>
      <c r="W319" s="160" t="str">
        <f>IFERROR(VLOOKUP(V319,TD!$N$33:$O$45,2,0)," ")</f>
        <v>Servicio de atención a emergencias y desastres</v>
      </c>
      <c r="X319" s="161" t="str">
        <f>CONCATENATE(V319,"_",W319)</f>
        <v>004_Servicio de atención a emergencias y desastres</v>
      </c>
      <c r="Y319" s="161" t="str">
        <f>CONCATENATE(U319," ",X319)</f>
        <v>04-Servicio de atención a incidentes y emergencias. 004_Servicio de atención a emergencias y desastres</v>
      </c>
      <c r="Z319" s="160" t="str">
        <f>CONCATENATE(P319,Q319,R319,S319,V319)</f>
        <v>O23011745032024025504004</v>
      </c>
      <c r="AA319" s="160" t="str">
        <f>IFERROR(VLOOKUP(Y319,TD!$K$46:$L$64,2,0)," ")</f>
        <v>PM/0131/0104/45030040255</v>
      </c>
      <c r="AB319" s="53" t="s">
        <v>138</v>
      </c>
      <c r="AC319" s="162" t="s">
        <v>204</v>
      </c>
    </row>
    <row r="320" spans="2:29" s="28" customFormat="1" ht="99" customHeight="1" x14ac:dyDescent="0.35">
      <c r="B320" s="77">
        <v>20250327</v>
      </c>
      <c r="C320" s="50" t="s">
        <v>209</v>
      </c>
      <c r="D320" s="158" t="s">
        <v>169</v>
      </c>
      <c r="E320" s="51" t="s">
        <v>545</v>
      </c>
      <c r="F320" s="158" t="s">
        <v>557</v>
      </c>
      <c r="G320" s="158" t="s">
        <v>155</v>
      </c>
      <c r="H320" s="97">
        <v>80111600</v>
      </c>
      <c r="I320" s="159">
        <v>2</v>
      </c>
      <c r="J320" s="159">
        <v>10</v>
      </c>
      <c r="K320" s="52">
        <v>15</v>
      </c>
      <c r="L320" s="153">
        <v>47250000</v>
      </c>
      <c r="M320" s="158" t="s">
        <v>473</v>
      </c>
      <c r="N320" s="53" t="s">
        <v>113</v>
      </c>
      <c r="O320" s="51" t="s">
        <v>222</v>
      </c>
      <c r="P320" s="160" t="str">
        <f>IFERROR(VLOOKUP(C320,TD!$B$32:$F$36,2,0)," ")</f>
        <v>O230117</v>
      </c>
      <c r="Q320" s="160" t="str">
        <f>IFERROR(VLOOKUP(C320,TD!$B$32:$F$36,3,0)," ")</f>
        <v>4503</v>
      </c>
      <c r="R320" s="160">
        <f>IFERROR(VLOOKUP(C320,TD!$B$32:$F$36,4,0)," ")</f>
        <v>20240255</v>
      </c>
      <c r="S320" s="51" t="s">
        <v>175</v>
      </c>
      <c r="T320" s="160" t="str">
        <f>IFERROR(VLOOKUP(S320,TD!$J$33:$K$43,2,0)," ")</f>
        <v>Servicio de atención a incidentes y emergencias.</v>
      </c>
      <c r="U320" s="161" t="str">
        <f>CONCATENATE(S320,"-",T320)</f>
        <v>04-Servicio de atención a incidentes y emergencias.</v>
      </c>
      <c r="V320" s="51" t="s">
        <v>232</v>
      </c>
      <c r="W320" s="160" t="str">
        <f>IFERROR(VLOOKUP(V320,TD!$N$33:$O$45,2,0)," ")</f>
        <v>Servicio de atención a emergencias y desastres</v>
      </c>
      <c r="X320" s="161" t="str">
        <f>CONCATENATE(V320,"_",W320)</f>
        <v>004_Servicio de atención a emergencias y desastres</v>
      </c>
      <c r="Y320" s="161" t="str">
        <f>CONCATENATE(U320," ",X320)</f>
        <v>04-Servicio de atención a incidentes y emergencias. 004_Servicio de atención a emergencias y desastres</v>
      </c>
      <c r="Z320" s="160" t="str">
        <f>CONCATENATE(P320,Q320,R320,S320,V320)</f>
        <v>O23011745032024025504004</v>
      </c>
      <c r="AA320" s="160" t="str">
        <f>IFERROR(VLOOKUP(Y320,TD!$K$46:$L$64,2,0)," ")</f>
        <v>PM/0131/0104/45030040255</v>
      </c>
      <c r="AB320" s="53" t="s">
        <v>138</v>
      </c>
      <c r="AC320" s="162" t="s">
        <v>204</v>
      </c>
    </row>
    <row r="321" spans="2:29" s="28" customFormat="1" ht="99" customHeight="1" x14ac:dyDescent="0.35">
      <c r="B321" s="77">
        <v>20250328</v>
      </c>
      <c r="C321" s="50" t="s">
        <v>209</v>
      </c>
      <c r="D321" s="158" t="s">
        <v>169</v>
      </c>
      <c r="E321" s="51" t="s">
        <v>545</v>
      </c>
      <c r="F321" s="158" t="s">
        <v>558</v>
      </c>
      <c r="G321" s="158" t="s">
        <v>155</v>
      </c>
      <c r="H321" s="97">
        <v>80111600</v>
      </c>
      <c r="I321" s="159">
        <v>2</v>
      </c>
      <c r="J321" s="159">
        <v>10</v>
      </c>
      <c r="K321" s="52">
        <v>0</v>
      </c>
      <c r="L321" s="153">
        <v>74550000</v>
      </c>
      <c r="M321" s="158" t="s">
        <v>473</v>
      </c>
      <c r="N321" s="53" t="s">
        <v>113</v>
      </c>
      <c r="O321" s="51" t="s">
        <v>222</v>
      </c>
      <c r="P321" s="160" t="str">
        <f>IFERROR(VLOOKUP(C321,TD!$B$32:$F$36,2,0)," ")</f>
        <v>O230117</v>
      </c>
      <c r="Q321" s="160" t="str">
        <f>IFERROR(VLOOKUP(C321,TD!$B$32:$F$36,3,0)," ")</f>
        <v>4503</v>
      </c>
      <c r="R321" s="160">
        <f>IFERROR(VLOOKUP(C321,TD!$B$32:$F$36,4,0)," ")</f>
        <v>20240255</v>
      </c>
      <c r="S321" s="51" t="s">
        <v>175</v>
      </c>
      <c r="T321" s="160" t="str">
        <f>IFERROR(VLOOKUP(S321,TD!$J$33:$K$43,2,0)," ")</f>
        <v>Servicio de atención a incidentes y emergencias.</v>
      </c>
      <c r="U321" s="161" t="str">
        <f>CONCATENATE(S321,"-",T321)</f>
        <v>04-Servicio de atención a incidentes y emergencias.</v>
      </c>
      <c r="V321" s="51" t="s">
        <v>232</v>
      </c>
      <c r="W321" s="160" t="str">
        <f>IFERROR(VLOOKUP(V321,TD!$N$33:$O$45,2,0)," ")</f>
        <v>Servicio de atención a emergencias y desastres</v>
      </c>
      <c r="X321" s="161" t="str">
        <f>CONCATENATE(V321,"_",W321)</f>
        <v>004_Servicio de atención a emergencias y desastres</v>
      </c>
      <c r="Y321" s="161" t="str">
        <f>CONCATENATE(U321," ",X321)</f>
        <v>04-Servicio de atención a incidentes y emergencias. 004_Servicio de atención a emergencias y desastres</v>
      </c>
      <c r="Z321" s="160" t="str">
        <f>CONCATENATE(P321,Q321,R321,S321,V321)</f>
        <v>O23011745032024025504004</v>
      </c>
      <c r="AA321" s="160" t="str">
        <f>IFERROR(VLOOKUP(Y321,TD!$K$46:$L$64,2,0)," ")</f>
        <v>PM/0131/0104/45030040255</v>
      </c>
      <c r="AB321" s="53" t="s">
        <v>138</v>
      </c>
      <c r="AC321" s="162" t="s">
        <v>204</v>
      </c>
    </row>
    <row r="322" spans="2:29" s="28" customFormat="1" ht="99" customHeight="1" x14ac:dyDescent="0.35">
      <c r="B322" s="77">
        <v>20250329</v>
      </c>
      <c r="C322" s="50" t="s">
        <v>209</v>
      </c>
      <c r="D322" s="158" t="s">
        <v>169</v>
      </c>
      <c r="E322" s="51" t="s">
        <v>545</v>
      </c>
      <c r="F322" s="158" t="s">
        <v>559</v>
      </c>
      <c r="G322" s="158" t="s">
        <v>155</v>
      </c>
      <c r="H322" s="97">
        <v>80111600</v>
      </c>
      <c r="I322" s="159">
        <v>2</v>
      </c>
      <c r="J322" s="159">
        <v>10</v>
      </c>
      <c r="K322" s="52">
        <v>0</v>
      </c>
      <c r="L322" s="153">
        <v>65000000</v>
      </c>
      <c r="M322" s="158" t="s">
        <v>473</v>
      </c>
      <c r="N322" s="53" t="s">
        <v>113</v>
      </c>
      <c r="O322" s="51" t="s">
        <v>222</v>
      </c>
      <c r="P322" s="160" t="str">
        <f>IFERROR(VLOOKUP(C322,TD!$B$32:$F$36,2,0)," ")</f>
        <v>O230117</v>
      </c>
      <c r="Q322" s="160" t="str">
        <f>IFERROR(VLOOKUP(C322,TD!$B$32:$F$36,3,0)," ")</f>
        <v>4503</v>
      </c>
      <c r="R322" s="160">
        <f>IFERROR(VLOOKUP(C322,TD!$B$32:$F$36,4,0)," ")</f>
        <v>20240255</v>
      </c>
      <c r="S322" s="51" t="s">
        <v>175</v>
      </c>
      <c r="T322" s="160" t="str">
        <f>IFERROR(VLOOKUP(S322,TD!$J$33:$K$43,2,0)," ")</f>
        <v>Servicio de atención a incidentes y emergencias.</v>
      </c>
      <c r="U322" s="161" t="str">
        <f>CONCATENATE(S322,"-",T322)</f>
        <v>04-Servicio de atención a incidentes y emergencias.</v>
      </c>
      <c r="V322" s="51" t="s">
        <v>232</v>
      </c>
      <c r="W322" s="160" t="str">
        <f>IFERROR(VLOOKUP(V322,TD!$N$33:$O$45,2,0)," ")</f>
        <v>Servicio de atención a emergencias y desastres</v>
      </c>
      <c r="X322" s="161" t="str">
        <f>CONCATENATE(V322,"_",W322)</f>
        <v>004_Servicio de atención a emergencias y desastres</v>
      </c>
      <c r="Y322" s="161" t="str">
        <f>CONCATENATE(U322," ",X322)</f>
        <v>04-Servicio de atención a incidentes y emergencias. 004_Servicio de atención a emergencias y desastres</v>
      </c>
      <c r="Z322" s="160" t="str">
        <f>CONCATENATE(P322,Q322,R322,S322,V322)</f>
        <v>O23011745032024025504004</v>
      </c>
      <c r="AA322" s="160" t="str">
        <f>IFERROR(VLOOKUP(Y322,TD!$K$46:$L$64,2,0)," ")</f>
        <v>PM/0131/0104/45030040255</v>
      </c>
      <c r="AB322" s="53" t="s">
        <v>138</v>
      </c>
      <c r="AC322" s="162" t="s">
        <v>204</v>
      </c>
    </row>
    <row r="323" spans="2:29" s="28" customFormat="1" ht="99" customHeight="1" x14ac:dyDescent="0.35">
      <c r="B323" s="77">
        <v>20250330</v>
      </c>
      <c r="C323" s="50" t="s">
        <v>209</v>
      </c>
      <c r="D323" s="158" t="s">
        <v>169</v>
      </c>
      <c r="E323" s="51" t="s">
        <v>545</v>
      </c>
      <c r="F323" s="158" t="s">
        <v>560</v>
      </c>
      <c r="G323" s="158" t="s">
        <v>155</v>
      </c>
      <c r="H323" s="97">
        <v>80111600</v>
      </c>
      <c r="I323" s="159">
        <v>3</v>
      </c>
      <c r="J323" s="159">
        <v>9</v>
      </c>
      <c r="K323" s="52">
        <v>0</v>
      </c>
      <c r="L323" s="153">
        <v>63000000</v>
      </c>
      <c r="M323" s="158" t="s">
        <v>473</v>
      </c>
      <c r="N323" s="53" t="s">
        <v>113</v>
      </c>
      <c r="O323" s="51" t="s">
        <v>222</v>
      </c>
      <c r="P323" s="160" t="str">
        <f>IFERROR(VLOOKUP(C323,TD!$B$32:$F$36,2,0)," ")</f>
        <v>O230117</v>
      </c>
      <c r="Q323" s="160" t="str">
        <f>IFERROR(VLOOKUP(C323,TD!$B$32:$F$36,3,0)," ")</f>
        <v>4503</v>
      </c>
      <c r="R323" s="160">
        <f>IFERROR(VLOOKUP(C323,TD!$B$32:$F$36,4,0)," ")</f>
        <v>20240255</v>
      </c>
      <c r="S323" s="51" t="s">
        <v>175</v>
      </c>
      <c r="T323" s="160" t="str">
        <f>IFERROR(VLOOKUP(S323,TD!$J$33:$K$43,2,0)," ")</f>
        <v>Servicio de atención a incidentes y emergencias.</v>
      </c>
      <c r="U323" s="161" t="str">
        <f>CONCATENATE(S323,"-",T323)</f>
        <v>04-Servicio de atención a incidentes y emergencias.</v>
      </c>
      <c r="V323" s="51" t="s">
        <v>232</v>
      </c>
      <c r="W323" s="160" t="str">
        <f>IFERROR(VLOOKUP(V323,TD!$N$33:$O$45,2,0)," ")</f>
        <v>Servicio de atención a emergencias y desastres</v>
      </c>
      <c r="X323" s="161" t="str">
        <f>CONCATENATE(V323,"_",W323)</f>
        <v>004_Servicio de atención a emergencias y desastres</v>
      </c>
      <c r="Y323" s="161" t="str">
        <f>CONCATENATE(U323," ",X323)</f>
        <v>04-Servicio de atención a incidentes y emergencias. 004_Servicio de atención a emergencias y desastres</v>
      </c>
      <c r="Z323" s="160" t="str">
        <f>CONCATENATE(P323,Q323,R323,S323,V323)</f>
        <v>O23011745032024025504004</v>
      </c>
      <c r="AA323" s="160" t="str">
        <f>IFERROR(VLOOKUP(Y323,TD!$K$46:$L$64,2,0)," ")</f>
        <v>PM/0131/0104/45030040255</v>
      </c>
      <c r="AB323" s="53" t="s">
        <v>138</v>
      </c>
      <c r="AC323" s="162" t="s">
        <v>204</v>
      </c>
    </row>
    <row r="324" spans="2:29" s="28" customFormat="1" ht="99" customHeight="1" x14ac:dyDescent="0.35">
      <c r="B324" s="77">
        <v>20250331</v>
      </c>
      <c r="C324" s="50" t="s">
        <v>209</v>
      </c>
      <c r="D324" s="158" t="s">
        <v>169</v>
      </c>
      <c r="E324" s="51" t="s">
        <v>545</v>
      </c>
      <c r="F324" s="158" t="s">
        <v>561</v>
      </c>
      <c r="G324" s="158" t="s">
        <v>155</v>
      </c>
      <c r="H324" s="97">
        <v>80111600</v>
      </c>
      <c r="I324" s="159">
        <v>2</v>
      </c>
      <c r="J324" s="159">
        <v>10</v>
      </c>
      <c r="K324" s="52">
        <v>0</v>
      </c>
      <c r="L324" s="153">
        <v>70000000</v>
      </c>
      <c r="M324" s="158" t="s">
        <v>473</v>
      </c>
      <c r="N324" s="53" t="s">
        <v>113</v>
      </c>
      <c r="O324" s="51" t="s">
        <v>222</v>
      </c>
      <c r="P324" s="160" t="str">
        <f>IFERROR(VLOOKUP(C324,TD!$B$32:$F$36,2,0)," ")</f>
        <v>O230117</v>
      </c>
      <c r="Q324" s="160" t="str">
        <f>IFERROR(VLOOKUP(C324,TD!$B$32:$F$36,3,0)," ")</f>
        <v>4503</v>
      </c>
      <c r="R324" s="160">
        <f>IFERROR(VLOOKUP(C324,TD!$B$32:$F$36,4,0)," ")</f>
        <v>20240255</v>
      </c>
      <c r="S324" s="51" t="s">
        <v>175</v>
      </c>
      <c r="T324" s="160" t="str">
        <f>IFERROR(VLOOKUP(S324,TD!$J$33:$K$43,2,0)," ")</f>
        <v>Servicio de atención a incidentes y emergencias.</v>
      </c>
      <c r="U324" s="161" t="str">
        <f>CONCATENATE(S324,"-",T324)</f>
        <v>04-Servicio de atención a incidentes y emergencias.</v>
      </c>
      <c r="V324" s="51" t="s">
        <v>232</v>
      </c>
      <c r="W324" s="160" t="str">
        <f>IFERROR(VLOOKUP(V324,TD!$N$33:$O$45,2,0)," ")</f>
        <v>Servicio de atención a emergencias y desastres</v>
      </c>
      <c r="X324" s="161" t="str">
        <f>CONCATENATE(V324,"_",W324)</f>
        <v>004_Servicio de atención a emergencias y desastres</v>
      </c>
      <c r="Y324" s="161" t="str">
        <f>CONCATENATE(U324," ",X324)</f>
        <v>04-Servicio de atención a incidentes y emergencias. 004_Servicio de atención a emergencias y desastres</v>
      </c>
      <c r="Z324" s="160" t="str">
        <f>CONCATENATE(P324,Q324,R324,S324,V324)</f>
        <v>O23011745032024025504004</v>
      </c>
      <c r="AA324" s="160" t="str">
        <f>IFERROR(VLOOKUP(Y324,TD!$K$46:$L$64,2,0)," ")</f>
        <v>PM/0131/0104/45030040255</v>
      </c>
      <c r="AB324" s="53" t="s">
        <v>138</v>
      </c>
      <c r="AC324" s="162" t="s">
        <v>204</v>
      </c>
    </row>
    <row r="325" spans="2:29" s="28" customFormat="1" ht="99" customHeight="1" x14ac:dyDescent="0.35">
      <c r="B325" s="77">
        <v>20250332</v>
      </c>
      <c r="C325" s="50" t="s">
        <v>209</v>
      </c>
      <c r="D325" s="158" t="s">
        <v>169</v>
      </c>
      <c r="E325" s="51" t="s">
        <v>545</v>
      </c>
      <c r="F325" s="158" t="s">
        <v>907</v>
      </c>
      <c r="G325" s="158" t="s">
        <v>155</v>
      </c>
      <c r="H325" s="97">
        <v>80111600</v>
      </c>
      <c r="I325" s="159">
        <v>3</v>
      </c>
      <c r="J325" s="159">
        <v>10</v>
      </c>
      <c r="K325" s="52">
        <v>0</v>
      </c>
      <c r="L325" s="153">
        <v>94683333</v>
      </c>
      <c r="M325" s="158" t="s">
        <v>473</v>
      </c>
      <c r="N325" s="53" t="s">
        <v>113</v>
      </c>
      <c r="O325" s="51" t="s">
        <v>222</v>
      </c>
      <c r="P325" s="160" t="str">
        <f>IFERROR(VLOOKUP(C325,TD!$B$32:$F$36,2,0)," ")</f>
        <v>O230117</v>
      </c>
      <c r="Q325" s="160" t="str">
        <f>IFERROR(VLOOKUP(C325,TD!$B$32:$F$36,3,0)," ")</f>
        <v>4503</v>
      </c>
      <c r="R325" s="160">
        <f>IFERROR(VLOOKUP(C325,TD!$B$32:$F$36,4,0)," ")</f>
        <v>20240255</v>
      </c>
      <c r="S325" s="51" t="s">
        <v>175</v>
      </c>
      <c r="T325" s="160" t="str">
        <f>IFERROR(VLOOKUP(S325,TD!$J$33:$K$43,2,0)," ")</f>
        <v>Servicio de atención a incidentes y emergencias.</v>
      </c>
      <c r="U325" s="161" t="str">
        <f>CONCATENATE(S325,"-",T325)</f>
        <v>04-Servicio de atención a incidentes y emergencias.</v>
      </c>
      <c r="V325" s="51" t="s">
        <v>232</v>
      </c>
      <c r="W325" s="160" t="str">
        <f>IFERROR(VLOOKUP(V325,TD!$N$33:$O$45,2,0)," ")</f>
        <v>Servicio de atención a emergencias y desastres</v>
      </c>
      <c r="X325" s="161" t="str">
        <f>CONCATENATE(V325,"_",W325)</f>
        <v>004_Servicio de atención a emergencias y desastres</v>
      </c>
      <c r="Y325" s="161" t="str">
        <f>CONCATENATE(U325," ",X325)</f>
        <v>04-Servicio de atención a incidentes y emergencias. 004_Servicio de atención a emergencias y desastres</v>
      </c>
      <c r="Z325" s="160" t="str">
        <f>CONCATENATE(P325,Q325,R325,S325,V325)</f>
        <v>O23011745032024025504004</v>
      </c>
      <c r="AA325" s="160" t="str">
        <f>IFERROR(VLOOKUP(Y325,TD!$K$46:$L$64,2,0)," ")</f>
        <v>PM/0131/0104/45030040255</v>
      </c>
      <c r="AB325" s="53" t="s">
        <v>138</v>
      </c>
      <c r="AC325" s="162" t="s">
        <v>204</v>
      </c>
    </row>
    <row r="326" spans="2:29" s="28" customFormat="1" ht="99" customHeight="1" x14ac:dyDescent="0.35">
      <c r="B326" s="77">
        <v>20250333</v>
      </c>
      <c r="C326" s="50" t="s">
        <v>209</v>
      </c>
      <c r="D326" s="158" t="s">
        <v>169</v>
      </c>
      <c r="E326" s="51" t="s">
        <v>545</v>
      </c>
      <c r="F326" s="158" t="s">
        <v>562</v>
      </c>
      <c r="G326" s="158" t="s">
        <v>155</v>
      </c>
      <c r="H326" s="97">
        <v>80111600</v>
      </c>
      <c r="I326" s="159">
        <v>2</v>
      </c>
      <c r="J326" s="159">
        <v>10</v>
      </c>
      <c r="K326" s="52">
        <v>0</v>
      </c>
      <c r="L326" s="153">
        <v>55000000</v>
      </c>
      <c r="M326" s="158" t="s">
        <v>473</v>
      </c>
      <c r="N326" s="53" t="s">
        <v>113</v>
      </c>
      <c r="O326" s="51" t="s">
        <v>222</v>
      </c>
      <c r="P326" s="160" t="str">
        <f>IFERROR(VLOOKUP(C326,TD!$B$32:$F$36,2,0)," ")</f>
        <v>O230117</v>
      </c>
      <c r="Q326" s="160" t="str">
        <f>IFERROR(VLOOKUP(C326,TD!$B$32:$F$36,3,0)," ")</f>
        <v>4503</v>
      </c>
      <c r="R326" s="160">
        <f>IFERROR(VLOOKUP(C326,TD!$B$32:$F$36,4,0)," ")</f>
        <v>20240255</v>
      </c>
      <c r="S326" s="51" t="s">
        <v>175</v>
      </c>
      <c r="T326" s="160" t="str">
        <f>IFERROR(VLOOKUP(S326,TD!$J$33:$K$43,2,0)," ")</f>
        <v>Servicio de atención a incidentes y emergencias.</v>
      </c>
      <c r="U326" s="161" t="str">
        <f>CONCATENATE(S326,"-",T326)</f>
        <v>04-Servicio de atención a incidentes y emergencias.</v>
      </c>
      <c r="V326" s="51" t="s">
        <v>232</v>
      </c>
      <c r="W326" s="160" t="str">
        <f>IFERROR(VLOOKUP(V326,TD!$N$33:$O$45,2,0)," ")</f>
        <v>Servicio de atención a emergencias y desastres</v>
      </c>
      <c r="X326" s="161" t="str">
        <f>CONCATENATE(V326,"_",W326)</f>
        <v>004_Servicio de atención a emergencias y desastres</v>
      </c>
      <c r="Y326" s="161" t="str">
        <f>CONCATENATE(U326," ",X326)</f>
        <v>04-Servicio de atención a incidentes y emergencias. 004_Servicio de atención a emergencias y desastres</v>
      </c>
      <c r="Z326" s="160" t="str">
        <f>CONCATENATE(P326,Q326,R326,S326,V326)</f>
        <v>O23011745032024025504004</v>
      </c>
      <c r="AA326" s="160" t="str">
        <f>IFERROR(VLOOKUP(Y326,TD!$K$46:$L$64,2,0)," ")</f>
        <v>PM/0131/0104/45030040255</v>
      </c>
      <c r="AB326" s="53" t="s">
        <v>138</v>
      </c>
      <c r="AC326" s="162" t="s">
        <v>204</v>
      </c>
    </row>
    <row r="327" spans="2:29" s="28" customFormat="1" ht="99" customHeight="1" x14ac:dyDescent="0.35">
      <c r="B327" s="77">
        <v>20250334</v>
      </c>
      <c r="C327" s="50" t="s">
        <v>209</v>
      </c>
      <c r="D327" s="158" t="s">
        <v>169</v>
      </c>
      <c r="E327" s="51" t="s">
        <v>545</v>
      </c>
      <c r="F327" s="158" t="s">
        <v>899</v>
      </c>
      <c r="G327" s="158" t="s">
        <v>155</v>
      </c>
      <c r="H327" s="97">
        <v>80111600</v>
      </c>
      <c r="I327" s="159">
        <v>3</v>
      </c>
      <c r="J327" s="159">
        <v>9</v>
      </c>
      <c r="K327" s="52">
        <v>15</v>
      </c>
      <c r="L327" s="153">
        <v>66500000</v>
      </c>
      <c r="M327" s="158" t="s">
        <v>473</v>
      </c>
      <c r="N327" s="53" t="s">
        <v>113</v>
      </c>
      <c r="O327" s="51" t="s">
        <v>222</v>
      </c>
      <c r="P327" s="160" t="str">
        <f>IFERROR(VLOOKUP(C327,TD!$B$32:$F$36,2,0)," ")</f>
        <v>O230117</v>
      </c>
      <c r="Q327" s="160" t="str">
        <f>IFERROR(VLOOKUP(C327,TD!$B$32:$F$36,3,0)," ")</f>
        <v>4503</v>
      </c>
      <c r="R327" s="160">
        <f>IFERROR(VLOOKUP(C327,TD!$B$32:$F$36,4,0)," ")</f>
        <v>20240255</v>
      </c>
      <c r="S327" s="51" t="s">
        <v>175</v>
      </c>
      <c r="T327" s="160" t="str">
        <f>IFERROR(VLOOKUP(S327,TD!$J$33:$K$43,2,0)," ")</f>
        <v>Servicio de atención a incidentes y emergencias.</v>
      </c>
      <c r="U327" s="161" t="str">
        <f>CONCATENATE(S327,"-",T327)</f>
        <v>04-Servicio de atención a incidentes y emergencias.</v>
      </c>
      <c r="V327" s="51" t="s">
        <v>232</v>
      </c>
      <c r="W327" s="160" t="str">
        <f>IFERROR(VLOOKUP(V327,TD!$N$33:$O$45,2,0)," ")</f>
        <v>Servicio de atención a emergencias y desastres</v>
      </c>
      <c r="X327" s="161" t="str">
        <f>CONCATENATE(V327,"_",W327)</f>
        <v>004_Servicio de atención a emergencias y desastres</v>
      </c>
      <c r="Y327" s="161" t="str">
        <f>CONCATENATE(U327," ",X327)</f>
        <v>04-Servicio de atención a incidentes y emergencias. 004_Servicio de atención a emergencias y desastres</v>
      </c>
      <c r="Z327" s="160" t="str">
        <f>CONCATENATE(P327,Q327,R327,S327,V327)</f>
        <v>O23011745032024025504004</v>
      </c>
      <c r="AA327" s="160" t="str">
        <f>IFERROR(VLOOKUP(Y327,TD!$K$46:$L$64,2,0)," ")</f>
        <v>PM/0131/0104/45030040255</v>
      </c>
      <c r="AB327" s="53" t="s">
        <v>138</v>
      </c>
      <c r="AC327" s="162" t="s">
        <v>204</v>
      </c>
    </row>
    <row r="328" spans="2:29" s="28" customFormat="1" ht="99" customHeight="1" x14ac:dyDescent="0.35">
      <c r="B328" s="77">
        <v>20250335</v>
      </c>
      <c r="C328" s="50" t="s">
        <v>209</v>
      </c>
      <c r="D328" s="158" t="s">
        <v>169</v>
      </c>
      <c r="E328" s="51" t="s">
        <v>545</v>
      </c>
      <c r="F328" s="158" t="s">
        <v>563</v>
      </c>
      <c r="G328" s="158" t="s">
        <v>155</v>
      </c>
      <c r="H328" s="97">
        <v>80111600</v>
      </c>
      <c r="I328" s="159">
        <v>2</v>
      </c>
      <c r="J328" s="159">
        <v>10</v>
      </c>
      <c r="K328" s="52">
        <v>15</v>
      </c>
      <c r="L328" s="153">
        <v>52500000</v>
      </c>
      <c r="M328" s="158" t="s">
        <v>473</v>
      </c>
      <c r="N328" s="53" t="s">
        <v>113</v>
      </c>
      <c r="O328" s="51" t="s">
        <v>222</v>
      </c>
      <c r="P328" s="160" t="str">
        <f>IFERROR(VLOOKUP(C328,TD!$B$32:$F$36,2,0)," ")</f>
        <v>O230117</v>
      </c>
      <c r="Q328" s="160" t="str">
        <f>IFERROR(VLOOKUP(C328,TD!$B$32:$F$36,3,0)," ")</f>
        <v>4503</v>
      </c>
      <c r="R328" s="160">
        <f>IFERROR(VLOOKUP(C328,TD!$B$32:$F$36,4,0)," ")</f>
        <v>20240255</v>
      </c>
      <c r="S328" s="51" t="s">
        <v>175</v>
      </c>
      <c r="T328" s="160" t="str">
        <f>IFERROR(VLOOKUP(S328,TD!$J$33:$K$43,2,0)," ")</f>
        <v>Servicio de atención a incidentes y emergencias.</v>
      </c>
      <c r="U328" s="161" t="str">
        <f>CONCATENATE(S328,"-",T328)</f>
        <v>04-Servicio de atención a incidentes y emergencias.</v>
      </c>
      <c r="V328" s="51" t="s">
        <v>232</v>
      </c>
      <c r="W328" s="160" t="str">
        <f>IFERROR(VLOOKUP(V328,TD!$N$33:$O$45,2,0)," ")</f>
        <v>Servicio de atención a emergencias y desastres</v>
      </c>
      <c r="X328" s="161" t="str">
        <f>CONCATENATE(V328,"_",W328)</f>
        <v>004_Servicio de atención a emergencias y desastres</v>
      </c>
      <c r="Y328" s="161" t="str">
        <f>CONCATENATE(U328," ",X328)</f>
        <v>04-Servicio de atención a incidentes y emergencias. 004_Servicio de atención a emergencias y desastres</v>
      </c>
      <c r="Z328" s="160" t="str">
        <f>CONCATENATE(P328,Q328,R328,S328,V328)</f>
        <v>O23011745032024025504004</v>
      </c>
      <c r="AA328" s="160" t="str">
        <f>IFERROR(VLOOKUP(Y328,TD!$K$46:$L$64,2,0)," ")</f>
        <v>PM/0131/0104/45030040255</v>
      </c>
      <c r="AB328" s="53" t="s">
        <v>138</v>
      </c>
      <c r="AC328" s="162" t="s">
        <v>204</v>
      </c>
    </row>
    <row r="329" spans="2:29" s="28" customFormat="1" ht="99" customHeight="1" x14ac:dyDescent="0.35">
      <c r="B329" s="77">
        <v>20250336</v>
      </c>
      <c r="C329" s="50" t="s">
        <v>209</v>
      </c>
      <c r="D329" s="158" t="s">
        <v>169</v>
      </c>
      <c r="E329" s="51" t="s">
        <v>545</v>
      </c>
      <c r="F329" s="158" t="s">
        <v>564</v>
      </c>
      <c r="G329" s="158" t="s">
        <v>155</v>
      </c>
      <c r="H329" s="97">
        <v>80111600</v>
      </c>
      <c r="I329" s="159">
        <v>2</v>
      </c>
      <c r="J329" s="159">
        <v>9</v>
      </c>
      <c r="K329" s="52">
        <v>0</v>
      </c>
      <c r="L329" s="153">
        <v>63000000</v>
      </c>
      <c r="M329" s="158" t="s">
        <v>473</v>
      </c>
      <c r="N329" s="53" t="s">
        <v>113</v>
      </c>
      <c r="O329" s="51" t="s">
        <v>222</v>
      </c>
      <c r="P329" s="160" t="str">
        <f>IFERROR(VLOOKUP(C329,TD!$B$32:$F$36,2,0)," ")</f>
        <v>O230117</v>
      </c>
      <c r="Q329" s="160" t="str">
        <f>IFERROR(VLOOKUP(C329,TD!$B$32:$F$36,3,0)," ")</f>
        <v>4503</v>
      </c>
      <c r="R329" s="160">
        <f>IFERROR(VLOOKUP(C329,TD!$B$32:$F$36,4,0)," ")</f>
        <v>20240255</v>
      </c>
      <c r="S329" s="51" t="s">
        <v>175</v>
      </c>
      <c r="T329" s="160" t="str">
        <f>IFERROR(VLOOKUP(S329,TD!$J$33:$K$43,2,0)," ")</f>
        <v>Servicio de atención a incidentes y emergencias.</v>
      </c>
      <c r="U329" s="161" t="str">
        <f>CONCATENATE(S329,"-",T329)</f>
        <v>04-Servicio de atención a incidentes y emergencias.</v>
      </c>
      <c r="V329" s="51" t="s">
        <v>232</v>
      </c>
      <c r="W329" s="160" t="str">
        <f>IFERROR(VLOOKUP(V329,TD!$N$33:$O$45,2,0)," ")</f>
        <v>Servicio de atención a emergencias y desastres</v>
      </c>
      <c r="X329" s="161" t="str">
        <f>CONCATENATE(V329,"_",W329)</f>
        <v>004_Servicio de atención a emergencias y desastres</v>
      </c>
      <c r="Y329" s="161" t="str">
        <f>CONCATENATE(U329," ",X329)</f>
        <v>04-Servicio de atención a incidentes y emergencias. 004_Servicio de atención a emergencias y desastres</v>
      </c>
      <c r="Z329" s="160" t="str">
        <f>CONCATENATE(P329,Q329,R329,S329,V329)</f>
        <v>O23011745032024025504004</v>
      </c>
      <c r="AA329" s="160" t="str">
        <f>IFERROR(VLOOKUP(Y329,TD!$K$46:$L$64,2,0)," ")</f>
        <v>PM/0131/0104/45030040255</v>
      </c>
      <c r="AB329" s="53" t="s">
        <v>138</v>
      </c>
      <c r="AC329" s="162" t="s">
        <v>204</v>
      </c>
    </row>
    <row r="330" spans="2:29" s="28" customFormat="1" ht="99" customHeight="1" x14ac:dyDescent="0.35">
      <c r="B330" s="77">
        <v>20250337</v>
      </c>
      <c r="C330" s="50" t="s">
        <v>209</v>
      </c>
      <c r="D330" s="158" t="s">
        <v>169</v>
      </c>
      <c r="E330" s="51" t="s">
        <v>545</v>
      </c>
      <c r="F330" s="158" t="s">
        <v>565</v>
      </c>
      <c r="G330" s="158" t="s">
        <v>155</v>
      </c>
      <c r="H330" s="97">
        <v>80111600</v>
      </c>
      <c r="I330" s="159">
        <v>2</v>
      </c>
      <c r="J330" s="159">
        <v>10</v>
      </c>
      <c r="K330" s="52">
        <v>0</v>
      </c>
      <c r="L330" s="153">
        <v>65000000</v>
      </c>
      <c r="M330" s="158" t="s">
        <v>473</v>
      </c>
      <c r="N330" s="53" t="s">
        <v>113</v>
      </c>
      <c r="O330" s="51" t="s">
        <v>222</v>
      </c>
      <c r="P330" s="160" t="str">
        <f>IFERROR(VLOOKUP(C330,TD!$B$32:$F$36,2,0)," ")</f>
        <v>O230117</v>
      </c>
      <c r="Q330" s="160" t="str">
        <f>IFERROR(VLOOKUP(C330,TD!$B$32:$F$36,3,0)," ")</f>
        <v>4503</v>
      </c>
      <c r="R330" s="160">
        <f>IFERROR(VLOOKUP(C330,TD!$B$32:$F$36,4,0)," ")</f>
        <v>20240255</v>
      </c>
      <c r="S330" s="51" t="s">
        <v>175</v>
      </c>
      <c r="T330" s="160" t="str">
        <f>IFERROR(VLOOKUP(S330,TD!$J$33:$K$43,2,0)," ")</f>
        <v>Servicio de atención a incidentes y emergencias.</v>
      </c>
      <c r="U330" s="161" t="str">
        <f>CONCATENATE(S330,"-",T330)</f>
        <v>04-Servicio de atención a incidentes y emergencias.</v>
      </c>
      <c r="V330" s="51" t="s">
        <v>232</v>
      </c>
      <c r="W330" s="160" t="str">
        <f>IFERROR(VLOOKUP(V330,TD!$N$33:$O$45,2,0)," ")</f>
        <v>Servicio de atención a emergencias y desastres</v>
      </c>
      <c r="X330" s="161" t="str">
        <f>CONCATENATE(V330,"_",W330)</f>
        <v>004_Servicio de atención a emergencias y desastres</v>
      </c>
      <c r="Y330" s="161" t="str">
        <f>CONCATENATE(U330," ",X330)</f>
        <v>04-Servicio de atención a incidentes y emergencias. 004_Servicio de atención a emergencias y desastres</v>
      </c>
      <c r="Z330" s="160" t="str">
        <f>CONCATENATE(P330,Q330,R330,S330,V330)</f>
        <v>O23011745032024025504004</v>
      </c>
      <c r="AA330" s="160" t="str">
        <f>IFERROR(VLOOKUP(Y330,TD!$K$46:$L$64,2,0)," ")</f>
        <v>PM/0131/0104/45030040255</v>
      </c>
      <c r="AB330" s="53" t="s">
        <v>138</v>
      </c>
      <c r="AC330" s="162" t="s">
        <v>204</v>
      </c>
    </row>
    <row r="331" spans="2:29" s="28" customFormat="1" ht="99" customHeight="1" x14ac:dyDescent="0.35">
      <c r="B331" s="77">
        <v>20250338</v>
      </c>
      <c r="C331" s="50" t="s">
        <v>209</v>
      </c>
      <c r="D331" s="158" t="s">
        <v>169</v>
      </c>
      <c r="E331" s="51" t="s">
        <v>545</v>
      </c>
      <c r="F331" s="158" t="s">
        <v>566</v>
      </c>
      <c r="G331" s="158" t="s">
        <v>155</v>
      </c>
      <c r="H331" s="97">
        <v>80111600</v>
      </c>
      <c r="I331" s="159">
        <v>3</v>
      </c>
      <c r="J331" s="159">
        <v>4</v>
      </c>
      <c r="K331" s="52">
        <v>0</v>
      </c>
      <c r="L331" s="153">
        <v>19200000</v>
      </c>
      <c r="M331" s="158" t="s">
        <v>473</v>
      </c>
      <c r="N331" s="53" t="s">
        <v>113</v>
      </c>
      <c r="O331" s="51" t="s">
        <v>222</v>
      </c>
      <c r="P331" s="160" t="str">
        <f>IFERROR(VLOOKUP(C331,TD!$B$32:$F$36,2,0)," ")</f>
        <v>O230117</v>
      </c>
      <c r="Q331" s="160" t="str">
        <f>IFERROR(VLOOKUP(C331,TD!$B$32:$F$36,3,0)," ")</f>
        <v>4503</v>
      </c>
      <c r="R331" s="160">
        <f>IFERROR(VLOOKUP(C331,TD!$B$32:$F$36,4,0)," ")</f>
        <v>20240255</v>
      </c>
      <c r="S331" s="51" t="s">
        <v>175</v>
      </c>
      <c r="T331" s="160" t="str">
        <f>IFERROR(VLOOKUP(S331,TD!$J$33:$K$43,2,0)," ")</f>
        <v>Servicio de atención a incidentes y emergencias.</v>
      </c>
      <c r="U331" s="161" t="str">
        <f>CONCATENATE(S331,"-",T331)</f>
        <v>04-Servicio de atención a incidentes y emergencias.</v>
      </c>
      <c r="V331" s="51" t="s">
        <v>232</v>
      </c>
      <c r="W331" s="160" t="str">
        <f>IFERROR(VLOOKUP(V331,TD!$N$33:$O$45,2,0)," ")</f>
        <v>Servicio de atención a emergencias y desastres</v>
      </c>
      <c r="X331" s="161" t="str">
        <f>CONCATENATE(V331,"_",W331)</f>
        <v>004_Servicio de atención a emergencias y desastres</v>
      </c>
      <c r="Y331" s="161" t="str">
        <f>CONCATENATE(U331," ",X331)</f>
        <v>04-Servicio de atención a incidentes y emergencias. 004_Servicio de atención a emergencias y desastres</v>
      </c>
      <c r="Z331" s="160" t="str">
        <f>CONCATENATE(P331,Q331,R331,S331,V331)</f>
        <v>O23011745032024025504004</v>
      </c>
      <c r="AA331" s="160" t="str">
        <f>IFERROR(VLOOKUP(Y331,TD!$K$46:$L$64,2,0)," ")</f>
        <v>PM/0131/0104/45030040255</v>
      </c>
      <c r="AB331" s="53" t="s">
        <v>138</v>
      </c>
      <c r="AC331" s="162" t="s">
        <v>204</v>
      </c>
    </row>
    <row r="332" spans="2:29" s="28" customFormat="1" ht="99" customHeight="1" x14ac:dyDescent="0.35">
      <c r="B332" s="77">
        <v>20250339</v>
      </c>
      <c r="C332" s="50" t="s">
        <v>209</v>
      </c>
      <c r="D332" s="158" t="s">
        <v>169</v>
      </c>
      <c r="E332" s="51" t="s">
        <v>545</v>
      </c>
      <c r="F332" s="158" t="s">
        <v>567</v>
      </c>
      <c r="G332" s="158" t="s">
        <v>155</v>
      </c>
      <c r="H332" s="97">
        <v>80111600</v>
      </c>
      <c r="I332" s="159">
        <v>3</v>
      </c>
      <c r="J332" s="159">
        <v>10</v>
      </c>
      <c r="K332" s="52">
        <v>0</v>
      </c>
      <c r="L332" s="153">
        <v>65000000</v>
      </c>
      <c r="M332" s="158" t="s">
        <v>473</v>
      </c>
      <c r="N332" s="53" t="s">
        <v>113</v>
      </c>
      <c r="O332" s="51" t="s">
        <v>222</v>
      </c>
      <c r="P332" s="160" t="str">
        <f>IFERROR(VLOOKUP(C332,TD!$B$32:$F$36,2,0)," ")</f>
        <v>O230117</v>
      </c>
      <c r="Q332" s="160" t="str">
        <f>IFERROR(VLOOKUP(C332,TD!$B$32:$F$36,3,0)," ")</f>
        <v>4503</v>
      </c>
      <c r="R332" s="160">
        <f>IFERROR(VLOOKUP(C332,TD!$B$32:$F$36,4,0)," ")</f>
        <v>20240255</v>
      </c>
      <c r="S332" s="51" t="s">
        <v>175</v>
      </c>
      <c r="T332" s="160" t="str">
        <f>IFERROR(VLOOKUP(S332,TD!$J$33:$K$43,2,0)," ")</f>
        <v>Servicio de atención a incidentes y emergencias.</v>
      </c>
      <c r="U332" s="161" t="str">
        <f>CONCATENATE(S332,"-",T332)</f>
        <v>04-Servicio de atención a incidentes y emergencias.</v>
      </c>
      <c r="V332" s="51" t="s">
        <v>232</v>
      </c>
      <c r="W332" s="160" t="str">
        <f>IFERROR(VLOOKUP(V332,TD!$N$33:$O$45,2,0)," ")</f>
        <v>Servicio de atención a emergencias y desastres</v>
      </c>
      <c r="X332" s="161" t="str">
        <f>CONCATENATE(V332,"_",W332)</f>
        <v>004_Servicio de atención a emergencias y desastres</v>
      </c>
      <c r="Y332" s="161" t="str">
        <f>CONCATENATE(U332," ",X332)</f>
        <v>04-Servicio de atención a incidentes y emergencias. 004_Servicio de atención a emergencias y desastres</v>
      </c>
      <c r="Z332" s="160" t="str">
        <f>CONCATENATE(P332,Q332,R332,S332,V332)</f>
        <v>O23011745032024025504004</v>
      </c>
      <c r="AA332" s="160" t="str">
        <f>IFERROR(VLOOKUP(Y332,TD!$K$46:$L$64,2,0)," ")</f>
        <v>PM/0131/0104/45030040255</v>
      </c>
      <c r="AB332" s="53" t="s">
        <v>138</v>
      </c>
      <c r="AC332" s="162" t="s">
        <v>204</v>
      </c>
    </row>
    <row r="333" spans="2:29" s="28" customFormat="1" ht="99" customHeight="1" x14ac:dyDescent="0.35">
      <c r="B333" s="77">
        <v>20250340</v>
      </c>
      <c r="C333" s="50" t="s">
        <v>209</v>
      </c>
      <c r="D333" s="158" t="s">
        <v>169</v>
      </c>
      <c r="E333" s="51" t="s">
        <v>545</v>
      </c>
      <c r="F333" s="158" t="s">
        <v>568</v>
      </c>
      <c r="G333" s="158" t="s">
        <v>155</v>
      </c>
      <c r="H333" s="97">
        <v>80111600</v>
      </c>
      <c r="I333" s="159">
        <v>2</v>
      </c>
      <c r="J333" s="159">
        <v>10</v>
      </c>
      <c r="K333" s="52">
        <v>0</v>
      </c>
      <c r="L333" s="153">
        <v>95000000</v>
      </c>
      <c r="M333" s="158" t="s">
        <v>473</v>
      </c>
      <c r="N333" s="53" t="s">
        <v>113</v>
      </c>
      <c r="O333" s="51" t="s">
        <v>222</v>
      </c>
      <c r="P333" s="160" t="str">
        <f>IFERROR(VLOOKUP(C333,TD!$B$32:$F$36,2,0)," ")</f>
        <v>O230117</v>
      </c>
      <c r="Q333" s="160" t="str">
        <f>IFERROR(VLOOKUP(C333,TD!$B$32:$F$36,3,0)," ")</f>
        <v>4503</v>
      </c>
      <c r="R333" s="160">
        <f>IFERROR(VLOOKUP(C333,TD!$B$32:$F$36,4,0)," ")</f>
        <v>20240255</v>
      </c>
      <c r="S333" s="51" t="s">
        <v>175</v>
      </c>
      <c r="T333" s="160" t="str">
        <f>IFERROR(VLOOKUP(S333,TD!$J$33:$K$43,2,0)," ")</f>
        <v>Servicio de atención a incidentes y emergencias.</v>
      </c>
      <c r="U333" s="161" t="str">
        <f>CONCATENATE(S333,"-",T333)</f>
        <v>04-Servicio de atención a incidentes y emergencias.</v>
      </c>
      <c r="V333" s="51" t="s">
        <v>232</v>
      </c>
      <c r="W333" s="160" t="str">
        <f>IFERROR(VLOOKUP(V333,TD!$N$33:$O$45,2,0)," ")</f>
        <v>Servicio de atención a emergencias y desastres</v>
      </c>
      <c r="X333" s="161" t="str">
        <f>CONCATENATE(V333,"_",W333)</f>
        <v>004_Servicio de atención a emergencias y desastres</v>
      </c>
      <c r="Y333" s="161" t="str">
        <f>CONCATENATE(U333," ",X333)</f>
        <v>04-Servicio de atención a incidentes y emergencias. 004_Servicio de atención a emergencias y desastres</v>
      </c>
      <c r="Z333" s="160" t="str">
        <f>CONCATENATE(P333,Q333,R333,S333,V333)</f>
        <v>O23011745032024025504004</v>
      </c>
      <c r="AA333" s="160" t="str">
        <f>IFERROR(VLOOKUP(Y333,TD!$K$46:$L$64,2,0)," ")</f>
        <v>PM/0131/0104/45030040255</v>
      </c>
      <c r="AB333" s="53" t="s">
        <v>138</v>
      </c>
      <c r="AC333" s="162" t="s">
        <v>204</v>
      </c>
    </row>
    <row r="334" spans="2:29" s="28" customFormat="1" ht="99" customHeight="1" x14ac:dyDescent="0.35">
      <c r="B334" s="77">
        <v>20250341</v>
      </c>
      <c r="C334" s="50" t="s">
        <v>209</v>
      </c>
      <c r="D334" s="158" t="s">
        <v>169</v>
      </c>
      <c r="E334" s="51" t="s">
        <v>545</v>
      </c>
      <c r="F334" s="158" t="s">
        <v>569</v>
      </c>
      <c r="G334" s="158" t="s">
        <v>155</v>
      </c>
      <c r="H334" s="97">
        <v>80111600</v>
      </c>
      <c r="I334" s="159">
        <v>2</v>
      </c>
      <c r="J334" s="159">
        <v>5</v>
      </c>
      <c r="K334" s="52">
        <v>0</v>
      </c>
      <c r="L334" s="153">
        <v>35000000</v>
      </c>
      <c r="M334" s="158" t="s">
        <v>473</v>
      </c>
      <c r="N334" s="53" t="s">
        <v>113</v>
      </c>
      <c r="O334" s="51" t="s">
        <v>222</v>
      </c>
      <c r="P334" s="160" t="str">
        <f>IFERROR(VLOOKUP(C334,TD!$B$32:$F$36,2,0)," ")</f>
        <v>O230117</v>
      </c>
      <c r="Q334" s="160" t="str">
        <f>IFERROR(VLOOKUP(C334,TD!$B$32:$F$36,3,0)," ")</f>
        <v>4503</v>
      </c>
      <c r="R334" s="160">
        <f>IFERROR(VLOOKUP(C334,TD!$B$32:$F$36,4,0)," ")</f>
        <v>20240255</v>
      </c>
      <c r="S334" s="51" t="s">
        <v>175</v>
      </c>
      <c r="T334" s="160" t="str">
        <f>IFERROR(VLOOKUP(S334,TD!$J$33:$K$43,2,0)," ")</f>
        <v>Servicio de atención a incidentes y emergencias.</v>
      </c>
      <c r="U334" s="161" t="str">
        <f>CONCATENATE(S334,"-",T334)</f>
        <v>04-Servicio de atención a incidentes y emergencias.</v>
      </c>
      <c r="V334" s="51" t="s">
        <v>232</v>
      </c>
      <c r="W334" s="160" t="str">
        <f>IFERROR(VLOOKUP(V334,TD!$N$33:$O$45,2,0)," ")</f>
        <v>Servicio de atención a emergencias y desastres</v>
      </c>
      <c r="X334" s="161" t="str">
        <f>CONCATENATE(V334,"_",W334)</f>
        <v>004_Servicio de atención a emergencias y desastres</v>
      </c>
      <c r="Y334" s="161" t="str">
        <f>CONCATENATE(U334," ",X334)</f>
        <v>04-Servicio de atención a incidentes y emergencias. 004_Servicio de atención a emergencias y desastres</v>
      </c>
      <c r="Z334" s="160" t="str">
        <f>CONCATENATE(P334,Q334,R334,S334,V334)</f>
        <v>O23011745032024025504004</v>
      </c>
      <c r="AA334" s="160" t="str">
        <f>IFERROR(VLOOKUP(Y334,TD!$K$46:$L$64,2,0)," ")</f>
        <v>PM/0131/0104/45030040255</v>
      </c>
      <c r="AB334" s="53" t="s">
        <v>138</v>
      </c>
      <c r="AC334" s="162" t="s">
        <v>204</v>
      </c>
    </row>
    <row r="335" spans="2:29" s="28" customFormat="1" ht="99" customHeight="1" x14ac:dyDescent="0.35">
      <c r="B335" s="77">
        <v>20250342</v>
      </c>
      <c r="C335" s="50" t="s">
        <v>209</v>
      </c>
      <c r="D335" s="158" t="s">
        <v>169</v>
      </c>
      <c r="E335" s="51" t="s">
        <v>545</v>
      </c>
      <c r="F335" s="158" t="s">
        <v>570</v>
      </c>
      <c r="G335" s="158" t="s">
        <v>155</v>
      </c>
      <c r="H335" s="97">
        <v>80111600</v>
      </c>
      <c r="I335" s="159">
        <v>2</v>
      </c>
      <c r="J335" s="159">
        <v>9</v>
      </c>
      <c r="K335" s="52">
        <v>0</v>
      </c>
      <c r="L335" s="153">
        <v>72000000</v>
      </c>
      <c r="M335" s="158" t="s">
        <v>473</v>
      </c>
      <c r="N335" s="53" t="s">
        <v>113</v>
      </c>
      <c r="O335" s="51" t="s">
        <v>222</v>
      </c>
      <c r="P335" s="160" t="str">
        <f>IFERROR(VLOOKUP(C335,TD!$B$32:$F$36,2,0)," ")</f>
        <v>O230117</v>
      </c>
      <c r="Q335" s="160" t="str">
        <f>IFERROR(VLOOKUP(C335,TD!$B$32:$F$36,3,0)," ")</f>
        <v>4503</v>
      </c>
      <c r="R335" s="160">
        <f>IFERROR(VLOOKUP(C335,TD!$B$32:$F$36,4,0)," ")</f>
        <v>20240255</v>
      </c>
      <c r="S335" s="51" t="s">
        <v>175</v>
      </c>
      <c r="T335" s="160" t="str">
        <f>IFERROR(VLOOKUP(S335,TD!$J$33:$K$43,2,0)," ")</f>
        <v>Servicio de atención a incidentes y emergencias.</v>
      </c>
      <c r="U335" s="161" t="str">
        <f>CONCATENATE(S335,"-",T335)</f>
        <v>04-Servicio de atención a incidentes y emergencias.</v>
      </c>
      <c r="V335" s="51" t="s">
        <v>232</v>
      </c>
      <c r="W335" s="160" t="str">
        <f>IFERROR(VLOOKUP(V335,TD!$N$33:$O$45,2,0)," ")</f>
        <v>Servicio de atención a emergencias y desastres</v>
      </c>
      <c r="X335" s="161" t="str">
        <f>CONCATENATE(V335,"_",W335)</f>
        <v>004_Servicio de atención a emergencias y desastres</v>
      </c>
      <c r="Y335" s="161" t="str">
        <f>CONCATENATE(U335," ",X335)</f>
        <v>04-Servicio de atención a incidentes y emergencias. 004_Servicio de atención a emergencias y desastres</v>
      </c>
      <c r="Z335" s="160" t="str">
        <f>CONCATENATE(P335,Q335,R335,S335,V335)</f>
        <v>O23011745032024025504004</v>
      </c>
      <c r="AA335" s="160" t="str">
        <f>IFERROR(VLOOKUP(Y335,TD!$K$46:$L$64,2,0)," ")</f>
        <v>PM/0131/0104/45030040255</v>
      </c>
      <c r="AB335" s="53" t="s">
        <v>138</v>
      </c>
      <c r="AC335" s="162" t="s">
        <v>204</v>
      </c>
    </row>
    <row r="336" spans="2:29" s="28" customFormat="1" ht="99" customHeight="1" x14ac:dyDescent="0.35">
      <c r="B336" s="77">
        <v>20250343</v>
      </c>
      <c r="C336" s="50" t="s">
        <v>209</v>
      </c>
      <c r="D336" s="158" t="s">
        <v>169</v>
      </c>
      <c r="E336" s="51" t="s">
        <v>545</v>
      </c>
      <c r="F336" s="158" t="s">
        <v>571</v>
      </c>
      <c r="G336" s="158" t="s">
        <v>155</v>
      </c>
      <c r="H336" s="97">
        <v>80111600</v>
      </c>
      <c r="I336" s="159">
        <v>2</v>
      </c>
      <c r="J336" s="159">
        <v>6</v>
      </c>
      <c r="K336" s="52">
        <v>0</v>
      </c>
      <c r="L336" s="153">
        <v>51000000</v>
      </c>
      <c r="M336" s="158" t="s">
        <v>473</v>
      </c>
      <c r="N336" s="53" t="s">
        <v>113</v>
      </c>
      <c r="O336" s="51" t="s">
        <v>222</v>
      </c>
      <c r="P336" s="160" t="str">
        <f>IFERROR(VLOOKUP(C336,TD!$B$32:$F$36,2,0)," ")</f>
        <v>O230117</v>
      </c>
      <c r="Q336" s="160" t="str">
        <f>IFERROR(VLOOKUP(C336,TD!$B$32:$F$36,3,0)," ")</f>
        <v>4503</v>
      </c>
      <c r="R336" s="160">
        <f>IFERROR(VLOOKUP(C336,TD!$B$32:$F$36,4,0)," ")</f>
        <v>20240255</v>
      </c>
      <c r="S336" s="51" t="s">
        <v>175</v>
      </c>
      <c r="T336" s="160" t="str">
        <f>IFERROR(VLOOKUP(S336,TD!$J$33:$K$43,2,0)," ")</f>
        <v>Servicio de atención a incidentes y emergencias.</v>
      </c>
      <c r="U336" s="161" t="str">
        <f>CONCATENATE(S336,"-",T336)</f>
        <v>04-Servicio de atención a incidentes y emergencias.</v>
      </c>
      <c r="V336" s="51" t="s">
        <v>232</v>
      </c>
      <c r="W336" s="160" t="str">
        <f>IFERROR(VLOOKUP(V336,TD!$N$33:$O$45,2,0)," ")</f>
        <v>Servicio de atención a emergencias y desastres</v>
      </c>
      <c r="X336" s="161" t="str">
        <f>CONCATENATE(V336,"_",W336)</f>
        <v>004_Servicio de atención a emergencias y desastres</v>
      </c>
      <c r="Y336" s="161" t="str">
        <f>CONCATENATE(U336," ",X336)</f>
        <v>04-Servicio de atención a incidentes y emergencias. 004_Servicio de atención a emergencias y desastres</v>
      </c>
      <c r="Z336" s="160" t="str">
        <f>CONCATENATE(P336,Q336,R336,S336,V336)</f>
        <v>O23011745032024025504004</v>
      </c>
      <c r="AA336" s="160" t="str">
        <f>IFERROR(VLOOKUP(Y336,TD!$K$46:$L$64,2,0)," ")</f>
        <v>PM/0131/0104/45030040255</v>
      </c>
      <c r="AB336" s="53" t="s">
        <v>138</v>
      </c>
      <c r="AC336" s="162" t="s">
        <v>204</v>
      </c>
    </row>
    <row r="337" spans="2:29" s="28" customFormat="1" ht="99" customHeight="1" x14ac:dyDescent="0.35">
      <c r="B337" s="77">
        <v>20250344</v>
      </c>
      <c r="C337" s="50" t="s">
        <v>209</v>
      </c>
      <c r="D337" s="158" t="s">
        <v>169</v>
      </c>
      <c r="E337" s="51" t="s">
        <v>545</v>
      </c>
      <c r="F337" s="158" t="s">
        <v>572</v>
      </c>
      <c r="G337" s="158" t="s">
        <v>155</v>
      </c>
      <c r="H337" s="97">
        <v>80111600</v>
      </c>
      <c r="I337" s="159">
        <v>2</v>
      </c>
      <c r="J337" s="159">
        <v>6</v>
      </c>
      <c r="K337" s="52">
        <v>0</v>
      </c>
      <c r="L337" s="153">
        <v>36000000</v>
      </c>
      <c r="M337" s="158" t="s">
        <v>473</v>
      </c>
      <c r="N337" s="53" t="s">
        <v>113</v>
      </c>
      <c r="O337" s="51" t="s">
        <v>222</v>
      </c>
      <c r="P337" s="160" t="str">
        <f>IFERROR(VLOOKUP(C337,TD!$B$32:$F$36,2,0)," ")</f>
        <v>O230117</v>
      </c>
      <c r="Q337" s="160" t="str">
        <f>IFERROR(VLOOKUP(C337,TD!$B$32:$F$36,3,0)," ")</f>
        <v>4503</v>
      </c>
      <c r="R337" s="160">
        <f>IFERROR(VLOOKUP(C337,TD!$B$32:$F$36,4,0)," ")</f>
        <v>20240255</v>
      </c>
      <c r="S337" s="51" t="s">
        <v>175</v>
      </c>
      <c r="T337" s="160" t="str">
        <f>IFERROR(VLOOKUP(S337,TD!$J$33:$K$43,2,0)," ")</f>
        <v>Servicio de atención a incidentes y emergencias.</v>
      </c>
      <c r="U337" s="161" t="str">
        <f>CONCATENATE(S337,"-",T337)</f>
        <v>04-Servicio de atención a incidentes y emergencias.</v>
      </c>
      <c r="V337" s="51" t="s">
        <v>232</v>
      </c>
      <c r="W337" s="160" t="str">
        <f>IFERROR(VLOOKUP(V337,TD!$N$33:$O$45,2,0)," ")</f>
        <v>Servicio de atención a emergencias y desastres</v>
      </c>
      <c r="X337" s="161" t="str">
        <f>CONCATENATE(V337,"_",W337)</f>
        <v>004_Servicio de atención a emergencias y desastres</v>
      </c>
      <c r="Y337" s="161" t="str">
        <f>CONCATENATE(U337," ",X337)</f>
        <v>04-Servicio de atención a incidentes y emergencias. 004_Servicio de atención a emergencias y desastres</v>
      </c>
      <c r="Z337" s="160" t="str">
        <f>CONCATENATE(P337,Q337,R337,S337,V337)</f>
        <v>O23011745032024025504004</v>
      </c>
      <c r="AA337" s="160" t="str">
        <f>IFERROR(VLOOKUP(Y337,TD!$K$46:$L$64,2,0)," ")</f>
        <v>PM/0131/0104/45030040255</v>
      </c>
      <c r="AB337" s="53" t="s">
        <v>138</v>
      </c>
      <c r="AC337" s="162" t="s">
        <v>204</v>
      </c>
    </row>
    <row r="338" spans="2:29" s="28" customFormat="1" ht="99" customHeight="1" x14ac:dyDescent="0.35">
      <c r="B338" s="77">
        <v>20250345</v>
      </c>
      <c r="C338" s="50" t="s">
        <v>209</v>
      </c>
      <c r="D338" s="158" t="s">
        <v>169</v>
      </c>
      <c r="E338" s="51" t="s">
        <v>545</v>
      </c>
      <c r="F338" s="158" t="s">
        <v>572</v>
      </c>
      <c r="G338" s="158" t="s">
        <v>155</v>
      </c>
      <c r="H338" s="97">
        <v>80111600</v>
      </c>
      <c r="I338" s="159">
        <v>2</v>
      </c>
      <c r="J338" s="159">
        <v>10</v>
      </c>
      <c r="K338" s="52">
        <v>15</v>
      </c>
      <c r="L338" s="153">
        <v>65653875</v>
      </c>
      <c r="M338" s="158" t="s">
        <v>473</v>
      </c>
      <c r="N338" s="53" t="s">
        <v>113</v>
      </c>
      <c r="O338" s="51" t="s">
        <v>222</v>
      </c>
      <c r="P338" s="160" t="str">
        <f>IFERROR(VLOOKUP(C338,TD!$B$32:$F$36,2,0)," ")</f>
        <v>O230117</v>
      </c>
      <c r="Q338" s="160" t="str">
        <f>IFERROR(VLOOKUP(C338,TD!$B$32:$F$36,3,0)," ")</f>
        <v>4503</v>
      </c>
      <c r="R338" s="160">
        <f>IFERROR(VLOOKUP(C338,TD!$B$32:$F$36,4,0)," ")</f>
        <v>20240255</v>
      </c>
      <c r="S338" s="51" t="s">
        <v>175</v>
      </c>
      <c r="T338" s="160" t="str">
        <f>IFERROR(VLOOKUP(S338,TD!$J$33:$K$43,2,0)," ")</f>
        <v>Servicio de atención a incidentes y emergencias.</v>
      </c>
      <c r="U338" s="161" t="str">
        <f>CONCATENATE(S338,"-",T338)</f>
        <v>04-Servicio de atención a incidentes y emergencias.</v>
      </c>
      <c r="V338" s="51" t="s">
        <v>232</v>
      </c>
      <c r="W338" s="160" t="str">
        <f>IFERROR(VLOOKUP(V338,TD!$N$33:$O$45,2,0)," ")</f>
        <v>Servicio de atención a emergencias y desastres</v>
      </c>
      <c r="X338" s="161" t="str">
        <f>CONCATENATE(V338,"_",W338)</f>
        <v>004_Servicio de atención a emergencias y desastres</v>
      </c>
      <c r="Y338" s="161" t="str">
        <f>CONCATENATE(U338," ",X338)</f>
        <v>04-Servicio de atención a incidentes y emergencias. 004_Servicio de atención a emergencias y desastres</v>
      </c>
      <c r="Z338" s="160" t="str">
        <f>CONCATENATE(P338,Q338,R338,S338,V338)</f>
        <v>O23011745032024025504004</v>
      </c>
      <c r="AA338" s="160" t="str">
        <f>IFERROR(VLOOKUP(Y338,TD!$K$46:$L$64,2,0)," ")</f>
        <v>PM/0131/0104/45030040255</v>
      </c>
      <c r="AB338" s="53" t="s">
        <v>138</v>
      </c>
      <c r="AC338" s="162" t="s">
        <v>204</v>
      </c>
    </row>
    <row r="339" spans="2:29" s="28" customFormat="1" ht="99" customHeight="1" x14ac:dyDescent="0.35">
      <c r="B339" s="186">
        <v>20250348</v>
      </c>
      <c r="C339" s="187" t="s">
        <v>209</v>
      </c>
      <c r="D339" s="188" t="s">
        <v>169</v>
      </c>
      <c r="E339" s="189" t="s">
        <v>545</v>
      </c>
      <c r="F339" s="188" t="s">
        <v>573</v>
      </c>
      <c r="G339" s="188" t="s">
        <v>109</v>
      </c>
      <c r="H339" s="190">
        <v>80111600</v>
      </c>
      <c r="I339" s="191">
        <v>2</v>
      </c>
      <c r="J339" s="191">
        <v>12</v>
      </c>
      <c r="K339" s="192">
        <v>0</v>
      </c>
      <c r="L339" s="193">
        <f>7642435039+3000000000+1371467353+900000000</f>
        <v>12913902392</v>
      </c>
      <c r="M339" s="188" t="s">
        <v>473</v>
      </c>
      <c r="N339" s="194" t="s">
        <v>85</v>
      </c>
      <c r="O339" s="189" t="s">
        <v>223</v>
      </c>
      <c r="P339" s="195" t="str">
        <f>IFERROR(VLOOKUP(C339,TD!$B$32:$F$36,2,0)," ")</f>
        <v>O230117</v>
      </c>
      <c r="Q339" s="195" t="str">
        <f>IFERROR(VLOOKUP(C339,TD!$B$32:$F$36,3,0)," ")</f>
        <v>4503</v>
      </c>
      <c r="R339" s="195">
        <f>IFERROR(VLOOKUP(C339,TD!$B$32:$F$36,4,0)," ")</f>
        <v>20240255</v>
      </c>
      <c r="S339" s="189" t="s">
        <v>175</v>
      </c>
      <c r="T339" s="195" t="str">
        <f>IFERROR(VLOOKUP(S339,TD!$J$33:$K$43,2,0)," ")</f>
        <v>Servicio de atención a incidentes y emergencias.</v>
      </c>
      <c r="U339" s="161" t="str">
        <f>CONCATENATE(S339,"-",T339)</f>
        <v>04-Servicio de atención a incidentes y emergencias.</v>
      </c>
      <c r="V339" s="189" t="s">
        <v>232</v>
      </c>
      <c r="W339" s="195" t="str">
        <f>IFERROR(VLOOKUP(V339,TD!$N$33:$O$45,2,0)," ")</f>
        <v>Servicio de atención a emergencias y desastres</v>
      </c>
      <c r="X339" s="161" t="str">
        <f>CONCATENATE(V339,"_",W339)</f>
        <v>004_Servicio de atención a emergencias y desastres</v>
      </c>
      <c r="Y339" s="161" t="str">
        <f>CONCATENATE(U339," ",X339)</f>
        <v>04-Servicio de atención a incidentes y emergencias. 004_Servicio de atención a emergencias y desastres</v>
      </c>
      <c r="Z339" s="195" t="str">
        <f>CONCATENATE(P339,Q339,R339,S339,V339)</f>
        <v>O23011745032024025504004</v>
      </c>
      <c r="AA339" s="195" t="str">
        <f>IFERROR(VLOOKUP(Y339,TD!$K$46:$L$64,2,0)," ")</f>
        <v>PM/0131/0104/45030040255</v>
      </c>
      <c r="AB339" s="194" t="s">
        <v>138</v>
      </c>
      <c r="AC339" s="196" t="s">
        <v>204</v>
      </c>
    </row>
    <row r="340" spans="2:29" s="28" customFormat="1" ht="99" customHeight="1" x14ac:dyDescent="0.35">
      <c r="B340" s="186">
        <v>20250349</v>
      </c>
      <c r="C340" s="187" t="s">
        <v>209</v>
      </c>
      <c r="D340" s="188" t="s">
        <v>169</v>
      </c>
      <c r="E340" s="189" t="s">
        <v>545</v>
      </c>
      <c r="F340" s="188" t="s">
        <v>574</v>
      </c>
      <c r="G340" s="188" t="s">
        <v>109</v>
      </c>
      <c r="H340" s="190">
        <v>80111600</v>
      </c>
      <c r="I340" s="191">
        <v>2</v>
      </c>
      <c r="J340" s="191">
        <v>12</v>
      </c>
      <c r="K340" s="192">
        <v>0</v>
      </c>
      <c r="L340" s="193">
        <f>994376507-507-900000000</f>
        <v>94376000</v>
      </c>
      <c r="M340" s="188" t="s">
        <v>473</v>
      </c>
      <c r="N340" s="194" t="s">
        <v>85</v>
      </c>
      <c r="O340" s="189" t="s">
        <v>223</v>
      </c>
      <c r="P340" s="195" t="str">
        <f>IFERROR(VLOOKUP(C340,TD!$B$32:$F$36,2,0)," ")</f>
        <v>O230117</v>
      </c>
      <c r="Q340" s="195" t="str">
        <f>IFERROR(VLOOKUP(C340,TD!$B$32:$F$36,3,0)," ")</f>
        <v>4503</v>
      </c>
      <c r="R340" s="195">
        <f>IFERROR(VLOOKUP(C340,TD!$B$32:$F$36,4,0)," ")</f>
        <v>20240255</v>
      </c>
      <c r="S340" s="189" t="s">
        <v>175</v>
      </c>
      <c r="T340" s="195" t="str">
        <f>IFERROR(VLOOKUP(S340,TD!$J$33:$K$43,2,0)," ")</f>
        <v>Servicio de atención a incidentes y emergencias.</v>
      </c>
      <c r="U340" s="161" t="str">
        <f>CONCATENATE(S340,"-",T340)</f>
        <v>04-Servicio de atención a incidentes y emergencias.</v>
      </c>
      <c r="V340" s="189" t="s">
        <v>232</v>
      </c>
      <c r="W340" s="195" t="str">
        <f>IFERROR(VLOOKUP(V340,TD!$N$33:$O$45,2,0)," ")</f>
        <v>Servicio de atención a emergencias y desastres</v>
      </c>
      <c r="X340" s="161" t="str">
        <f>CONCATENATE(V340,"_",W340)</f>
        <v>004_Servicio de atención a emergencias y desastres</v>
      </c>
      <c r="Y340" s="161" t="str">
        <f>CONCATENATE(U340," ",X340)</f>
        <v>04-Servicio de atención a incidentes y emergencias. 004_Servicio de atención a emergencias y desastres</v>
      </c>
      <c r="Z340" s="195" t="str">
        <f>CONCATENATE(P340,Q340,R340,S340,V340)</f>
        <v>O23011745032024025504004</v>
      </c>
      <c r="AA340" s="195" t="str">
        <f>IFERROR(VLOOKUP(Y340,TD!$K$46:$L$64,2,0)," ")</f>
        <v>PM/0131/0104/45030040255</v>
      </c>
      <c r="AB340" s="194" t="s">
        <v>125</v>
      </c>
      <c r="AC340" s="196" t="s">
        <v>204</v>
      </c>
    </row>
    <row r="341" spans="2:29" s="28" customFormat="1" ht="99" customHeight="1" x14ac:dyDescent="0.35">
      <c r="B341" s="77">
        <v>20250350</v>
      </c>
      <c r="C341" s="128" t="s">
        <v>346</v>
      </c>
      <c r="D341" s="171" t="s">
        <v>169</v>
      </c>
      <c r="E341" s="172" t="s">
        <v>642</v>
      </c>
      <c r="F341" s="171" t="s">
        <v>643</v>
      </c>
      <c r="G341" s="171" t="s">
        <v>109</v>
      </c>
      <c r="H341" s="97">
        <v>53102710</v>
      </c>
      <c r="I341" s="159">
        <v>2</v>
      </c>
      <c r="J341" s="173">
        <v>6</v>
      </c>
      <c r="K341" s="129">
        <v>0</v>
      </c>
      <c r="L341" s="155">
        <v>300050000</v>
      </c>
      <c r="M341" s="171" t="s">
        <v>172</v>
      </c>
      <c r="N341" s="130" t="s">
        <v>95</v>
      </c>
      <c r="O341" s="172" t="s">
        <v>347</v>
      </c>
      <c r="P341" s="174" t="str">
        <f>IFERROR(VLOOKUP(C341,TD!$B$32:$F$36,2,0)," ")</f>
        <v>NA</v>
      </c>
      <c r="Q341" s="174" t="str">
        <f>IFERROR(VLOOKUP(C341,TD!$B$32:$F$36,3,0)," ")</f>
        <v>NA</v>
      </c>
      <c r="R341" s="174" t="str">
        <f>IFERROR(VLOOKUP(C341,TD!$B$32:$F$36,4,0)," ")</f>
        <v>NA</v>
      </c>
      <c r="S341" s="172" t="s">
        <v>406</v>
      </c>
      <c r="T341" s="160" t="str">
        <f>IFERROR(VLOOKUP(S341,TD!$J$33:$K$43,2,0)," ")</f>
        <v>N/A</v>
      </c>
      <c r="U341" s="161" t="str">
        <f>CONCATENATE(S341,"-",T341)</f>
        <v>N/A-N/A</v>
      </c>
      <c r="V341" s="51" t="s">
        <v>406</v>
      </c>
      <c r="W341" s="160" t="str">
        <f>IFERROR(VLOOKUP(V341,TD!$N$33:$O$45,2,0)," ")</f>
        <v>N/A</v>
      </c>
      <c r="X341" s="161" t="str">
        <f>CONCATENATE(V341,"_",W341)</f>
        <v>N/A_N/A</v>
      </c>
      <c r="Y341" s="161" t="str">
        <f>CONCATENATE(U341," ",X341)</f>
        <v>N/A-N/A N/A_N/A</v>
      </c>
      <c r="Z341" s="174" t="str">
        <f>CONCATENATE(P341,Q341,R341,S341,V341)</f>
        <v>NANANAN/AN/A</v>
      </c>
      <c r="AA341" s="160" t="str">
        <f>IFERROR(VLOOKUP(Y341,TD!$K$46:$L$64,2,0)," ")</f>
        <v>N/A</v>
      </c>
      <c r="AB341" s="130" t="s">
        <v>644</v>
      </c>
      <c r="AC341" s="175" t="s">
        <v>204</v>
      </c>
    </row>
    <row r="342" spans="2:29" s="28" customFormat="1" ht="99" customHeight="1" x14ac:dyDescent="0.35">
      <c r="B342" s="77">
        <v>20250351</v>
      </c>
      <c r="C342" s="50" t="s">
        <v>208</v>
      </c>
      <c r="D342" s="158" t="s">
        <v>162</v>
      </c>
      <c r="E342" s="51" t="s">
        <v>355</v>
      </c>
      <c r="F342" s="158" t="s">
        <v>826</v>
      </c>
      <c r="G342" s="158" t="s">
        <v>155</v>
      </c>
      <c r="H342" s="97">
        <v>80111600</v>
      </c>
      <c r="I342" s="159">
        <v>2</v>
      </c>
      <c r="J342" s="159">
        <v>11</v>
      </c>
      <c r="K342" s="52">
        <v>0</v>
      </c>
      <c r="L342" s="153">
        <v>104500000</v>
      </c>
      <c r="M342" s="158" t="s">
        <v>473</v>
      </c>
      <c r="N342" s="53" t="s">
        <v>113</v>
      </c>
      <c r="O342" s="51" t="s">
        <v>215</v>
      </c>
      <c r="P342" s="160" t="str">
        <f>IFERROR(VLOOKUP(C342,TD!$B$32:$F$36,2,0)," ")</f>
        <v>O230117</v>
      </c>
      <c r="Q342" s="160" t="str">
        <f>IFERROR(VLOOKUP(C342,TD!$B$32:$F$36,3,0)," ")</f>
        <v>4599</v>
      </c>
      <c r="R342" s="160">
        <f>IFERROR(VLOOKUP(C342,TD!$B$32:$F$36,4,0)," ")</f>
        <v>20240207</v>
      </c>
      <c r="S342" s="51" t="s">
        <v>179</v>
      </c>
      <c r="T342" s="160" t="str">
        <f>IFERROR(VLOOKUP(S342,TD!$J$33:$K$43,2,0)," ")</f>
        <v>Infraestructura Tecnológica   (Sistemas de Información y Tecnologia)</v>
      </c>
      <c r="U342" s="161" t="str">
        <f>CONCATENATE(S342,"-",T342)</f>
        <v>11-Infraestructura Tecnológica   (Sistemas de Información y Tecnologia)</v>
      </c>
      <c r="V342" s="51" t="s">
        <v>239</v>
      </c>
      <c r="W342" s="160" t="str">
        <f>IFERROR(VLOOKUP(V342,TD!$N$33:$O$45,2,0)," ")</f>
        <v>Servicios tecnológicos</v>
      </c>
      <c r="X342" s="161" t="str">
        <f>CONCATENATE(V342,"_",W342)</f>
        <v>007_Servicios tecnológicos</v>
      </c>
      <c r="Y342" s="161" t="str">
        <f>CONCATENATE(U342," ",X342)</f>
        <v>11-Infraestructura Tecnológica   (Sistemas de Información y Tecnologia) 007_Servicios tecnológicos</v>
      </c>
      <c r="Z342" s="160" t="str">
        <f>CONCATENATE(P342,Q342,R342,S342,V342)</f>
        <v>O23011745992024020711007</v>
      </c>
      <c r="AA342" s="160" t="str">
        <f>IFERROR(VLOOKUP(Y342,TD!$K$46:$L$64,2,0)," ")</f>
        <v>PM/0131/0111/45990070207</v>
      </c>
      <c r="AB342" s="53" t="s">
        <v>138</v>
      </c>
      <c r="AC342" s="162" t="s">
        <v>204</v>
      </c>
    </row>
    <row r="343" spans="2:29" s="28" customFormat="1" ht="99" customHeight="1" x14ac:dyDescent="0.35">
      <c r="B343" s="77">
        <v>20250352</v>
      </c>
      <c r="C343" s="50" t="s">
        <v>208</v>
      </c>
      <c r="D343" s="158" t="s">
        <v>162</v>
      </c>
      <c r="E343" s="51" t="s">
        <v>355</v>
      </c>
      <c r="F343" s="158" t="s">
        <v>827</v>
      </c>
      <c r="G343" s="158" t="s">
        <v>155</v>
      </c>
      <c r="H343" s="97">
        <v>80111600</v>
      </c>
      <c r="I343" s="159">
        <v>2</v>
      </c>
      <c r="J343" s="159">
        <v>11</v>
      </c>
      <c r="K343" s="52">
        <v>0</v>
      </c>
      <c r="L343" s="153">
        <v>85387500</v>
      </c>
      <c r="M343" s="158" t="s">
        <v>473</v>
      </c>
      <c r="N343" s="53" t="s">
        <v>113</v>
      </c>
      <c r="O343" s="51" t="s">
        <v>216</v>
      </c>
      <c r="P343" s="160" t="str">
        <f>IFERROR(VLOOKUP(C343,TD!$B$32:$F$36,2,0)," ")</f>
        <v>O230117</v>
      </c>
      <c r="Q343" s="160" t="str">
        <f>IFERROR(VLOOKUP(C343,TD!$B$32:$F$36,3,0)," ")</f>
        <v>4599</v>
      </c>
      <c r="R343" s="160">
        <f>IFERROR(VLOOKUP(C343,TD!$B$32:$F$36,4,0)," ")</f>
        <v>20240207</v>
      </c>
      <c r="S343" s="51" t="s">
        <v>179</v>
      </c>
      <c r="T343" s="160" t="str">
        <f>IFERROR(VLOOKUP(S343,TD!$J$33:$K$43,2,0)," ")</f>
        <v>Infraestructura Tecnológica   (Sistemas de Información y Tecnologia)</v>
      </c>
      <c r="U343" s="161" t="str">
        <f>CONCATENATE(S343,"-",T343)</f>
        <v>11-Infraestructura Tecnológica   (Sistemas de Información y Tecnologia)</v>
      </c>
      <c r="V343" s="51" t="s">
        <v>239</v>
      </c>
      <c r="W343" s="160" t="str">
        <f>IFERROR(VLOOKUP(V343,TD!$N$33:$O$45,2,0)," ")</f>
        <v>Servicios tecnológicos</v>
      </c>
      <c r="X343" s="161" t="str">
        <f>CONCATENATE(V343,"_",W343)</f>
        <v>007_Servicios tecnológicos</v>
      </c>
      <c r="Y343" s="161" t="str">
        <f>CONCATENATE(U343," ",X343)</f>
        <v>11-Infraestructura Tecnológica   (Sistemas de Información y Tecnologia) 007_Servicios tecnológicos</v>
      </c>
      <c r="Z343" s="160" t="str">
        <f>CONCATENATE(P343,Q343,R343,S343,V343)</f>
        <v>O23011745992024020711007</v>
      </c>
      <c r="AA343" s="160" t="str">
        <f>IFERROR(VLOOKUP(Y343,TD!$K$46:$L$64,2,0)," ")</f>
        <v>PM/0131/0111/45990070207</v>
      </c>
      <c r="AB343" s="53" t="s">
        <v>138</v>
      </c>
      <c r="AC343" s="162" t="s">
        <v>204</v>
      </c>
    </row>
    <row r="344" spans="2:29" s="28" customFormat="1" ht="99" customHeight="1" x14ac:dyDescent="0.35">
      <c r="B344" s="77">
        <v>20250353</v>
      </c>
      <c r="C344" s="50" t="s">
        <v>208</v>
      </c>
      <c r="D344" s="158" t="s">
        <v>162</v>
      </c>
      <c r="E344" s="51" t="s">
        <v>355</v>
      </c>
      <c r="F344" s="158" t="s">
        <v>828</v>
      </c>
      <c r="G344" s="158" t="s">
        <v>155</v>
      </c>
      <c r="H344" s="97">
        <v>80111600</v>
      </c>
      <c r="I344" s="159">
        <v>2</v>
      </c>
      <c r="J344" s="159">
        <v>11</v>
      </c>
      <c r="K344" s="52">
        <v>0</v>
      </c>
      <c r="L344" s="153">
        <v>79695000</v>
      </c>
      <c r="M344" s="158" t="s">
        <v>473</v>
      </c>
      <c r="N344" s="53" t="s">
        <v>113</v>
      </c>
      <c r="O344" s="51" t="s">
        <v>215</v>
      </c>
      <c r="P344" s="160" t="str">
        <f>IFERROR(VLOOKUP(C344,TD!$B$32:$F$36,2,0)," ")</f>
        <v>O230117</v>
      </c>
      <c r="Q344" s="160" t="str">
        <f>IFERROR(VLOOKUP(C344,TD!$B$32:$F$36,3,0)," ")</f>
        <v>4599</v>
      </c>
      <c r="R344" s="160">
        <f>IFERROR(VLOOKUP(C344,TD!$B$32:$F$36,4,0)," ")</f>
        <v>20240207</v>
      </c>
      <c r="S344" s="51" t="s">
        <v>179</v>
      </c>
      <c r="T344" s="160" t="str">
        <f>IFERROR(VLOOKUP(S344,TD!$J$33:$K$43,2,0)," ")</f>
        <v>Infraestructura Tecnológica   (Sistemas de Información y Tecnologia)</v>
      </c>
      <c r="U344" s="161" t="str">
        <f>CONCATENATE(S344,"-",T344)</f>
        <v>11-Infraestructura Tecnológica   (Sistemas de Información y Tecnologia)</v>
      </c>
      <c r="V344" s="51" t="s">
        <v>239</v>
      </c>
      <c r="W344" s="160" t="str">
        <f>IFERROR(VLOOKUP(V344,TD!$N$33:$O$45,2,0)," ")</f>
        <v>Servicios tecnológicos</v>
      </c>
      <c r="X344" s="161" t="str">
        <f>CONCATENATE(V344,"_",W344)</f>
        <v>007_Servicios tecnológicos</v>
      </c>
      <c r="Y344" s="161" t="str">
        <f>CONCATENATE(U344," ",X344)</f>
        <v>11-Infraestructura Tecnológica   (Sistemas de Información y Tecnologia) 007_Servicios tecnológicos</v>
      </c>
      <c r="Z344" s="160" t="str">
        <f>CONCATENATE(P344,Q344,R344,S344,V344)</f>
        <v>O23011745992024020711007</v>
      </c>
      <c r="AA344" s="160" t="str">
        <f>IFERROR(VLOOKUP(Y344,TD!$K$46:$L$64,2,0)," ")</f>
        <v>PM/0131/0111/45990070207</v>
      </c>
      <c r="AB344" s="53" t="s">
        <v>120</v>
      </c>
      <c r="AC344" s="162" t="s">
        <v>204</v>
      </c>
    </row>
    <row r="345" spans="2:29" s="28" customFormat="1" ht="99" customHeight="1" x14ac:dyDescent="0.35">
      <c r="B345" s="77">
        <v>20250354</v>
      </c>
      <c r="C345" s="50" t="s">
        <v>208</v>
      </c>
      <c r="D345" s="158" t="s">
        <v>162</v>
      </c>
      <c r="E345" s="51" t="s">
        <v>355</v>
      </c>
      <c r="F345" s="158" t="s">
        <v>409</v>
      </c>
      <c r="G345" s="158" t="s">
        <v>155</v>
      </c>
      <c r="H345" s="97">
        <v>80111600</v>
      </c>
      <c r="I345" s="159">
        <v>2</v>
      </c>
      <c r="J345" s="159">
        <v>11</v>
      </c>
      <c r="K345" s="52">
        <v>0</v>
      </c>
      <c r="L345" s="153">
        <v>81972000</v>
      </c>
      <c r="M345" s="158" t="s">
        <v>473</v>
      </c>
      <c r="N345" s="53" t="s">
        <v>113</v>
      </c>
      <c r="O345" s="51" t="s">
        <v>214</v>
      </c>
      <c r="P345" s="160" t="str">
        <f>IFERROR(VLOOKUP(C345,TD!$B$32:$F$36,2,0)," ")</f>
        <v>O230117</v>
      </c>
      <c r="Q345" s="160" t="str">
        <f>IFERROR(VLOOKUP(C345,TD!$B$32:$F$36,3,0)," ")</f>
        <v>4599</v>
      </c>
      <c r="R345" s="160">
        <f>IFERROR(VLOOKUP(C345,TD!$B$32:$F$36,4,0)," ")</f>
        <v>20240207</v>
      </c>
      <c r="S345" s="51" t="s">
        <v>179</v>
      </c>
      <c r="T345" s="160" t="str">
        <f>IFERROR(VLOOKUP(S345,TD!$J$33:$K$43,2,0)," ")</f>
        <v>Infraestructura Tecnológica   (Sistemas de Información y Tecnologia)</v>
      </c>
      <c r="U345" s="161" t="str">
        <f>CONCATENATE(S345,"-",T345)</f>
        <v>11-Infraestructura Tecnológica   (Sistemas de Información y Tecnologia)</v>
      </c>
      <c r="V345" s="51" t="s">
        <v>239</v>
      </c>
      <c r="W345" s="160" t="str">
        <f>IFERROR(VLOOKUP(V345,TD!$N$33:$O$45,2,0)," ")</f>
        <v>Servicios tecnológicos</v>
      </c>
      <c r="X345" s="161" t="str">
        <f>CONCATENATE(V345,"_",W345)</f>
        <v>007_Servicios tecnológicos</v>
      </c>
      <c r="Y345" s="161" t="str">
        <f>CONCATENATE(U345," ",X345)</f>
        <v>11-Infraestructura Tecnológica   (Sistemas de Información y Tecnologia) 007_Servicios tecnológicos</v>
      </c>
      <c r="Z345" s="160" t="str">
        <f>CONCATENATE(P345,Q345,R345,S345,V345)</f>
        <v>O23011745992024020711007</v>
      </c>
      <c r="AA345" s="160" t="str">
        <f>IFERROR(VLOOKUP(Y345,TD!$K$46:$L$64,2,0)," ")</f>
        <v>PM/0131/0111/45990070207</v>
      </c>
      <c r="AB345" s="53" t="s">
        <v>138</v>
      </c>
      <c r="AC345" s="162" t="s">
        <v>204</v>
      </c>
    </row>
    <row r="346" spans="2:29" s="28" customFormat="1" ht="99" customHeight="1" x14ac:dyDescent="0.35">
      <c r="B346" s="77">
        <v>20250355</v>
      </c>
      <c r="C346" s="50" t="s">
        <v>208</v>
      </c>
      <c r="D346" s="158" t="s">
        <v>162</v>
      </c>
      <c r="E346" s="51" t="s">
        <v>355</v>
      </c>
      <c r="F346" s="158" t="s">
        <v>410</v>
      </c>
      <c r="G346" s="158" t="s">
        <v>155</v>
      </c>
      <c r="H346" s="97">
        <v>80111600</v>
      </c>
      <c r="I346" s="159">
        <v>2</v>
      </c>
      <c r="J346" s="159">
        <v>11</v>
      </c>
      <c r="K346" s="52">
        <v>0</v>
      </c>
      <c r="L346" s="153">
        <v>91080000</v>
      </c>
      <c r="M346" s="158" t="s">
        <v>473</v>
      </c>
      <c r="N346" s="53" t="s">
        <v>113</v>
      </c>
      <c r="O346" s="51" t="s">
        <v>215</v>
      </c>
      <c r="P346" s="160" t="str">
        <f>IFERROR(VLOOKUP(C346,TD!$B$32:$F$36,2,0)," ")</f>
        <v>O230117</v>
      </c>
      <c r="Q346" s="160" t="str">
        <f>IFERROR(VLOOKUP(C346,TD!$B$32:$F$36,3,0)," ")</f>
        <v>4599</v>
      </c>
      <c r="R346" s="160">
        <f>IFERROR(VLOOKUP(C346,TD!$B$32:$F$36,4,0)," ")</f>
        <v>20240207</v>
      </c>
      <c r="S346" s="51" t="s">
        <v>179</v>
      </c>
      <c r="T346" s="160" t="str">
        <f>IFERROR(VLOOKUP(S346,TD!$J$33:$K$43,2,0)," ")</f>
        <v>Infraestructura Tecnológica   (Sistemas de Información y Tecnologia)</v>
      </c>
      <c r="U346" s="161" t="str">
        <f>CONCATENATE(S346,"-",T346)</f>
        <v>11-Infraestructura Tecnológica   (Sistemas de Información y Tecnologia)</v>
      </c>
      <c r="V346" s="51" t="s">
        <v>239</v>
      </c>
      <c r="W346" s="160" t="str">
        <f>IFERROR(VLOOKUP(V346,TD!$N$33:$O$45,2,0)," ")</f>
        <v>Servicios tecnológicos</v>
      </c>
      <c r="X346" s="161" t="str">
        <f>CONCATENATE(V346,"_",W346)</f>
        <v>007_Servicios tecnológicos</v>
      </c>
      <c r="Y346" s="161" t="str">
        <f>CONCATENATE(U346," ",X346)</f>
        <v>11-Infraestructura Tecnológica   (Sistemas de Información y Tecnologia) 007_Servicios tecnológicos</v>
      </c>
      <c r="Z346" s="160" t="str">
        <f>CONCATENATE(P346,Q346,R346,S346,V346)</f>
        <v>O23011745992024020711007</v>
      </c>
      <c r="AA346" s="160" t="str">
        <f>IFERROR(VLOOKUP(Y346,TD!$K$46:$L$64,2,0)," ")</f>
        <v>PM/0131/0111/45990070207</v>
      </c>
      <c r="AB346" s="53" t="s">
        <v>138</v>
      </c>
      <c r="AC346" s="162" t="s">
        <v>204</v>
      </c>
    </row>
    <row r="347" spans="2:29" s="28" customFormat="1" ht="99" customHeight="1" x14ac:dyDescent="0.35">
      <c r="B347" s="77">
        <v>20250356</v>
      </c>
      <c r="C347" s="50" t="s">
        <v>208</v>
      </c>
      <c r="D347" s="158" t="s">
        <v>162</v>
      </c>
      <c r="E347" s="51" t="s">
        <v>355</v>
      </c>
      <c r="F347" s="158" t="s">
        <v>829</v>
      </c>
      <c r="G347" s="158" t="s">
        <v>156</v>
      </c>
      <c r="H347" s="97">
        <v>80111600</v>
      </c>
      <c r="I347" s="159">
        <v>2</v>
      </c>
      <c r="J347" s="159">
        <v>11</v>
      </c>
      <c r="K347" s="52">
        <v>0</v>
      </c>
      <c r="L347" s="153">
        <v>48955500</v>
      </c>
      <c r="M347" s="158" t="s">
        <v>473</v>
      </c>
      <c r="N347" s="53" t="s">
        <v>113</v>
      </c>
      <c r="O347" s="51" t="s">
        <v>217</v>
      </c>
      <c r="P347" s="160" t="str">
        <f>IFERROR(VLOOKUP(C347,TD!$B$32:$F$36,2,0)," ")</f>
        <v>O230117</v>
      </c>
      <c r="Q347" s="160" t="str">
        <f>IFERROR(VLOOKUP(C347,TD!$B$32:$F$36,3,0)," ")</f>
        <v>4599</v>
      </c>
      <c r="R347" s="160">
        <f>IFERROR(VLOOKUP(C347,TD!$B$32:$F$36,4,0)," ")</f>
        <v>20240207</v>
      </c>
      <c r="S347" s="51" t="s">
        <v>179</v>
      </c>
      <c r="T347" s="160" t="str">
        <f>IFERROR(VLOOKUP(S347,TD!$J$33:$K$43,2,0)," ")</f>
        <v>Infraestructura Tecnológica   (Sistemas de Información y Tecnologia)</v>
      </c>
      <c r="U347" s="161" t="str">
        <f>CONCATENATE(S347,"-",T347)</f>
        <v>11-Infraestructura Tecnológica   (Sistemas de Información y Tecnologia)</v>
      </c>
      <c r="V347" s="51" t="s">
        <v>239</v>
      </c>
      <c r="W347" s="160" t="str">
        <f>IFERROR(VLOOKUP(V347,TD!$N$33:$O$45,2,0)," ")</f>
        <v>Servicios tecnológicos</v>
      </c>
      <c r="X347" s="161" t="str">
        <f>CONCATENATE(V347,"_",W347)</f>
        <v>007_Servicios tecnológicos</v>
      </c>
      <c r="Y347" s="161" t="str">
        <f>CONCATENATE(U347," ",X347)</f>
        <v>11-Infraestructura Tecnológica   (Sistemas de Información y Tecnologia) 007_Servicios tecnológicos</v>
      </c>
      <c r="Z347" s="160" t="str">
        <f>CONCATENATE(P347,Q347,R347,S347,V347)</f>
        <v>O23011745992024020711007</v>
      </c>
      <c r="AA347" s="160" t="str">
        <f>IFERROR(VLOOKUP(Y347,TD!$K$46:$L$64,2,0)," ")</f>
        <v>PM/0131/0111/45990070207</v>
      </c>
      <c r="AB347" s="53" t="s">
        <v>138</v>
      </c>
      <c r="AC347" s="162" t="s">
        <v>204</v>
      </c>
    </row>
    <row r="348" spans="2:29" s="28" customFormat="1" ht="99" customHeight="1" x14ac:dyDescent="0.35">
      <c r="B348" s="77">
        <v>20250357</v>
      </c>
      <c r="C348" s="50" t="s">
        <v>208</v>
      </c>
      <c r="D348" s="158" t="s">
        <v>162</v>
      </c>
      <c r="E348" s="51" t="s">
        <v>355</v>
      </c>
      <c r="F348" s="158" t="s">
        <v>830</v>
      </c>
      <c r="G348" s="158" t="s">
        <v>155</v>
      </c>
      <c r="H348" s="97">
        <v>80111600</v>
      </c>
      <c r="I348" s="159">
        <v>2</v>
      </c>
      <c r="J348" s="52">
        <v>11</v>
      </c>
      <c r="K348" s="52">
        <v>0</v>
      </c>
      <c r="L348" s="153">
        <v>81972000</v>
      </c>
      <c r="M348" s="158" t="s">
        <v>473</v>
      </c>
      <c r="N348" s="53" t="s">
        <v>113</v>
      </c>
      <c r="O348" s="51" t="s">
        <v>215</v>
      </c>
      <c r="P348" s="160" t="str">
        <f>IFERROR(VLOOKUP(C348,TD!$B$32:$F$36,2,0)," ")</f>
        <v>O230117</v>
      </c>
      <c r="Q348" s="160" t="str">
        <f>IFERROR(VLOOKUP(C348,TD!$B$32:$F$36,3,0)," ")</f>
        <v>4599</v>
      </c>
      <c r="R348" s="160">
        <f>IFERROR(VLOOKUP(C348,TD!$B$32:$F$36,4,0)," ")</f>
        <v>20240207</v>
      </c>
      <c r="S348" s="51" t="s">
        <v>179</v>
      </c>
      <c r="T348" s="160" t="str">
        <f>IFERROR(VLOOKUP(S348,TD!$J$33:$K$43,2,0)," ")</f>
        <v>Infraestructura Tecnológica   (Sistemas de Información y Tecnologia)</v>
      </c>
      <c r="U348" s="161" t="str">
        <f>CONCATENATE(S348,"-",T348)</f>
        <v>11-Infraestructura Tecnológica   (Sistemas de Información y Tecnologia)</v>
      </c>
      <c r="V348" s="51" t="s">
        <v>239</v>
      </c>
      <c r="W348" s="160" t="str">
        <f>IFERROR(VLOOKUP(V348,TD!$N$33:$O$45,2,0)," ")</f>
        <v>Servicios tecnológicos</v>
      </c>
      <c r="X348" s="161" t="str">
        <f>CONCATENATE(V348,"_",W348)</f>
        <v>007_Servicios tecnológicos</v>
      </c>
      <c r="Y348" s="161" t="str">
        <f>CONCATENATE(U348," ",X348)</f>
        <v>11-Infraestructura Tecnológica   (Sistemas de Información y Tecnologia) 007_Servicios tecnológicos</v>
      </c>
      <c r="Z348" s="160" t="str">
        <f>CONCATENATE(P348,Q348,R348,S348,V348)</f>
        <v>O23011745992024020711007</v>
      </c>
      <c r="AA348" s="160" t="str">
        <f>IFERROR(VLOOKUP(Y348,TD!$K$46:$L$64,2,0)," ")</f>
        <v>PM/0131/0111/45990070207</v>
      </c>
      <c r="AB348" s="53" t="s">
        <v>138</v>
      </c>
      <c r="AC348" s="162" t="s">
        <v>204</v>
      </c>
    </row>
    <row r="349" spans="2:29" s="28" customFormat="1" ht="99" customHeight="1" x14ac:dyDescent="0.35">
      <c r="B349" s="77">
        <v>20250358</v>
      </c>
      <c r="C349" s="50" t="s">
        <v>208</v>
      </c>
      <c r="D349" s="158" t="s">
        <v>162</v>
      </c>
      <c r="E349" s="51" t="s">
        <v>355</v>
      </c>
      <c r="F349" s="158" t="s">
        <v>831</v>
      </c>
      <c r="G349" s="158" t="s">
        <v>155</v>
      </c>
      <c r="H349" s="97">
        <v>80111600</v>
      </c>
      <c r="I349" s="159">
        <v>2</v>
      </c>
      <c r="J349" s="52">
        <v>11</v>
      </c>
      <c r="K349" s="52">
        <v>0</v>
      </c>
      <c r="L349" s="153">
        <v>81972000</v>
      </c>
      <c r="M349" s="158" t="s">
        <v>473</v>
      </c>
      <c r="N349" s="53" t="s">
        <v>113</v>
      </c>
      <c r="O349" s="51" t="s">
        <v>214</v>
      </c>
      <c r="P349" s="160" t="str">
        <f>IFERROR(VLOOKUP(C349,TD!$B$32:$F$36,2,0)," ")</f>
        <v>O230117</v>
      </c>
      <c r="Q349" s="160" t="str">
        <f>IFERROR(VLOOKUP(C349,TD!$B$32:$F$36,3,0)," ")</f>
        <v>4599</v>
      </c>
      <c r="R349" s="160">
        <f>IFERROR(VLOOKUP(C349,TD!$B$32:$F$36,4,0)," ")</f>
        <v>20240207</v>
      </c>
      <c r="S349" s="51" t="s">
        <v>179</v>
      </c>
      <c r="T349" s="160" t="str">
        <f>IFERROR(VLOOKUP(S349,TD!$J$33:$K$43,2,0)," ")</f>
        <v>Infraestructura Tecnológica   (Sistemas de Información y Tecnologia)</v>
      </c>
      <c r="U349" s="161" t="str">
        <f>CONCATENATE(S349,"-",T349)</f>
        <v>11-Infraestructura Tecnológica   (Sistemas de Información y Tecnologia)</v>
      </c>
      <c r="V349" s="51" t="s">
        <v>239</v>
      </c>
      <c r="W349" s="160" t="str">
        <f>IFERROR(VLOOKUP(V349,TD!$N$33:$O$45,2,0)," ")</f>
        <v>Servicios tecnológicos</v>
      </c>
      <c r="X349" s="161" t="str">
        <f>CONCATENATE(V349,"_",W349)</f>
        <v>007_Servicios tecnológicos</v>
      </c>
      <c r="Y349" s="161" t="str">
        <f>CONCATENATE(U349," ",X349)</f>
        <v>11-Infraestructura Tecnológica   (Sistemas de Información y Tecnologia) 007_Servicios tecnológicos</v>
      </c>
      <c r="Z349" s="160" t="str">
        <f>CONCATENATE(P349,Q349,R349,S349,V349)</f>
        <v>O23011745992024020711007</v>
      </c>
      <c r="AA349" s="160" t="str">
        <f>IFERROR(VLOOKUP(Y349,TD!$K$46:$L$64,2,0)," ")</f>
        <v>PM/0131/0111/45990070207</v>
      </c>
      <c r="AB349" s="53" t="s">
        <v>138</v>
      </c>
      <c r="AC349" s="162" t="s">
        <v>204</v>
      </c>
    </row>
    <row r="350" spans="2:29" s="28" customFormat="1" ht="99" customHeight="1" x14ac:dyDescent="0.35">
      <c r="B350" s="77">
        <v>20250359</v>
      </c>
      <c r="C350" s="50" t="s">
        <v>208</v>
      </c>
      <c r="D350" s="158" t="s">
        <v>162</v>
      </c>
      <c r="E350" s="51" t="s">
        <v>355</v>
      </c>
      <c r="F350" s="158" t="s">
        <v>832</v>
      </c>
      <c r="G350" s="158" t="s">
        <v>155</v>
      </c>
      <c r="H350" s="97">
        <v>80111600</v>
      </c>
      <c r="I350" s="159">
        <v>2</v>
      </c>
      <c r="J350" s="52">
        <v>11</v>
      </c>
      <c r="K350" s="52">
        <v>0</v>
      </c>
      <c r="L350" s="153">
        <v>81972000</v>
      </c>
      <c r="M350" s="158" t="s">
        <v>473</v>
      </c>
      <c r="N350" s="53" t="s">
        <v>113</v>
      </c>
      <c r="O350" s="51" t="s">
        <v>216</v>
      </c>
      <c r="P350" s="160" t="str">
        <f>IFERROR(VLOOKUP(C350,TD!$B$32:$F$36,2,0)," ")</f>
        <v>O230117</v>
      </c>
      <c r="Q350" s="160" t="str">
        <f>IFERROR(VLOOKUP(C350,TD!$B$32:$F$36,3,0)," ")</f>
        <v>4599</v>
      </c>
      <c r="R350" s="160">
        <f>IFERROR(VLOOKUP(C350,TD!$B$32:$F$36,4,0)," ")</f>
        <v>20240207</v>
      </c>
      <c r="S350" s="51" t="s">
        <v>179</v>
      </c>
      <c r="T350" s="160" t="str">
        <f>IFERROR(VLOOKUP(S350,TD!$J$33:$K$43,2,0)," ")</f>
        <v>Infraestructura Tecnológica   (Sistemas de Información y Tecnologia)</v>
      </c>
      <c r="U350" s="161" t="str">
        <f>CONCATENATE(S350,"-",T350)</f>
        <v>11-Infraestructura Tecnológica   (Sistemas de Información y Tecnologia)</v>
      </c>
      <c r="V350" s="51" t="s">
        <v>239</v>
      </c>
      <c r="W350" s="160" t="str">
        <f>IFERROR(VLOOKUP(V350,TD!$N$33:$O$45,2,0)," ")</f>
        <v>Servicios tecnológicos</v>
      </c>
      <c r="X350" s="161" t="str">
        <f>CONCATENATE(V350,"_",W350)</f>
        <v>007_Servicios tecnológicos</v>
      </c>
      <c r="Y350" s="161" t="str">
        <f>CONCATENATE(U350," ",X350)</f>
        <v>11-Infraestructura Tecnológica   (Sistemas de Información y Tecnologia) 007_Servicios tecnológicos</v>
      </c>
      <c r="Z350" s="160" t="str">
        <f>CONCATENATE(P350,Q350,R350,S350,V350)</f>
        <v>O23011745992024020711007</v>
      </c>
      <c r="AA350" s="160" t="str">
        <f>IFERROR(VLOOKUP(Y350,TD!$K$46:$L$64,2,0)," ")</f>
        <v>PM/0131/0111/45990070207</v>
      </c>
      <c r="AB350" s="53" t="s">
        <v>138</v>
      </c>
      <c r="AC350" s="162" t="s">
        <v>204</v>
      </c>
    </row>
    <row r="351" spans="2:29" s="28" customFormat="1" ht="99" customHeight="1" x14ac:dyDescent="0.35">
      <c r="B351" s="77">
        <v>20250360</v>
      </c>
      <c r="C351" s="50" t="s">
        <v>208</v>
      </c>
      <c r="D351" s="158" t="s">
        <v>162</v>
      </c>
      <c r="E351" s="51" t="s">
        <v>355</v>
      </c>
      <c r="F351" s="158" t="s">
        <v>411</v>
      </c>
      <c r="G351" s="158" t="s">
        <v>155</v>
      </c>
      <c r="H351" s="97">
        <v>80111600</v>
      </c>
      <c r="I351" s="159">
        <v>2</v>
      </c>
      <c r="J351" s="52">
        <v>11</v>
      </c>
      <c r="K351" s="52">
        <v>0</v>
      </c>
      <c r="L351" s="153">
        <v>79695000</v>
      </c>
      <c r="M351" s="158" t="s">
        <v>473</v>
      </c>
      <c r="N351" s="53" t="s">
        <v>113</v>
      </c>
      <c r="O351" s="51" t="s">
        <v>215</v>
      </c>
      <c r="P351" s="160" t="str">
        <f>IFERROR(VLOOKUP(C351,TD!$B$32:$F$36,2,0)," ")</f>
        <v>O230117</v>
      </c>
      <c r="Q351" s="160" t="str">
        <f>IFERROR(VLOOKUP(C351,TD!$B$32:$F$36,3,0)," ")</f>
        <v>4599</v>
      </c>
      <c r="R351" s="160">
        <f>IFERROR(VLOOKUP(C351,TD!$B$32:$F$36,4,0)," ")</f>
        <v>20240207</v>
      </c>
      <c r="S351" s="51" t="s">
        <v>179</v>
      </c>
      <c r="T351" s="160" t="str">
        <f>IFERROR(VLOOKUP(S351,TD!$J$33:$K$43,2,0)," ")</f>
        <v>Infraestructura Tecnológica   (Sistemas de Información y Tecnologia)</v>
      </c>
      <c r="U351" s="161" t="str">
        <f>CONCATENATE(S351,"-",T351)</f>
        <v>11-Infraestructura Tecnológica   (Sistemas de Información y Tecnologia)</v>
      </c>
      <c r="V351" s="51" t="s">
        <v>239</v>
      </c>
      <c r="W351" s="160" t="str">
        <f>IFERROR(VLOOKUP(V351,TD!$N$33:$O$45,2,0)," ")</f>
        <v>Servicios tecnológicos</v>
      </c>
      <c r="X351" s="161" t="str">
        <f>CONCATENATE(V351,"_",W351)</f>
        <v>007_Servicios tecnológicos</v>
      </c>
      <c r="Y351" s="161" t="str">
        <f>CONCATENATE(U351," ",X351)</f>
        <v>11-Infraestructura Tecnológica   (Sistemas de Información y Tecnologia) 007_Servicios tecnológicos</v>
      </c>
      <c r="Z351" s="160" t="str">
        <f>CONCATENATE(P351,Q351,R351,S351,V351)</f>
        <v>O23011745992024020711007</v>
      </c>
      <c r="AA351" s="160" t="str">
        <f>IFERROR(VLOOKUP(Y351,TD!$K$46:$L$64,2,0)," ")</f>
        <v>PM/0131/0111/45990070207</v>
      </c>
      <c r="AB351" s="53" t="s">
        <v>120</v>
      </c>
      <c r="AC351" s="162" t="s">
        <v>204</v>
      </c>
    </row>
    <row r="352" spans="2:29" s="28" customFormat="1" ht="99" customHeight="1" x14ac:dyDescent="0.35">
      <c r="B352" s="77">
        <v>20250361</v>
      </c>
      <c r="C352" s="50" t="s">
        <v>208</v>
      </c>
      <c r="D352" s="158" t="s">
        <v>162</v>
      </c>
      <c r="E352" s="51" t="s">
        <v>355</v>
      </c>
      <c r="F352" s="158" t="s">
        <v>833</v>
      </c>
      <c r="G352" s="158" t="s">
        <v>155</v>
      </c>
      <c r="H352" s="97">
        <v>80111600</v>
      </c>
      <c r="I352" s="159">
        <v>2</v>
      </c>
      <c r="J352" s="52">
        <v>11</v>
      </c>
      <c r="K352" s="52">
        <v>0</v>
      </c>
      <c r="L352" s="153">
        <v>81972000</v>
      </c>
      <c r="M352" s="158" t="s">
        <v>473</v>
      </c>
      <c r="N352" s="53" t="s">
        <v>113</v>
      </c>
      <c r="O352" s="51" t="s">
        <v>215</v>
      </c>
      <c r="P352" s="160" t="str">
        <f>IFERROR(VLOOKUP(C352,TD!$B$32:$F$36,2,0)," ")</f>
        <v>O230117</v>
      </c>
      <c r="Q352" s="160" t="str">
        <f>IFERROR(VLOOKUP(C352,TD!$B$32:$F$36,3,0)," ")</f>
        <v>4599</v>
      </c>
      <c r="R352" s="160">
        <f>IFERROR(VLOOKUP(C352,TD!$B$32:$F$36,4,0)," ")</f>
        <v>20240207</v>
      </c>
      <c r="S352" s="51" t="s">
        <v>179</v>
      </c>
      <c r="T352" s="160" t="str">
        <f>IFERROR(VLOOKUP(S352,TD!$J$33:$K$43,2,0)," ")</f>
        <v>Infraestructura Tecnológica   (Sistemas de Información y Tecnologia)</v>
      </c>
      <c r="U352" s="161" t="str">
        <f>CONCATENATE(S352,"-",T352)</f>
        <v>11-Infraestructura Tecnológica   (Sistemas de Información y Tecnologia)</v>
      </c>
      <c r="V352" s="51" t="s">
        <v>239</v>
      </c>
      <c r="W352" s="160" t="str">
        <f>IFERROR(VLOOKUP(V352,TD!$N$33:$O$45,2,0)," ")</f>
        <v>Servicios tecnológicos</v>
      </c>
      <c r="X352" s="161" t="str">
        <f>CONCATENATE(V352,"_",W352)</f>
        <v>007_Servicios tecnológicos</v>
      </c>
      <c r="Y352" s="161" t="str">
        <f>CONCATENATE(U352," ",X352)</f>
        <v>11-Infraestructura Tecnológica   (Sistemas de Información y Tecnologia) 007_Servicios tecnológicos</v>
      </c>
      <c r="Z352" s="160" t="str">
        <f>CONCATENATE(P352,Q352,R352,S352,V352)</f>
        <v>O23011745992024020711007</v>
      </c>
      <c r="AA352" s="160" t="str">
        <f>IFERROR(VLOOKUP(Y352,TD!$K$46:$L$64,2,0)," ")</f>
        <v>PM/0131/0111/45990070207</v>
      </c>
      <c r="AB352" s="53" t="s">
        <v>138</v>
      </c>
      <c r="AC352" s="162" t="s">
        <v>204</v>
      </c>
    </row>
    <row r="353" spans="2:29" s="28" customFormat="1" ht="99" customHeight="1" x14ac:dyDescent="0.35">
      <c r="B353" s="77">
        <v>20250362</v>
      </c>
      <c r="C353" s="50" t="s">
        <v>208</v>
      </c>
      <c r="D353" s="158" t="s">
        <v>162</v>
      </c>
      <c r="E353" s="51" t="s">
        <v>355</v>
      </c>
      <c r="F353" s="158" t="s">
        <v>834</v>
      </c>
      <c r="G353" s="158" t="s">
        <v>155</v>
      </c>
      <c r="H353" s="97">
        <v>80111600</v>
      </c>
      <c r="I353" s="159">
        <v>2</v>
      </c>
      <c r="J353" s="52">
        <v>11</v>
      </c>
      <c r="K353" s="52">
        <v>0</v>
      </c>
      <c r="L353" s="153">
        <v>89941500</v>
      </c>
      <c r="M353" s="158" t="s">
        <v>473</v>
      </c>
      <c r="N353" s="53" t="s">
        <v>113</v>
      </c>
      <c r="O353" s="51" t="s">
        <v>214</v>
      </c>
      <c r="P353" s="160" t="str">
        <f>IFERROR(VLOOKUP(C353,TD!$B$32:$F$36,2,0)," ")</f>
        <v>O230117</v>
      </c>
      <c r="Q353" s="160" t="str">
        <f>IFERROR(VLOOKUP(C353,TD!$B$32:$F$36,3,0)," ")</f>
        <v>4599</v>
      </c>
      <c r="R353" s="160">
        <f>IFERROR(VLOOKUP(C353,TD!$B$32:$F$36,4,0)," ")</f>
        <v>20240207</v>
      </c>
      <c r="S353" s="51" t="s">
        <v>179</v>
      </c>
      <c r="T353" s="160" t="str">
        <f>IFERROR(VLOOKUP(S353,TD!$J$33:$K$43,2,0)," ")</f>
        <v>Infraestructura Tecnológica   (Sistemas de Información y Tecnologia)</v>
      </c>
      <c r="U353" s="161" t="str">
        <f>CONCATENATE(S353,"-",T353)</f>
        <v>11-Infraestructura Tecnológica   (Sistemas de Información y Tecnologia)</v>
      </c>
      <c r="V353" s="51" t="s">
        <v>239</v>
      </c>
      <c r="W353" s="160" t="str">
        <f>IFERROR(VLOOKUP(V353,TD!$N$33:$O$45,2,0)," ")</f>
        <v>Servicios tecnológicos</v>
      </c>
      <c r="X353" s="161" t="str">
        <f>CONCATENATE(V353,"_",W353)</f>
        <v>007_Servicios tecnológicos</v>
      </c>
      <c r="Y353" s="161" t="str">
        <f>CONCATENATE(U353," ",X353)</f>
        <v>11-Infraestructura Tecnológica   (Sistemas de Información y Tecnologia) 007_Servicios tecnológicos</v>
      </c>
      <c r="Z353" s="160" t="str">
        <f>CONCATENATE(P353,Q353,R353,S353,V353)</f>
        <v>O23011745992024020711007</v>
      </c>
      <c r="AA353" s="160" t="str">
        <f>IFERROR(VLOOKUP(Y353,TD!$K$46:$L$64,2,0)," ")</f>
        <v>PM/0131/0111/45990070207</v>
      </c>
      <c r="AB353" s="53" t="s">
        <v>138</v>
      </c>
      <c r="AC353" s="162" t="s">
        <v>204</v>
      </c>
    </row>
    <row r="354" spans="2:29" s="28" customFormat="1" ht="99" customHeight="1" x14ac:dyDescent="0.35">
      <c r="B354" s="77">
        <v>20250363</v>
      </c>
      <c r="C354" s="50" t="s">
        <v>208</v>
      </c>
      <c r="D354" s="158" t="s">
        <v>162</v>
      </c>
      <c r="E354" s="51" t="s">
        <v>355</v>
      </c>
      <c r="F354" s="158" t="s">
        <v>835</v>
      </c>
      <c r="G354" s="158" t="s">
        <v>155</v>
      </c>
      <c r="H354" s="97">
        <v>80111600</v>
      </c>
      <c r="I354" s="159">
        <v>2</v>
      </c>
      <c r="J354" s="52">
        <v>11</v>
      </c>
      <c r="K354" s="52">
        <v>0</v>
      </c>
      <c r="L354" s="153">
        <v>68310000</v>
      </c>
      <c r="M354" s="158" t="s">
        <v>473</v>
      </c>
      <c r="N354" s="53" t="s">
        <v>113</v>
      </c>
      <c r="O354" s="51" t="s">
        <v>216</v>
      </c>
      <c r="P354" s="160" t="str">
        <f>IFERROR(VLOOKUP(C354,TD!$B$32:$F$36,2,0)," ")</f>
        <v>O230117</v>
      </c>
      <c r="Q354" s="160" t="str">
        <f>IFERROR(VLOOKUP(C354,TD!$B$32:$F$36,3,0)," ")</f>
        <v>4599</v>
      </c>
      <c r="R354" s="160">
        <f>IFERROR(VLOOKUP(C354,TD!$B$32:$F$36,4,0)," ")</f>
        <v>20240207</v>
      </c>
      <c r="S354" s="51" t="s">
        <v>179</v>
      </c>
      <c r="T354" s="160" t="str">
        <f>IFERROR(VLOOKUP(S354,TD!$J$33:$K$43,2,0)," ")</f>
        <v>Infraestructura Tecnológica   (Sistemas de Información y Tecnologia)</v>
      </c>
      <c r="U354" s="161" t="str">
        <f>CONCATENATE(S354,"-",T354)</f>
        <v>11-Infraestructura Tecnológica   (Sistemas de Información y Tecnologia)</v>
      </c>
      <c r="V354" s="51" t="s">
        <v>239</v>
      </c>
      <c r="W354" s="160" t="str">
        <f>IFERROR(VLOOKUP(V354,TD!$N$33:$O$45,2,0)," ")</f>
        <v>Servicios tecnológicos</v>
      </c>
      <c r="X354" s="161" t="str">
        <f>CONCATENATE(V354,"_",W354)</f>
        <v>007_Servicios tecnológicos</v>
      </c>
      <c r="Y354" s="161" t="str">
        <f>CONCATENATE(U354," ",X354)</f>
        <v>11-Infraestructura Tecnológica   (Sistemas de Información y Tecnologia) 007_Servicios tecnológicos</v>
      </c>
      <c r="Z354" s="160" t="str">
        <f>CONCATENATE(P354,Q354,R354,S354,V354)</f>
        <v>O23011745992024020711007</v>
      </c>
      <c r="AA354" s="160" t="str">
        <f>IFERROR(VLOOKUP(Y354,TD!$K$46:$L$64,2,0)," ")</f>
        <v>PM/0131/0111/45990070207</v>
      </c>
      <c r="AB354" s="53" t="s">
        <v>138</v>
      </c>
      <c r="AC354" s="162" t="s">
        <v>204</v>
      </c>
    </row>
    <row r="355" spans="2:29" s="28" customFormat="1" ht="99" customHeight="1" x14ac:dyDescent="0.35">
      <c r="B355" s="77">
        <v>20250364</v>
      </c>
      <c r="C355" s="50" t="s">
        <v>208</v>
      </c>
      <c r="D355" s="158" t="s">
        <v>162</v>
      </c>
      <c r="E355" s="51" t="s">
        <v>355</v>
      </c>
      <c r="F355" s="158" t="s">
        <v>412</v>
      </c>
      <c r="G355" s="158" t="s">
        <v>155</v>
      </c>
      <c r="H355" s="97">
        <v>80111600</v>
      </c>
      <c r="I355" s="159">
        <v>2</v>
      </c>
      <c r="J355" s="52">
        <v>11</v>
      </c>
      <c r="K355" s="52">
        <v>0</v>
      </c>
      <c r="L355" s="153">
        <v>68310000</v>
      </c>
      <c r="M355" s="158" t="s">
        <v>473</v>
      </c>
      <c r="N355" s="53" t="s">
        <v>113</v>
      </c>
      <c r="O355" s="51" t="s">
        <v>214</v>
      </c>
      <c r="P355" s="160" t="str">
        <f>IFERROR(VLOOKUP(C355,TD!$B$32:$F$36,2,0)," ")</f>
        <v>O230117</v>
      </c>
      <c r="Q355" s="160" t="str">
        <f>IFERROR(VLOOKUP(C355,TD!$B$32:$F$36,3,0)," ")</f>
        <v>4599</v>
      </c>
      <c r="R355" s="160">
        <f>IFERROR(VLOOKUP(C355,TD!$B$32:$F$36,4,0)," ")</f>
        <v>20240207</v>
      </c>
      <c r="S355" s="51" t="s">
        <v>179</v>
      </c>
      <c r="T355" s="160" t="str">
        <f>IFERROR(VLOOKUP(S355,TD!$J$33:$K$43,2,0)," ")</f>
        <v>Infraestructura Tecnológica   (Sistemas de Información y Tecnologia)</v>
      </c>
      <c r="U355" s="161" t="str">
        <f>CONCATENATE(S355,"-",T355)</f>
        <v>11-Infraestructura Tecnológica   (Sistemas de Información y Tecnologia)</v>
      </c>
      <c r="V355" s="51" t="s">
        <v>239</v>
      </c>
      <c r="W355" s="160" t="str">
        <f>IFERROR(VLOOKUP(V355,TD!$N$33:$O$45,2,0)," ")</f>
        <v>Servicios tecnológicos</v>
      </c>
      <c r="X355" s="161" t="str">
        <f>CONCATENATE(V355,"_",W355)</f>
        <v>007_Servicios tecnológicos</v>
      </c>
      <c r="Y355" s="161" t="str">
        <f>CONCATENATE(U355," ",X355)</f>
        <v>11-Infraestructura Tecnológica   (Sistemas de Información y Tecnologia) 007_Servicios tecnológicos</v>
      </c>
      <c r="Z355" s="160" t="str">
        <f>CONCATENATE(P355,Q355,R355,S355,V355)</f>
        <v>O23011745992024020711007</v>
      </c>
      <c r="AA355" s="160" t="str">
        <f>IFERROR(VLOOKUP(Y355,TD!$K$46:$L$64,2,0)," ")</f>
        <v>PM/0131/0111/45990070207</v>
      </c>
      <c r="AB355" s="53" t="s">
        <v>138</v>
      </c>
      <c r="AC355" s="162" t="s">
        <v>204</v>
      </c>
    </row>
    <row r="356" spans="2:29" s="28" customFormat="1" ht="99" customHeight="1" x14ac:dyDescent="0.35">
      <c r="B356" s="77">
        <v>20250365</v>
      </c>
      <c r="C356" s="50" t="s">
        <v>208</v>
      </c>
      <c r="D356" s="158" t="s">
        <v>162</v>
      </c>
      <c r="E356" s="51" t="s">
        <v>355</v>
      </c>
      <c r="F356" s="158" t="s">
        <v>413</v>
      </c>
      <c r="G356" s="158" t="s">
        <v>155</v>
      </c>
      <c r="H356" s="97">
        <v>80111600</v>
      </c>
      <c r="I356" s="159">
        <v>2</v>
      </c>
      <c r="J356" s="52">
        <v>11</v>
      </c>
      <c r="K356" s="52">
        <v>0</v>
      </c>
      <c r="L356" s="153">
        <v>74800000</v>
      </c>
      <c r="M356" s="158" t="s">
        <v>473</v>
      </c>
      <c r="N356" s="53" t="s">
        <v>113</v>
      </c>
      <c r="O356" s="51" t="s">
        <v>215</v>
      </c>
      <c r="P356" s="160" t="str">
        <f>IFERROR(VLOOKUP(C356,TD!$B$32:$F$36,2,0)," ")</f>
        <v>O230117</v>
      </c>
      <c r="Q356" s="160" t="str">
        <f>IFERROR(VLOOKUP(C356,TD!$B$32:$F$36,3,0)," ")</f>
        <v>4599</v>
      </c>
      <c r="R356" s="160">
        <f>IFERROR(VLOOKUP(C356,TD!$B$32:$F$36,4,0)," ")</f>
        <v>20240207</v>
      </c>
      <c r="S356" s="51" t="s">
        <v>179</v>
      </c>
      <c r="T356" s="160" t="str">
        <f>IFERROR(VLOOKUP(S356,TD!$J$33:$K$43,2,0)," ")</f>
        <v>Infraestructura Tecnológica   (Sistemas de Información y Tecnologia)</v>
      </c>
      <c r="U356" s="161" t="str">
        <f>CONCATENATE(S356,"-",T356)</f>
        <v>11-Infraestructura Tecnológica   (Sistemas de Información y Tecnologia)</v>
      </c>
      <c r="V356" s="51" t="s">
        <v>239</v>
      </c>
      <c r="W356" s="160" t="str">
        <f>IFERROR(VLOOKUP(V356,TD!$N$33:$O$45,2,0)," ")</f>
        <v>Servicios tecnológicos</v>
      </c>
      <c r="X356" s="161" t="str">
        <f>CONCATENATE(V356,"_",W356)</f>
        <v>007_Servicios tecnológicos</v>
      </c>
      <c r="Y356" s="161" t="str">
        <f>CONCATENATE(U356," ",X356)</f>
        <v>11-Infraestructura Tecnológica   (Sistemas de Información y Tecnologia) 007_Servicios tecnológicos</v>
      </c>
      <c r="Z356" s="160" t="str">
        <f>CONCATENATE(P356,Q356,R356,S356,V356)</f>
        <v>O23011745992024020711007</v>
      </c>
      <c r="AA356" s="160" t="str">
        <f>IFERROR(VLOOKUP(Y356,TD!$K$46:$L$64,2,0)," ")</f>
        <v>PM/0131/0111/45990070207</v>
      </c>
      <c r="AB356" s="53" t="s">
        <v>138</v>
      </c>
      <c r="AC356" s="162" t="s">
        <v>204</v>
      </c>
    </row>
    <row r="357" spans="2:29" s="28" customFormat="1" ht="99" customHeight="1" x14ac:dyDescent="0.35">
      <c r="B357" s="77">
        <v>20250366</v>
      </c>
      <c r="C357" s="50" t="s">
        <v>208</v>
      </c>
      <c r="D357" s="158" t="s">
        <v>162</v>
      </c>
      <c r="E357" s="51" t="s">
        <v>355</v>
      </c>
      <c r="F357" s="158" t="s">
        <v>836</v>
      </c>
      <c r="G357" s="158" t="s">
        <v>156</v>
      </c>
      <c r="H357" s="97">
        <v>80111600</v>
      </c>
      <c r="I357" s="159">
        <v>2</v>
      </c>
      <c r="J357" s="52">
        <v>11</v>
      </c>
      <c r="K357" s="52">
        <v>0</v>
      </c>
      <c r="L357" s="153">
        <v>42124500</v>
      </c>
      <c r="M357" s="158" t="s">
        <v>473</v>
      </c>
      <c r="N357" s="53" t="s">
        <v>113</v>
      </c>
      <c r="O357" s="51" t="s">
        <v>216</v>
      </c>
      <c r="P357" s="160" t="str">
        <f>IFERROR(VLOOKUP(C357,TD!$B$32:$F$36,2,0)," ")</f>
        <v>O230117</v>
      </c>
      <c r="Q357" s="160" t="str">
        <f>IFERROR(VLOOKUP(C357,TD!$B$32:$F$36,3,0)," ")</f>
        <v>4599</v>
      </c>
      <c r="R357" s="160">
        <f>IFERROR(VLOOKUP(C357,TD!$B$32:$F$36,4,0)," ")</f>
        <v>20240207</v>
      </c>
      <c r="S357" s="51" t="s">
        <v>179</v>
      </c>
      <c r="T357" s="160" t="str">
        <f>IFERROR(VLOOKUP(S357,TD!$J$33:$K$43,2,0)," ")</f>
        <v>Infraestructura Tecnológica   (Sistemas de Información y Tecnologia)</v>
      </c>
      <c r="U357" s="161" t="str">
        <f>CONCATENATE(S357,"-",T357)</f>
        <v>11-Infraestructura Tecnológica   (Sistemas de Información y Tecnologia)</v>
      </c>
      <c r="V357" s="51" t="s">
        <v>239</v>
      </c>
      <c r="W357" s="160" t="str">
        <f>IFERROR(VLOOKUP(V357,TD!$N$33:$O$45,2,0)," ")</f>
        <v>Servicios tecnológicos</v>
      </c>
      <c r="X357" s="161" t="str">
        <f>CONCATENATE(V357,"_",W357)</f>
        <v>007_Servicios tecnológicos</v>
      </c>
      <c r="Y357" s="161" t="str">
        <f>CONCATENATE(U357," ",X357)</f>
        <v>11-Infraestructura Tecnológica   (Sistemas de Información y Tecnologia) 007_Servicios tecnológicos</v>
      </c>
      <c r="Z357" s="160" t="str">
        <f>CONCATENATE(P357,Q357,R357,S357,V357)</f>
        <v>O23011745992024020711007</v>
      </c>
      <c r="AA357" s="160" t="str">
        <f>IFERROR(VLOOKUP(Y357,TD!$K$46:$L$64,2,0)," ")</f>
        <v>PM/0131/0111/45990070207</v>
      </c>
      <c r="AB357" s="53" t="s">
        <v>138</v>
      </c>
      <c r="AC357" s="162" t="s">
        <v>204</v>
      </c>
    </row>
    <row r="358" spans="2:29" s="28" customFormat="1" ht="99" customHeight="1" x14ac:dyDescent="0.35">
      <c r="B358" s="77">
        <v>20250367</v>
      </c>
      <c r="C358" s="50" t="s">
        <v>208</v>
      </c>
      <c r="D358" s="158" t="s">
        <v>162</v>
      </c>
      <c r="E358" s="51" t="s">
        <v>355</v>
      </c>
      <c r="F358" s="158" t="s">
        <v>837</v>
      </c>
      <c r="G358" s="158" t="s">
        <v>156</v>
      </c>
      <c r="H358" s="97">
        <v>80111600</v>
      </c>
      <c r="I358" s="159">
        <v>2</v>
      </c>
      <c r="J358" s="52">
        <v>11</v>
      </c>
      <c r="K358" s="52">
        <v>0</v>
      </c>
      <c r="L358" s="153">
        <v>36432000</v>
      </c>
      <c r="M358" s="158" t="s">
        <v>473</v>
      </c>
      <c r="N358" s="53" t="s">
        <v>113</v>
      </c>
      <c r="O358" s="51" t="s">
        <v>215</v>
      </c>
      <c r="P358" s="160" t="str">
        <f>IFERROR(VLOOKUP(C358,TD!$B$32:$F$36,2,0)," ")</f>
        <v>O230117</v>
      </c>
      <c r="Q358" s="160" t="str">
        <f>IFERROR(VLOOKUP(C358,TD!$B$32:$F$36,3,0)," ")</f>
        <v>4599</v>
      </c>
      <c r="R358" s="160">
        <f>IFERROR(VLOOKUP(C358,TD!$B$32:$F$36,4,0)," ")</f>
        <v>20240207</v>
      </c>
      <c r="S358" s="51" t="s">
        <v>179</v>
      </c>
      <c r="T358" s="160" t="str">
        <f>IFERROR(VLOOKUP(S358,TD!$J$33:$K$43,2,0)," ")</f>
        <v>Infraestructura Tecnológica   (Sistemas de Información y Tecnologia)</v>
      </c>
      <c r="U358" s="161" t="str">
        <f>CONCATENATE(S358,"-",T358)</f>
        <v>11-Infraestructura Tecnológica   (Sistemas de Información y Tecnologia)</v>
      </c>
      <c r="V358" s="51" t="s">
        <v>239</v>
      </c>
      <c r="W358" s="160" t="str">
        <f>IFERROR(VLOOKUP(V358,TD!$N$33:$O$45,2,0)," ")</f>
        <v>Servicios tecnológicos</v>
      </c>
      <c r="X358" s="161" t="str">
        <f>CONCATENATE(V358,"_",W358)</f>
        <v>007_Servicios tecnológicos</v>
      </c>
      <c r="Y358" s="161" t="str">
        <f>CONCATENATE(U358," ",X358)</f>
        <v>11-Infraestructura Tecnológica   (Sistemas de Información y Tecnologia) 007_Servicios tecnológicos</v>
      </c>
      <c r="Z358" s="160" t="str">
        <f>CONCATENATE(P358,Q358,R358,S358,V358)</f>
        <v>O23011745992024020711007</v>
      </c>
      <c r="AA358" s="160" t="str">
        <f>IFERROR(VLOOKUP(Y358,TD!$K$46:$L$64,2,0)," ")</f>
        <v>PM/0131/0111/45990070207</v>
      </c>
      <c r="AB358" s="53" t="s">
        <v>138</v>
      </c>
      <c r="AC358" s="162" t="s">
        <v>204</v>
      </c>
    </row>
    <row r="359" spans="2:29" s="28" customFormat="1" ht="99" customHeight="1" x14ac:dyDescent="0.35">
      <c r="B359" s="77">
        <v>20250368</v>
      </c>
      <c r="C359" s="50" t="s">
        <v>208</v>
      </c>
      <c r="D359" s="158" t="s">
        <v>162</v>
      </c>
      <c r="E359" s="51" t="s">
        <v>355</v>
      </c>
      <c r="F359" s="158" t="s">
        <v>838</v>
      </c>
      <c r="G359" s="158" t="s">
        <v>156</v>
      </c>
      <c r="H359" s="97">
        <v>80111600</v>
      </c>
      <c r="I359" s="159">
        <v>2</v>
      </c>
      <c r="J359" s="52">
        <v>11</v>
      </c>
      <c r="K359" s="52">
        <v>0</v>
      </c>
      <c r="L359" s="153">
        <v>39847500</v>
      </c>
      <c r="M359" s="158" t="s">
        <v>473</v>
      </c>
      <c r="N359" s="53" t="s">
        <v>113</v>
      </c>
      <c r="O359" s="51" t="s">
        <v>215</v>
      </c>
      <c r="P359" s="160" t="str">
        <f>IFERROR(VLOOKUP(C359,TD!$B$32:$F$36,2,0)," ")</f>
        <v>O230117</v>
      </c>
      <c r="Q359" s="160" t="str">
        <f>IFERROR(VLOOKUP(C359,TD!$B$32:$F$36,3,0)," ")</f>
        <v>4599</v>
      </c>
      <c r="R359" s="160">
        <f>IFERROR(VLOOKUP(C359,TD!$B$32:$F$36,4,0)," ")</f>
        <v>20240207</v>
      </c>
      <c r="S359" s="51" t="s">
        <v>179</v>
      </c>
      <c r="T359" s="160" t="str">
        <f>IFERROR(VLOOKUP(S359,TD!$J$33:$K$43,2,0)," ")</f>
        <v>Infraestructura Tecnológica   (Sistemas de Información y Tecnologia)</v>
      </c>
      <c r="U359" s="161" t="str">
        <f>CONCATENATE(S359,"-",T359)</f>
        <v>11-Infraestructura Tecnológica   (Sistemas de Información y Tecnologia)</v>
      </c>
      <c r="V359" s="51" t="s">
        <v>239</v>
      </c>
      <c r="W359" s="160" t="str">
        <f>IFERROR(VLOOKUP(V359,TD!$N$33:$O$45,2,0)," ")</f>
        <v>Servicios tecnológicos</v>
      </c>
      <c r="X359" s="161" t="str">
        <f>CONCATENATE(V359,"_",W359)</f>
        <v>007_Servicios tecnológicos</v>
      </c>
      <c r="Y359" s="161" t="str">
        <f>CONCATENATE(U359," ",X359)</f>
        <v>11-Infraestructura Tecnológica   (Sistemas de Información y Tecnologia) 007_Servicios tecnológicos</v>
      </c>
      <c r="Z359" s="160" t="str">
        <f>CONCATENATE(P359,Q359,R359,S359,V359)</f>
        <v>O23011745992024020711007</v>
      </c>
      <c r="AA359" s="160" t="str">
        <f>IFERROR(VLOOKUP(Y359,TD!$K$46:$L$64,2,0)," ")</f>
        <v>PM/0131/0111/45990070207</v>
      </c>
      <c r="AB359" s="53" t="s">
        <v>138</v>
      </c>
      <c r="AC359" s="162" t="s">
        <v>204</v>
      </c>
    </row>
    <row r="360" spans="2:29" s="28" customFormat="1" ht="99" customHeight="1" x14ac:dyDescent="0.35">
      <c r="B360" s="77">
        <v>20250369</v>
      </c>
      <c r="C360" s="50" t="s">
        <v>208</v>
      </c>
      <c r="D360" s="158" t="s">
        <v>162</v>
      </c>
      <c r="E360" s="51" t="s">
        <v>355</v>
      </c>
      <c r="F360" s="158" t="s">
        <v>839</v>
      </c>
      <c r="G360" s="158" t="s">
        <v>156</v>
      </c>
      <c r="H360" s="97">
        <v>80111600</v>
      </c>
      <c r="I360" s="159">
        <v>2</v>
      </c>
      <c r="J360" s="52">
        <v>11</v>
      </c>
      <c r="K360" s="52">
        <v>0</v>
      </c>
      <c r="L360" s="153">
        <v>39847500</v>
      </c>
      <c r="M360" s="158" t="s">
        <v>473</v>
      </c>
      <c r="N360" s="53" t="s">
        <v>113</v>
      </c>
      <c r="O360" s="51" t="s">
        <v>215</v>
      </c>
      <c r="P360" s="160" t="str">
        <f>IFERROR(VLOOKUP(C360,TD!$B$32:$F$36,2,0)," ")</f>
        <v>O230117</v>
      </c>
      <c r="Q360" s="160" t="str">
        <f>IFERROR(VLOOKUP(C360,TD!$B$32:$F$36,3,0)," ")</f>
        <v>4599</v>
      </c>
      <c r="R360" s="160">
        <f>IFERROR(VLOOKUP(C360,TD!$B$32:$F$36,4,0)," ")</f>
        <v>20240207</v>
      </c>
      <c r="S360" s="51" t="s">
        <v>179</v>
      </c>
      <c r="T360" s="160" t="str">
        <f>IFERROR(VLOOKUP(S360,TD!$J$33:$K$43,2,0)," ")</f>
        <v>Infraestructura Tecnológica   (Sistemas de Información y Tecnologia)</v>
      </c>
      <c r="U360" s="161" t="str">
        <f>CONCATENATE(S360,"-",T360)</f>
        <v>11-Infraestructura Tecnológica   (Sistemas de Información y Tecnologia)</v>
      </c>
      <c r="V360" s="51" t="s">
        <v>239</v>
      </c>
      <c r="W360" s="160" t="str">
        <f>IFERROR(VLOOKUP(V360,TD!$N$33:$O$45,2,0)," ")</f>
        <v>Servicios tecnológicos</v>
      </c>
      <c r="X360" s="161" t="str">
        <f>CONCATENATE(V360,"_",W360)</f>
        <v>007_Servicios tecnológicos</v>
      </c>
      <c r="Y360" s="161" t="str">
        <f>CONCATENATE(U360," ",X360)</f>
        <v>11-Infraestructura Tecnológica   (Sistemas de Información y Tecnologia) 007_Servicios tecnológicos</v>
      </c>
      <c r="Z360" s="160" t="str">
        <f>CONCATENATE(P360,Q360,R360,S360,V360)</f>
        <v>O23011745992024020711007</v>
      </c>
      <c r="AA360" s="160" t="str">
        <f>IFERROR(VLOOKUP(Y360,TD!$K$46:$L$64,2,0)," ")</f>
        <v>PM/0131/0111/45990070207</v>
      </c>
      <c r="AB360" s="53" t="s">
        <v>138</v>
      </c>
      <c r="AC360" s="162" t="s">
        <v>204</v>
      </c>
    </row>
    <row r="361" spans="2:29" s="28" customFormat="1" ht="99" customHeight="1" x14ac:dyDescent="0.35">
      <c r="B361" s="152">
        <v>20250370</v>
      </c>
      <c r="C361" s="50" t="s">
        <v>208</v>
      </c>
      <c r="D361" s="158" t="s">
        <v>162</v>
      </c>
      <c r="E361" s="51" t="s">
        <v>355</v>
      </c>
      <c r="F361" s="158" t="s">
        <v>840</v>
      </c>
      <c r="G361" s="158" t="s">
        <v>156</v>
      </c>
      <c r="H361" s="97">
        <v>80111600</v>
      </c>
      <c r="I361" s="159">
        <v>2</v>
      </c>
      <c r="J361" s="52">
        <v>11</v>
      </c>
      <c r="K361" s="52">
        <v>0</v>
      </c>
      <c r="L361" s="153">
        <v>47300000</v>
      </c>
      <c r="M361" s="158" t="s">
        <v>473</v>
      </c>
      <c r="N361" s="53" t="s">
        <v>113</v>
      </c>
      <c r="O361" s="51" t="s">
        <v>215</v>
      </c>
      <c r="P361" s="160" t="str">
        <f>IFERROR(VLOOKUP(C361,TD!$B$32:$F$36,2,0)," ")</f>
        <v>O230117</v>
      </c>
      <c r="Q361" s="160" t="str">
        <f>IFERROR(VLOOKUP(C361,TD!$B$32:$F$36,3,0)," ")</f>
        <v>4599</v>
      </c>
      <c r="R361" s="160">
        <f>IFERROR(VLOOKUP(C361,TD!$B$32:$F$36,4,0)," ")</f>
        <v>20240207</v>
      </c>
      <c r="S361" s="51" t="s">
        <v>179</v>
      </c>
      <c r="T361" s="160" t="str">
        <f>IFERROR(VLOOKUP(S361,TD!$J$33:$K$43,2,0)," ")</f>
        <v>Infraestructura Tecnológica   (Sistemas de Información y Tecnologia)</v>
      </c>
      <c r="U361" s="161" t="str">
        <f>CONCATENATE(S361,"-",T361)</f>
        <v>11-Infraestructura Tecnológica   (Sistemas de Información y Tecnologia)</v>
      </c>
      <c r="V361" s="51" t="s">
        <v>239</v>
      </c>
      <c r="W361" s="160" t="str">
        <f>IFERROR(VLOOKUP(V361,TD!$N$33:$O$45,2,0)," ")</f>
        <v>Servicios tecnológicos</v>
      </c>
      <c r="X361" s="161" t="str">
        <f>CONCATENATE(V361,"_",W361)</f>
        <v>007_Servicios tecnológicos</v>
      </c>
      <c r="Y361" s="161" t="str">
        <f>CONCATENATE(U361," ",X361)</f>
        <v>11-Infraestructura Tecnológica   (Sistemas de Información y Tecnologia) 007_Servicios tecnológicos</v>
      </c>
      <c r="Z361" s="160" t="str">
        <f>CONCATENATE(P361,Q361,R361,S361,V361)</f>
        <v>O23011745992024020711007</v>
      </c>
      <c r="AA361" s="160" t="str">
        <f>IFERROR(VLOOKUP(Y361,TD!$K$46:$L$64,2,0)," ")</f>
        <v>PM/0131/0111/45990070207</v>
      </c>
      <c r="AB361" s="53" t="s">
        <v>138</v>
      </c>
      <c r="AC361" s="162" t="s">
        <v>204</v>
      </c>
    </row>
    <row r="362" spans="2:29" s="28" customFormat="1" ht="99" customHeight="1" x14ac:dyDescent="0.35">
      <c r="B362" s="186">
        <v>20250371</v>
      </c>
      <c r="C362" s="187" t="s">
        <v>208</v>
      </c>
      <c r="D362" s="188" t="s">
        <v>162</v>
      </c>
      <c r="E362" s="189" t="s">
        <v>355</v>
      </c>
      <c r="F362" s="188" t="s">
        <v>841</v>
      </c>
      <c r="G362" s="188" t="s">
        <v>155</v>
      </c>
      <c r="H362" s="190">
        <v>80111600</v>
      </c>
      <c r="I362" s="191">
        <v>3</v>
      </c>
      <c r="J362" s="192">
        <v>10</v>
      </c>
      <c r="K362" s="192">
        <v>0</v>
      </c>
      <c r="L362" s="193">
        <v>50000000</v>
      </c>
      <c r="M362" s="188" t="s">
        <v>473</v>
      </c>
      <c r="N362" s="194" t="s">
        <v>113</v>
      </c>
      <c r="O362" s="189" t="s">
        <v>214</v>
      </c>
      <c r="P362" s="195" t="str">
        <f>IFERROR(VLOOKUP(C362,TD!$B$32:$F$36,2,0)," ")</f>
        <v>O230117</v>
      </c>
      <c r="Q362" s="195" t="str">
        <f>IFERROR(VLOOKUP(C362,TD!$B$32:$F$36,3,0)," ")</f>
        <v>4599</v>
      </c>
      <c r="R362" s="195">
        <f>IFERROR(VLOOKUP(C362,TD!$B$32:$F$36,4,0)," ")</f>
        <v>20240207</v>
      </c>
      <c r="S362" s="189" t="s">
        <v>179</v>
      </c>
      <c r="T362" s="195" t="str">
        <f>IFERROR(VLOOKUP(S362,TD!$J$33:$K$43,2,0)," ")</f>
        <v>Infraestructura Tecnológica   (Sistemas de Información y Tecnologia)</v>
      </c>
      <c r="U362" s="161" t="str">
        <f>CONCATENATE(S362,"-",T362)</f>
        <v>11-Infraestructura Tecnológica   (Sistemas de Información y Tecnologia)</v>
      </c>
      <c r="V362" s="189" t="s">
        <v>239</v>
      </c>
      <c r="W362" s="195" t="str">
        <f>IFERROR(VLOOKUP(V362,TD!$N$33:$O$45,2,0)," ")</f>
        <v>Servicios tecnológicos</v>
      </c>
      <c r="X362" s="161" t="str">
        <f>CONCATENATE(V362,"_",W362)</f>
        <v>007_Servicios tecnológicos</v>
      </c>
      <c r="Y362" s="161" t="str">
        <f>CONCATENATE(U362," ",X362)</f>
        <v>11-Infraestructura Tecnológica   (Sistemas de Información y Tecnologia) 007_Servicios tecnológicos</v>
      </c>
      <c r="Z362" s="195" t="str">
        <f>CONCATENATE(P362,Q362,R362,S362,V362)</f>
        <v>O23011745992024020711007</v>
      </c>
      <c r="AA362" s="195" t="str">
        <f>IFERROR(VLOOKUP(Y362,TD!$K$46:$L$64,2,0)," ")</f>
        <v>PM/0131/0111/45990070207</v>
      </c>
      <c r="AB362" s="194" t="s">
        <v>138</v>
      </c>
      <c r="AC362" s="189" t="s">
        <v>204</v>
      </c>
    </row>
    <row r="363" spans="2:29" s="28" customFormat="1" ht="99" customHeight="1" x14ac:dyDescent="0.35">
      <c r="B363" s="77">
        <v>20250372</v>
      </c>
      <c r="C363" s="50" t="s">
        <v>208</v>
      </c>
      <c r="D363" s="158" t="s">
        <v>162</v>
      </c>
      <c r="E363" s="51" t="s">
        <v>355</v>
      </c>
      <c r="F363" s="158" t="s">
        <v>842</v>
      </c>
      <c r="G363" s="158" t="s">
        <v>156</v>
      </c>
      <c r="H363" s="97">
        <v>80111600</v>
      </c>
      <c r="I363" s="159">
        <v>2</v>
      </c>
      <c r="J363" s="52">
        <v>11</v>
      </c>
      <c r="K363" s="52">
        <v>0</v>
      </c>
      <c r="L363" s="153">
        <v>47817000</v>
      </c>
      <c r="M363" s="158" t="s">
        <v>473</v>
      </c>
      <c r="N363" s="53" t="s">
        <v>113</v>
      </c>
      <c r="O363" s="51" t="s">
        <v>216</v>
      </c>
      <c r="P363" s="160" t="str">
        <f>IFERROR(VLOOKUP(C363,TD!$B$32:$F$36,2,0)," ")</f>
        <v>O230117</v>
      </c>
      <c r="Q363" s="160" t="str">
        <f>IFERROR(VLOOKUP(C363,TD!$B$32:$F$36,3,0)," ")</f>
        <v>4599</v>
      </c>
      <c r="R363" s="160">
        <f>IFERROR(VLOOKUP(C363,TD!$B$32:$F$36,4,0)," ")</f>
        <v>20240207</v>
      </c>
      <c r="S363" s="51" t="s">
        <v>179</v>
      </c>
      <c r="T363" s="160" t="str">
        <f>IFERROR(VLOOKUP(S363,TD!$J$33:$K$43,2,0)," ")</f>
        <v>Infraestructura Tecnológica   (Sistemas de Información y Tecnologia)</v>
      </c>
      <c r="U363" s="161" t="str">
        <f>CONCATENATE(S363,"-",T363)</f>
        <v>11-Infraestructura Tecnológica   (Sistemas de Información y Tecnologia)</v>
      </c>
      <c r="V363" s="51" t="s">
        <v>239</v>
      </c>
      <c r="W363" s="160" t="str">
        <f>IFERROR(VLOOKUP(V363,TD!$N$33:$O$45,2,0)," ")</f>
        <v>Servicios tecnológicos</v>
      </c>
      <c r="X363" s="161" t="str">
        <f>CONCATENATE(V363,"_",W363)</f>
        <v>007_Servicios tecnológicos</v>
      </c>
      <c r="Y363" s="161" t="str">
        <f>CONCATENATE(U363," ",X363)</f>
        <v>11-Infraestructura Tecnológica   (Sistemas de Información y Tecnologia) 007_Servicios tecnológicos</v>
      </c>
      <c r="Z363" s="160" t="str">
        <f>CONCATENATE(P363,Q363,R363,S363,V363)</f>
        <v>O23011745992024020711007</v>
      </c>
      <c r="AA363" s="160" t="str">
        <f>IFERROR(VLOOKUP(Y363,TD!$K$46:$L$64,2,0)," ")</f>
        <v>PM/0131/0111/45990070207</v>
      </c>
      <c r="AB363" s="53" t="s">
        <v>138</v>
      </c>
      <c r="AC363" s="162" t="s">
        <v>204</v>
      </c>
    </row>
    <row r="364" spans="2:29" s="28" customFormat="1" ht="99" customHeight="1" x14ac:dyDescent="0.35">
      <c r="B364" s="77">
        <v>20250373</v>
      </c>
      <c r="C364" s="50" t="s">
        <v>208</v>
      </c>
      <c r="D364" s="158" t="s">
        <v>162</v>
      </c>
      <c r="E364" s="51" t="s">
        <v>355</v>
      </c>
      <c r="F364" s="158" t="s">
        <v>843</v>
      </c>
      <c r="G364" s="158" t="s">
        <v>155</v>
      </c>
      <c r="H364" s="97">
        <v>80111600</v>
      </c>
      <c r="I364" s="159">
        <v>2</v>
      </c>
      <c r="J364" s="52">
        <v>11</v>
      </c>
      <c r="K364" s="52">
        <v>0</v>
      </c>
      <c r="L364" s="153">
        <v>79695000</v>
      </c>
      <c r="M364" s="158" t="s">
        <v>473</v>
      </c>
      <c r="N364" s="53" t="s">
        <v>113</v>
      </c>
      <c r="O364" s="51" t="s">
        <v>217</v>
      </c>
      <c r="P364" s="160" t="str">
        <f>IFERROR(VLOOKUP(C364,TD!$B$32:$F$36,2,0)," ")</f>
        <v>O230117</v>
      </c>
      <c r="Q364" s="160" t="str">
        <f>IFERROR(VLOOKUP(C364,TD!$B$32:$F$36,3,0)," ")</f>
        <v>4599</v>
      </c>
      <c r="R364" s="160">
        <f>IFERROR(VLOOKUP(C364,TD!$B$32:$F$36,4,0)," ")</f>
        <v>20240207</v>
      </c>
      <c r="S364" s="51" t="s">
        <v>179</v>
      </c>
      <c r="T364" s="160" t="str">
        <f>IFERROR(VLOOKUP(S364,TD!$J$33:$K$43,2,0)," ")</f>
        <v>Infraestructura Tecnológica   (Sistemas de Información y Tecnologia)</v>
      </c>
      <c r="U364" s="161" t="str">
        <f>CONCATENATE(S364,"-",T364)</f>
        <v>11-Infraestructura Tecnológica   (Sistemas de Información y Tecnologia)</v>
      </c>
      <c r="V364" s="51" t="s">
        <v>239</v>
      </c>
      <c r="W364" s="160" t="str">
        <f>IFERROR(VLOOKUP(V364,TD!$N$33:$O$45,2,0)," ")</f>
        <v>Servicios tecnológicos</v>
      </c>
      <c r="X364" s="161" t="str">
        <f>CONCATENATE(V364,"_",W364)</f>
        <v>007_Servicios tecnológicos</v>
      </c>
      <c r="Y364" s="161" t="str">
        <f>CONCATENATE(U364," ",X364)</f>
        <v>11-Infraestructura Tecnológica   (Sistemas de Información y Tecnologia) 007_Servicios tecnológicos</v>
      </c>
      <c r="Z364" s="160" t="str">
        <f>CONCATENATE(P364,Q364,R364,S364,V364)</f>
        <v>O23011745992024020711007</v>
      </c>
      <c r="AA364" s="160" t="str">
        <f>IFERROR(VLOOKUP(Y364,TD!$K$46:$L$64,2,0)," ")</f>
        <v>PM/0131/0111/45990070207</v>
      </c>
      <c r="AB364" s="53" t="s">
        <v>138</v>
      </c>
      <c r="AC364" s="162" t="s">
        <v>204</v>
      </c>
    </row>
    <row r="365" spans="2:29" s="28" customFormat="1" ht="99" customHeight="1" x14ac:dyDescent="0.35">
      <c r="B365" s="77">
        <v>20250374</v>
      </c>
      <c r="C365" s="50" t="s">
        <v>208</v>
      </c>
      <c r="D365" s="158" t="s">
        <v>162</v>
      </c>
      <c r="E365" s="51" t="s">
        <v>355</v>
      </c>
      <c r="F365" s="158" t="s">
        <v>844</v>
      </c>
      <c r="G365" s="158" t="s">
        <v>155</v>
      </c>
      <c r="H365" s="97">
        <v>80111600</v>
      </c>
      <c r="I365" s="159">
        <v>2</v>
      </c>
      <c r="J365" s="159">
        <v>11</v>
      </c>
      <c r="K365" s="52">
        <v>0</v>
      </c>
      <c r="L365" s="153">
        <v>77000000</v>
      </c>
      <c r="M365" s="158" t="s">
        <v>473</v>
      </c>
      <c r="N365" s="53" t="s">
        <v>113</v>
      </c>
      <c r="O365" s="51" t="s">
        <v>214</v>
      </c>
      <c r="P365" s="160" t="str">
        <f>IFERROR(VLOOKUP(C365,TD!$B$32:$F$36,2,0)," ")</f>
        <v>O230117</v>
      </c>
      <c r="Q365" s="160" t="str">
        <f>IFERROR(VLOOKUP(C365,TD!$B$32:$F$36,3,0)," ")</f>
        <v>4599</v>
      </c>
      <c r="R365" s="160">
        <f>IFERROR(VLOOKUP(C365,TD!$B$32:$F$36,4,0)," ")</f>
        <v>20240207</v>
      </c>
      <c r="S365" s="51" t="s">
        <v>179</v>
      </c>
      <c r="T365" s="160" t="str">
        <f>IFERROR(VLOOKUP(S365,TD!$J$33:$K$43,2,0)," ")</f>
        <v>Infraestructura Tecnológica   (Sistemas de Información y Tecnologia)</v>
      </c>
      <c r="U365" s="161" t="str">
        <f>CONCATENATE(S365,"-",T365)</f>
        <v>11-Infraestructura Tecnológica   (Sistemas de Información y Tecnologia)</v>
      </c>
      <c r="V365" s="51" t="s">
        <v>239</v>
      </c>
      <c r="W365" s="160" t="str">
        <f>IFERROR(VLOOKUP(V365,TD!$N$33:$O$45,2,0)," ")</f>
        <v>Servicios tecnológicos</v>
      </c>
      <c r="X365" s="161" t="str">
        <f>CONCATENATE(V365,"_",W365)</f>
        <v>007_Servicios tecnológicos</v>
      </c>
      <c r="Y365" s="161" t="str">
        <f>CONCATENATE(U365," ",X365)</f>
        <v>11-Infraestructura Tecnológica   (Sistemas de Información y Tecnologia) 007_Servicios tecnológicos</v>
      </c>
      <c r="Z365" s="160" t="str">
        <f>CONCATENATE(P365,Q365,R365,S365,V365)</f>
        <v>O23011745992024020711007</v>
      </c>
      <c r="AA365" s="160" t="str">
        <f>IFERROR(VLOOKUP(Y365,TD!$K$46:$L$64,2,0)," ")</f>
        <v>PM/0131/0111/45990070207</v>
      </c>
      <c r="AB365" s="53" t="s">
        <v>138</v>
      </c>
      <c r="AC365" s="162" t="s">
        <v>204</v>
      </c>
    </row>
    <row r="366" spans="2:29" s="28" customFormat="1" ht="99" customHeight="1" x14ac:dyDescent="0.35">
      <c r="B366" s="77">
        <v>20250375</v>
      </c>
      <c r="C366" s="50" t="s">
        <v>208</v>
      </c>
      <c r="D366" s="158" t="s">
        <v>162</v>
      </c>
      <c r="E366" s="51" t="s">
        <v>355</v>
      </c>
      <c r="F366" s="158" t="s">
        <v>844</v>
      </c>
      <c r="G366" s="158" t="s">
        <v>155</v>
      </c>
      <c r="H366" s="97">
        <v>80111600</v>
      </c>
      <c r="I366" s="159">
        <v>2</v>
      </c>
      <c r="J366" s="159">
        <v>11</v>
      </c>
      <c r="K366" s="52">
        <v>0</v>
      </c>
      <c r="L366" s="153">
        <v>77000000</v>
      </c>
      <c r="M366" s="158" t="s">
        <v>473</v>
      </c>
      <c r="N366" s="53" t="s">
        <v>113</v>
      </c>
      <c r="O366" s="51" t="s">
        <v>214</v>
      </c>
      <c r="P366" s="160" t="str">
        <f>IFERROR(VLOOKUP(C366,TD!$B$32:$F$36,2,0)," ")</f>
        <v>O230117</v>
      </c>
      <c r="Q366" s="160" t="str">
        <f>IFERROR(VLOOKUP(C366,TD!$B$32:$F$36,3,0)," ")</f>
        <v>4599</v>
      </c>
      <c r="R366" s="160">
        <f>IFERROR(VLOOKUP(C366,TD!$B$32:$F$36,4,0)," ")</f>
        <v>20240207</v>
      </c>
      <c r="S366" s="51" t="s">
        <v>179</v>
      </c>
      <c r="T366" s="160" t="str">
        <f>IFERROR(VLOOKUP(S366,TD!$J$33:$K$43,2,0)," ")</f>
        <v>Infraestructura Tecnológica   (Sistemas de Información y Tecnologia)</v>
      </c>
      <c r="U366" s="161" t="str">
        <f>CONCATENATE(S366,"-",T366)</f>
        <v>11-Infraestructura Tecnológica   (Sistemas de Información y Tecnologia)</v>
      </c>
      <c r="V366" s="51" t="s">
        <v>239</v>
      </c>
      <c r="W366" s="160" t="str">
        <f>IFERROR(VLOOKUP(V366,TD!$N$33:$O$45,2,0)," ")</f>
        <v>Servicios tecnológicos</v>
      </c>
      <c r="X366" s="161" t="str">
        <f>CONCATENATE(V366,"_",W366)</f>
        <v>007_Servicios tecnológicos</v>
      </c>
      <c r="Y366" s="161" t="str">
        <f>CONCATENATE(U366," ",X366)</f>
        <v>11-Infraestructura Tecnológica   (Sistemas de Información y Tecnologia) 007_Servicios tecnológicos</v>
      </c>
      <c r="Z366" s="160" t="str">
        <f>CONCATENATE(P366,Q366,R366,S366,V366)</f>
        <v>O23011745992024020711007</v>
      </c>
      <c r="AA366" s="160" t="str">
        <f>IFERROR(VLOOKUP(Y366,TD!$K$46:$L$64,2,0)," ")</f>
        <v>PM/0131/0111/45990070207</v>
      </c>
      <c r="AB366" s="53" t="s">
        <v>138</v>
      </c>
      <c r="AC366" s="162" t="s">
        <v>204</v>
      </c>
    </row>
    <row r="367" spans="2:29" s="28" customFormat="1" ht="99" customHeight="1" x14ac:dyDescent="0.35">
      <c r="B367" s="152">
        <v>20250376</v>
      </c>
      <c r="C367" s="50" t="s">
        <v>208</v>
      </c>
      <c r="D367" s="158" t="s">
        <v>162</v>
      </c>
      <c r="E367" s="51" t="s">
        <v>355</v>
      </c>
      <c r="F367" s="158" t="s">
        <v>845</v>
      </c>
      <c r="G367" s="158" t="s">
        <v>155</v>
      </c>
      <c r="H367" s="97">
        <v>80111600</v>
      </c>
      <c r="I367" s="159">
        <v>2</v>
      </c>
      <c r="J367" s="159">
        <v>11</v>
      </c>
      <c r="K367" s="52">
        <v>0</v>
      </c>
      <c r="L367" s="153">
        <v>40986000</v>
      </c>
      <c r="M367" s="158" t="s">
        <v>473</v>
      </c>
      <c r="N367" s="53" t="s">
        <v>113</v>
      </c>
      <c r="O367" s="51" t="s">
        <v>214</v>
      </c>
      <c r="P367" s="160" t="str">
        <f>IFERROR(VLOOKUP(C367,TD!$B$32:$F$36,2,0)," ")</f>
        <v>O230117</v>
      </c>
      <c r="Q367" s="160" t="str">
        <f>IFERROR(VLOOKUP(C367,TD!$B$32:$F$36,3,0)," ")</f>
        <v>4599</v>
      </c>
      <c r="R367" s="160">
        <f>IFERROR(VLOOKUP(C367,TD!$B$32:$F$36,4,0)," ")</f>
        <v>20240207</v>
      </c>
      <c r="S367" s="51" t="s">
        <v>179</v>
      </c>
      <c r="T367" s="160" t="str">
        <f>IFERROR(VLOOKUP(S367,TD!$J$33:$K$43,2,0)," ")</f>
        <v>Infraestructura Tecnológica   (Sistemas de Información y Tecnologia)</v>
      </c>
      <c r="U367" s="161" t="str">
        <f>CONCATENATE(S367,"-",T367)</f>
        <v>11-Infraestructura Tecnológica   (Sistemas de Información y Tecnologia)</v>
      </c>
      <c r="V367" s="51" t="s">
        <v>239</v>
      </c>
      <c r="W367" s="160" t="str">
        <f>IFERROR(VLOOKUP(V367,TD!$N$33:$O$45,2,0)," ")</f>
        <v>Servicios tecnológicos</v>
      </c>
      <c r="X367" s="161" t="str">
        <f>CONCATENATE(V367,"_",W367)</f>
        <v>007_Servicios tecnológicos</v>
      </c>
      <c r="Y367" s="161" t="str">
        <f>CONCATENATE(U367," ",X367)</f>
        <v>11-Infraestructura Tecnológica   (Sistemas de Información y Tecnologia) 007_Servicios tecnológicos</v>
      </c>
      <c r="Z367" s="160" t="str">
        <f>CONCATENATE(P367,Q367,R367,S367,V367)</f>
        <v>O23011745992024020711007</v>
      </c>
      <c r="AA367" s="160" t="str">
        <f>IFERROR(VLOOKUP(Y367,TD!$K$46:$L$64,2,0)," ")</f>
        <v>PM/0131/0111/45990070207</v>
      </c>
      <c r="AB367" s="53" t="s">
        <v>138</v>
      </c>
      <c r="AC367" s="162" t="s">
        <v>204</v>
      </c>
    </row>
    <row r="368" spans="2:29" s="28" customFormat="1" ht="99" customHeight="1" x14ac:dyDescent="0.35">
      <c r="B368" s="152">
        <v>20250377</v>
      </c>
      <c r="C368" s="50" t="s">
        <v>208</v>
      </c>
      <c r="D368" s="158" t="s">
        <v>162</v>
      </c>
      <c r="E368" s="51" t="s">
        <v>355</v>
      </c>
      <c r="F368" s="158" t="s">
        <v>846</v>
      </c>
      <c r="G368" s="158" t="s">
        <v>155</v>
      </c>
      <c r="H368" s="97">
        <v>80111600</v>
      </c>
      <c r="I368" s="159">
        <v>2</v>
      </c>
      <c r="J368" s="159">
        <v>11</v>
      </c>
      <c r="K368" s="52">
        <v>0</v>
      </c>
      <c r="L368" s="153">
        <v>40986000</v>
      </c>
      <c r="M368" s="158" t="s">
        <v>473</v>
      </c>
      <c r="N368" s="53" t="s">
        <v>113</v>
      </c>
      <c r="O368" s="51" t="s">
        <v>214</v>
      </c>
      <c r="P368" s="160" t="str">
        <f>IFERROR(VLOOKUP(C368,TD!$B$32:$F$36,2,0)," ")</f>
        <v>O230117</v>
      </c>
      <c r="Q368" s="160" t="str">
        <f>IFERROR(VLOOKUP(C368,TD!$B$32:$F$36,3,0)," ")</f>
        <v>4599</v>
      </c>
      <c r="R368" s="160">
        <f>IFERROR(VLOOKUP(C368,TD!$B$32:$F$36,4,0)," ")</f>
        <v>20240207</v>
      </c>
      <c r="S368" s="51" t="s">
        <v>179</v>
      </c>
      <c r="T368" s="160" t="str">
        <f>IFERROR(VLOOKUP(S368,TD!$J$33:$K$43,2,0)," ")</f>
        <v>Infraestructura Tecnológica   (Sistemas de Información y Tecnologia)</v>
      </c>
      <c r="U368" s="161" t="str">
        <f>CONCATENATE(S368,"-",T368)</f>
        <v>11-Infraestructura Tecnológica   (Sistemas de Información y Tecnologia)</v>
      </c>
      <c r="V368" s="51" t="s">
        <v>239</v>
      </c>
      <c r="W368" s="160" t="str">
        <f>IFERROR(VLOOKUP(V368,TD!$N$33:$O$45,2,0)," ")</f>
        <v>Servicios tecnológicos</v>
      </c>
      <c r="X368" s="161" t="str">
        <f>CONCATENATE(V368,"_",W368)</f>
        <v>007_Servicios tecnológicos</v>
      </c>
      <c r="Y368" s="161" t="str">
        <f>CONCATENATE(U368," ",X368)</f>
        <v>11-Infraestructura Tecnológica   (Sistemas de Información y Tecnologia) 007_Servicios tecnológicos</v>
      </c>
      <c r="Z368" s="160" t="str">
        <f>CONCATENATE(P368,Q368,R368,S368,V368)</f>
        <v>O23011745992024020711007</v>
      </c>
      <c r="AA368" s="160" t="str">
        <f>IFERROR(VLOOKUP(Y368,TD!$K$46:$L$64,2,0)," ")</f>
        <v>PM/0131/0111/45990070207</v>
      </c>
      <c r="AB368" s="53" t="s">
        <v>138</v>
      </c>
      <c r="AC368" s="162" t="s">
        <v>204</v>
      </c>
    </row>
    <row r="369" spans="2:29" s="28" customFormat="1" ht="99" customHeight="1" x14ac:dyDescent="0.35">
      <c r="B369" s="77">
        <v>20250378</v>
      </c>
      <c r="C369" s="50" t="s">
        <v>208</v>
      </c>
      <c r="D369" s="158" t="s">
        <v>162</v>
      </c>
      <c r="E369" s="51" t="s">
        <v>355</v>
      </c>
      <c r="F369" s="158" t="s">
        <v>847</v>
      </c>
      <c r="G369" s="158" t="s">
        <v>156</v>
      </c>
      <c r="H369" s="97">
        <v>80111600</v>
      </c>
      <c r="I369" s="159">
        <v>2</v>
      </c>
      <c r="J369" s="159">
        <v>11</v>
      </c>
      <c r="K369" s="52">
        <v>0</v>
      </c>
      <c r="L369" s="153">
        <v>33000000</v>
      </c>
      <c r="M369" s="158" t="s">
        <v>473</v>
      </c>
      <c r="N369" s="53" t="s">
        <v>113</v>
      </c>
      <c r="O369" s="51" t="s">
        <v>215</v>
      </c>
      <c r="P369" s="160" t="str">
        <f>IFERROR(VLOOKUP(C369,TD!$B$32:$F$36,2,0)," ")</f>
        <v>O230117</v>
      </c>
      <c r="Q369" s="160" t="str">
        <f>IFERROR(VLOOKUP(C369,TD!$B$32:$F$36,3,0)," ")</f>
        <v>4599</v>
      </c>
      <c r="R369" s="160">
        <f>IFERROR(VLOOKUP(C369,TD!$B$32:$F$36,4,0)," ")</f>
        <v>20240207</v>
      </c>
      <c r="S369" s="51" t="s">
        <v>179</v>
      </c>
      <c r="T369" s="160" t="str">
        <f>IFERROR(VLOOKUP(S369,TD!$J$33:$K$43,2,0)," ")</f>
        <v>Infraestructura Tecnológica   (Sistemas de Información y Tecnologia)</v>
      </c>
      <c r="U369" s="161" t="str">
        <f>CONCATENATE(S369,"-",T369)</f>
        <v>11-Infraestructura Tecnológica   (Sistemas de Información y Tecnologia)</v>
      </c>
      <c r="V369" s="51" t="s">
        <v>239</v>
      </c>
      <c r="W369" s="160" t="str">
        <f>IFERROR(VLOOKUP(V369,TD!$N$33:$O$45,2,0)," ")</f>
        <v>Servicios tecnológicos</v>
      </c>
      <c r="X369" s="161" t="str">
        <f>CONCATENATE(V369,"_",W369)</f>
        <v>007_Servicios tecnológicos</v>
      </c>
      <c r="Y369" s="161" t="str">
        <f>CONCATENATE(U369," ",X369)</f>
        <v>11-Infraestructura Tecnológica   (Sistemas de Información y Tecnologia) 007_Servicios tecnológicos</v>
      </c>
      <c r="Z369" s="160" t="str">
        <f>CONCATENATE(P369,Q369,R369,S369,V369)</f>
        <v>O23011745992024020711007</v>
      </c>
      <c r="AA369" s="160" t="str">
        <f>IFERROR(VLOOKUP(Y369,TD!$K$46:$L$64,2,0)," ")</f>
        <v>PM/0131/0111/45990070207</v>
      </c>
      <c r="AB369" s="53" t="s">
        <v>138</v>
      </c>
      <c r="AC369" s="162" t="s">
        <v>204</v>
      </c>
    </row>
    <row r="370" spans="2:29" s="28" customFormat="1" ht="99" customHeight="1" x14ac:dyDescent="0.35">
      <c r="B370" s="77">
        <v>20250379</v>
      </c>
      <c r="C370" s="50" t="s">
        <v>208</v>
      </c>
      <c r="D370" s="158" t="s">
        <v>162</v>
      </c>
      <c r="E370" s="51" t="s">
        <v>355</v>
      </c>
      <c r="F370" s="158" t="s">
        <v>848</v>
      </c>
      <c r="G370" s="158" t="s">
        <v>155</v>
      </c>
      <c r="H370" s="97">
        <v>80111600</v>
      </c>
      <c r="I370" s="159">
        <v>2</v>
      </c>
      <c r="J370" s="159">
        <v>11</v>
      </c>
      <c r="K370" s="52">
        <v>0</v>
      </c>
      <c r="L370" s="153">
        <v>66000000</v>
      </c>
      <c r="M370" s="158" t="s">
        <v>473</v>
      </c>
      <c r="N370" s="53" t="s">
        <v>113</v>
      </c>
      <c r="O370" s="51" t="s">
        <v>215</v>
      </c>
      <c r="P370" s="160" t="str">
        <f>IFERROR(VLOOKUP(C370,TD!$B$32:$F$36,2,0)," ")</f>
        <v>O230117</v>
      </c>
      <c r="Q370" s="160" t="str">
        <f>IFERROR(VLOOKUP(C370,TD!$B$32:$F$36,3,0)," ")</f>
        <v>4599</v>
      </c>
      <c r="R370" s="160">
        <f>IFERROR(VLOOKUP(C370,TD!$B$32:$F$36,4,0)," ")</f>
        <v>20240207</v>
      </c>
      <c r="S370" s="51" t="s">
        <v>179</v>
      </c>
      <c r="T370" s="160" t="str">
        <f>IFERROR(VLOOKUP(S370,TD!$J$33:$K$43,2,0)," ")</f>
        <v>Infraestructura Tecnológica   (Sistemas de Información y Tecnologia)</v>
      </c>
      <c r="U370" s="161" t="str">
        <f>CONCATENATE(S370,"-",T370)</f>
        <v>11-Infraestructura Tecnológica   (Sistemas de Información y Tecnologia)</v>
      </c>
      <c r="V370" s="51" t="s">
        <v>239</v>
      </c>
      <c r="W370" s="160" t="str">
        <f>IFERROR(VLOOKUP(V370,TD!$N$33:$O$45,2,0)," ")</f>
        <v>Servicios tecnológicos</v>
      </c>
      <c r="X370" s="161" t="str">
        <f>CONCATENATE(V370,"_",W370)</f>
        <v>007_Servicios tecnológicos</v>
      </c>
      <c r="Y370" s="161" t="str">
        <f>CONCATENATE(U370," ",X370)</f>
        <v>11-Infraestructura Tecnológica   (Sistemas de Información y Tecnologia) 007_Servicios tecnológicos</v>
      </c>
      <c r="Z370" s="160" t="str">
        <f>CONCATENATE(P370,Q370,R370,S370,V370)</f>
        <v>O23011745992024020711007</v>
      </c>
      <c r="AA370" s="160" t="str">
        <f>IFERROR(VLOOKUP(Y370,TD!$K$46:$L$64,2,0)," ")</f>
        <v>PM/0131/0111/45990070207</v>
      </c>
      <c r="AB370" s="53" t="s">
        <v>138</v>
      </c>
      <c r="AC370" s="162" t="s">
        <v>204</v>
      </c>
    </row>
    <row r="371" spans="2:29" s="28" customFormat="1" ht="99" customHeight="1" x14ac:dyDescent="0.35">
      <c r="B371" s="77">
        <v>20250380</v>
      </c>
      <c r="C371" s="50" t="s">
        <v>208</v>
      </c>
      <c r="D371" s="158" t="s">
        <v>162</v>
      </c>
      <c r="E371" s="51" t="s">
        <v>355</v>
      </c>
      <c r="F371" s="158" t="s">
        <v>849</v>
      </c>
      <c r="G371" s="158" t="s">
        <v>155</v>
      </c>
      <c r="H371" s="97">
        <v>80111600</v>
      </c>
      <c r="I371" s="159">
        <v>2</v>
      </c>
      <c r="J371" s="159">
        <v>11</v>
      </c>
      <c r="K371" s="52">
        <v>0</v>
      </c>
      <c r="L371" s="153">
        <v>104500000</v>
      </c>
      <c r="M371" s="158" t="s">
        <v>473</v>
      </c>
      <c r="N371" s="53" t="s">
        <v>113</v>
      </c>
      <c r="O371" s="51" t="s">
        <v>215</v>
      </c>
      <c r="P371" s="160" t="str">
        <f>IFERROR(VLOOKUP(C371,TD!$B$32:$F$36,2,0)," ")</f>
        <v>O230117</v>
      </c>
      <c r="Q371" s="160" t="str">
        <f>IFERROR(VLOOKUP(C371,TD!$B$32:$F$36,3,0)," ")</f>
        <v>4599</v>
      </c>
      <c r="R371" s="160">
        <f>IFERROR(VLOOKUP(C371,TD!$B$32:$F$36,4,0)," ")</f>
        <v>20240207</v>
      </c>
      <c r="S371" s="51" t="s">
        <v>179</v>
      </c>
      <c r="T371" s="160" t="str">
        <f>IFERROR(VLOOKUP(S371,TD!$J$33:$K$43,2,0)," ")</f>
        <v>Infraestructura Tecnológica   (Sistemas de Información y Tecnologia)</v>
      </c>
      <c r="U371" s="161" t="str">
        <f>CONCATENATE(S371,"-",T371)</f>
        <v>11-Infraestructura Tecnológica   (Sistemas de Información y Tecnologia)</v>
      </c>
      <c r="V371" s="51" t="s">
        <v>239</v>
      </c>
      <c r="W371" s="160" t="str">
        <f>IFERROR(VLOOKUP(V371,TD!$N$33:$O$45,2,0)," ")</f>
        <v>Servicios tecnológicos</v>
      </c>
      <c r="X371" s="161" t="str">
        <f>CONCATENATE(V371,"_",W371)</f>
        <v>007_Servicios tecnológicos</v>
      </c>
      <c r="Y371" s="161" t="str">
        <f>CONCATENATE(U371," ",X371)</f>
        <v>11-Infraestructura Tecnológica   (Sistemas de Información y Tecnologia) 007_Servicios tecnológicos</v>
      </c>
      <c r="Z371" s="160" t="str">
        <f>CONCATENATE(P371,Q371,R371,S371,V371)</f>
        <v>O23011745992024020711007</v>
      </c>
      <c r="AA371" s="160" t="str">
        <f>IFERROR(VLOOKUP(Y371,TD!$K$46:$L$64,2,0)," ")</f>
        <v>PM/0131/0111/45990070207</v>
      </c>
      <c r="AB371" s="53" t="s">
        <v>120</v>
      </c>
      <c r="AC371" s="162" t="s">
        <v>204</v>
      </c>
    </row>
    <row r="372" spans="2:29" s="28" customFormat="1" ht="99" customHeight="1" x14ac:dyDescent="0.35">
      <c r="B372" s="77">
        <v>20250381</v>
      </c>
      <c r="C372" s="50" t="s">
        <v>208</v>
      </c>
      <c r="D372" s="158" t="s">
        <v>162</v>
      </c>
      <c r="E372" s="51" t="s">
        <v>355</v>
      </c>
      <c r="F372" s="158" t="s">
        <v>850</v>
      </c>
      <c r="G372" s="158" t="s">
        <v>155</v>
      </c>
      <c r="H372" s="97">
        <v>80111600</v>
      </c>
      <c r="I372" s="159">
        <v>2</v>
      </c>
      <c r="J372" s="159">
        <v>11</v>
      </c>
      <c r="K372" s="52">
        <v>0</v>
      </c>
      <c r="L372" s="153">
        <v>79695000</v>
      </c>
      <c r="M372" s="158" t="s">
        <v>473</v>
      </c>
      <c r="N372" s="53" t="s">
        <v>113</v>
      </c>
      <c r="O372" s="51" t="s">
        <v>215</v>
      </c>
      <c r="P372" s="160" t="str">
        <f>IFERROR(VLOOKUP(C372,TD!$B$32:$F$36,2,0)," ")</f>
        <v>O230117</v>
      </c>
      <c r="Q372" s="160" t="str">
        <f>IFERROR(VLOOKUP(C372,TD!$B$32:$F$36,3,0)," ")</f>
        <v>4599</v>
      </c>
      <c r="R372" s="160">
        <f>IFERROR(VLOOKUP(C372,TD!$B$32:$F$36,4,0)," ")</f>
        <v>20240207</v>
      </c>
      <c r="S372" s="51" t="s">
        <v>179</v>
      </c>
      <c r="T372" s="160" t="str">
        <f>IFERROR(VLOOKUP(S372,TD!$J$33:$K$43,2,0)," ")</f>
        <v>Infraestructura Tecnológica   (Sistemas de Información y Tecnologia)</v>
      </c>
      <c r="U372" s="161" t="str">
        <f>CONCATENATE(S372,"-",T372)</f>
        <v>11-Infraestructura Tecnológica   (Sistemas de Información y Tecnologia)</v>
      </c>
      <c r="V372" s="51" t="s">
        <v>239</v>
      </c>
      <c r="W372" s="160" t="str">
        <f>IFERROR(VLOOKUP(V372,TD!$N$33:$O$45,2,0)," ")</f>
        <v>Servicios tecnológicos</v>
      </c>
      <c r="X372" s="161" t="str">
        <f>CONCATENATE(V372,"_",W372)</f>
        <v>007_Servicios tecnológicos</v>
      </c>
      <c r="Y372" s="161" t="str">
        <f>CONCATENATE(U372," ",X372)</f>
        <v>11-Infraestructura Tecnológica   (Sistemas de Información y Tecnologia) 007_Servicios tecnológicos</v>
      </c>
      <c r="Z372" s="160" t="str">
        <f>CONCATENATE(P372,Q372,R372,S372,V372)</f>
        <v>O23011745992024020711007</v>
      </c>
      <c r="AA372" s="160" t="str">
        <f>IFERROR(VLOOKUP(Y372,TD!$K$46:$L$64,2,0)," ")</f>
        <v>PM/0131/0111/45990070207</v>
      </c>
      <c r="AB372" s="53" t="s">
        <v>120</v>
      </c>
      <c r="AC372" s="162" t="s">
        <v>204</v>
      </c>
    </row>
    <row r="373" spans="2:29" s="28" customFormat="1" ht="99" customHeight="1" x14ac:dyDescent="0.35">
      <c r="B373" s="77">
        <v>20250383</v>
      </c>
      <c r="C373" s="50" t="s">
        <v>208</v>
      </c>
      <c r="D373" s="158" t="s">
        <v>162</v>
      </c>
      <c r="E373" s="51" t="s">
        <v>355</v>
      </c>
      <c r="F373" s="158" t="s">
        <v>575</v>
      </c>
      <c r="G373" s="158" t="s">
        <v>96</v>
      </c>
      <c r="H373" s="97" t="s">
        <v>851</v>
      </c>
      <c r="I373" s="159">
        <v>3</v>
      </c>
      <c r="J373" s="159">
        <v>9</v>
      </c>
      <c r="K373" s="52">
        <v>0</v>
      </c>
      <c r="L373" s="153">
        <v>100000000</v>
      </c>
      <c r="M373" s="158" t="s">
        <v>473</v>
      </c>
      <c r="N373" s="53" t="s">
        <v>123</v>
      </c>
      <c r="O373" s="51" t="s">
        <v>214</v>
      </c>
      <c r="P373" s="160" t="str">
        <f>IFERROR(VLOOKUP(C373,TD!$B$32:$F$36,2,0)," ")</f>
        <v>O230117</v>
      </c>
      <c r="Q373" s="160" t="str">
        <f>IFERROR(VLOOKUP(C373,TD!$B$32:$F$36,3,0)," ")</f>
        <v>4599</v>
      </c>
      <c r="R373" s="160">
        <f>IFERROR(VLOOKUP(C373,TD!$B$32:$F$36,4,0)," ")</f>
        <v>20240207</v>
      </c>
      <c r="S373" s="51" t="s">
        <v>179</v>
      </c>
      <c r="T373" s="160" t="str">
        <f>IFERROR(VLOOKUP(S373,TD!$J$33:$K$43,2,0)," ")</f>
        <v>Infraestructura Tecnológica   (Sistemas de Información y Tecnologia)</v>
      </c>
      <c r="U373" s="161" t="str">
        <f>CONCATENATE(S373,"-",T373)</f>
        <v>11-Infraestructura Tecnológica   (Sistemas de Información y Tecnologia)</v>
      </c>
      <c r="V373" s="51" t="s">
        <v>239</v>
      </c>
      <c r="W373" s="160" t="str">
        <f>IFERROR(VLOOKUP(V373,TD!$N$33:$O$45,2,0)," ")</f>
        <v>Servicios tecnológicos</v>
      </c>
      <c r="X373" s="161" t="str">
        <f>CONCATENATE(V373,"_",W373)</f>
        <v>007_Servicios tecnológicos</v>
      </c>
      <c r="Y373" s="161" t="str">
        <f>CONCATENATE(U373," ",X373)</f>
        <v>11-Infraestructura Tecnológica   (Sistemas de Información y Tecnologia) 007_Servicios tecnológicos</v>
      </c>
      <c r="Z373" s="160" t="str">
        <f>CONCATENATE(P373,Q373,R373,S373,V373)</f>
        <v>O23011745992024020711007</v>
      </c>
      <c r="AA373" s="160" t="str">
        <f>IFERROR(VLOOKUP(Y373,TD!$K$46:$L$64,2,0)," ")</f>
        <v>PM/0131/0111/45990070207</v>
      </c>
      <c r="AB373" s="53" t="s">
        <v>125</v>
      </c>
      <c r="AC373" s="162" t="s">
        <v>204</v>
      </c>
    </row>
    <row r="374" spans="2:29" s="28" customFormat="1" ht="99" customHeight="1" x14ac:dyDescent="0.35">
      <c r="B374" s="77">
        <v>20250384</v>
      </c>
      <c r="C374" s="50" t="s">
        <v>208</v>
      </c>
      <c r="D374" s="158" t="s">
        <v>162</v>
      </c>
      <c r="E374" s="51" t="s">
        <v>355</v>
      </c>
      <c r="F374" s="158" t="s">
        <v>408</v>
      </c>
      <c r="G374" s="158" t="s">
        <v>154</v>
      </c>
      <c r="H374" s="97">
        <v>81112200</v>
      </c>
      <c r="I374" s="159">
        <v>3</v>
      </c>
      <c r="J374" s="159">
        <v>9</v>
      </c>
      <c r="K374" s="52">
        <v>0</v>
      </c>
      <c r="L374" s="153">
        <v>75000000</v>
      </c>
      <c r="M374" s="158" t="s">
        <v>473</v>
      </c>
      <c r="N374" s="53" t="s">
        <v>95</v>
      </c>
      <c r="O374" s="51" t="s">
        <v>214</v>
      </c>
      <c r="P374" s="160" t="str">
        <f>IFERROR(VLOOKUP(C374,TD!$B$32:$F$36,2,0)," ")</f>
        <v>O230117</v>
      </c>
      <c r="Q374" s="160" t="str">
        <f>IFERROR(VLOOKUP(C374,TD!$B$32:$F$36,3,0)," ")</f>
        <v>4599</v>
      </c>
      <c r="R374" s="160">
        <f>IFERROR(VLOOKUP(C374,TD!$B$32:$F$36,4,0)," ")</f>
        <v>20240207</v>
      </c>
      <c r="S374" s="51" t="s">
        <v>179</v>
      </c>
      <c r="T374" s="160" t="str">
        <f>IFERROR(VLOOKUP(S374,TD!$J$33:$K$43,2,0)," ")</f>
        <v>Infraestructura Tecnológica   (Sistemas de Información y Tecnologia)</v>
      </c>
      <c r="U374" s="161" t="str">
        <f>CONCATENATE(S374,"-",T374)</f>
        <v>11-Infraestructura Tecnológica   (Sistemas de Información y Tecnologia)</v>
      </c>
      <c r="V374" s="51" t="s">
        <v>239</v>
      </c>
      <c r="W374" s="160" t="str">
        <f>IFERROR(VLOOKUP(V374,TD!$N$33:$O$45,2,0)," ")</f>
        <v>Servicios tecnológicos</v>
      </c>
      <c r="X374" s="161" t="str">
        <f>CONCATENATE(V374,"_",W374)</f>
        <v>007_Servicios tecnológicos</v>
      </c>
      <c r="Y374" s="161" t="str">
        <f>CONCATENATE(U374," ",X374)</f>
        <v>11-Infraestructura Tecnológica   (Sistemas de Información y Tecnologia) 007_Servicios tecnológicos</v>
      </c>
      <c r="Z374" s="160" t="str">
        <f>CONCATENATE(P374,Q374,R374,S374,V374)</f>
        <v>O23011745992024020711007</v>
      </c>
      <c r="AA374" s="160" t="str">
        <f>IFERROR(VLOOKUP(Y374,TD!$K$46:$L$64,2,0)," ")</f>
        <v>PM/0131/0111/45990070207</v>
      </c>
      <c r="AB374" s="53" t="s">
        <v>125</v>
      </c>
      <c r="AC374" s="162" t="s">
        <v>204</v>
      </c>
    </row>
    <row r="375" spans="2:29" s="28" customFormat="1" ht="99" customHeight="1" x14ac:dyDescent="0.35">
      <c r="B375" s="186">
        <v>20250385</v>
      </c>
      <c r="C375" s="187" t="s">
        <v>208</v>
      </c>
      <c r="D375" s="188" t="s">
        <v>162</v>
      </c>
      <c r="E375" s="189" t="s">
        <v>355</v>
      </c>
      <c r="F375" s="188" t="s">
        <v>576</v>
      </c>
      <c r="G375" s="188" t="s">
        <v>154</v>
      </c>
      <c r="H375" s="190" t="s">
        <v>577</v>
      </c>
      <c r="I375" s="191">
        <v>3</v>
      </c>
      <c r="J375" s="191">
        <v>9</v>
      </c>
      <c r="K375" s="192">
        <v>0</v>
      </c>
      <c r="L375" s="193">
        <f>170000000-98000000</f>
        <v>72000000</v>
      </c>
      <c r="M375" s="188" t="s">
        <v>473</v>
      </c>
      <c r="N375" s="194" t="s">
        <v>113</v>
      </c>
      <c r="O375" s="189" t="s">
        <v>214</v>
      </c>
      <c r="P375" s="195" t="str">
        <f>IFERROR(VLOOKUP(C375,TD!$B$32:$F$36,2,0)," ")</f>
        <v>O230117</v>
      </c>
      <c r="Q375" s="195" t="str">
        <f>IFERROR(VLOOKUP(C375,TD!$B$32:$F$36,3,0)," ")</f>
        <v>4599</v>
      </c>
      <c r="R375" s="195">
        <f>IFERROR(VLOOKUP(C375,TD!$B$32:$F$36,4,0)," ")</f>
        <v>20240207</v>
      </c>
      <c r="S375" s="189" t="s">
        <v>179</v>
      </c>
      <c r="T375" s="195" t="str">
        <f>IFERROR(VLOOKUP(S375,TD!$J$33:$K$43,2,0)," ")</f>
        <v>Infraestructura Tecnológica   (Sistemas de Información y Tecnologia)</v>
      </c>
      <c r="U375" s="161" t="str">
        <f>CONCATENATE(S375,"-",T375)</f>
        <v>11-Infraestructura Tecnológica   (Sistemas de Información y Tecnologia)</v>
      </c>
      <c r="V375" s="189" t="s">
        <v>239</v>
      </c>
      <c r="W375" s="195" t="str">
        <f>IFERROR(VLOOKUP(V375,TD!$N$33:$O$45,2,0)," ")</f>
        <v>Servicios tecnológicos</v>
      </c>
      <c r="X375" s="161" t="str">
        <f>CONCATENATE(V375,"_",W375)</f>
        <v>007_Servicios tecnológicos</v>
      </c>
      <c r="Y375" s="161" t="str">
        <f>CONCATENATE(U375," ",X375)</f>
        <v>11-Infraestructura Tecnológica   (Sistemas de Información y Tecnologia) 007_Servicios tecnológicos</v>
      </c>
      <c r="Z375" s="195" t="str">
        <f>CONCATENATE(P375,Q375,R375,S375,V375)</f>
        <v>O23011745992024020711007</v>
      </c>
      <c r="AA375" s="195" t="str">
        <f>IFERROR(VLOOKUP(Y375,TD!$K$46:$L$64,2,0)," ")</f>
        <v>PM/0131/0111/45990070207</v>
      </c>
      <c r="AB375" s="194" t="s">
        <v>125</v>
      </c>
      <c r="AC375" s="196" t="s">
        <v>204</v>
      </c>
    </row>
    <row r="376" spans="2:29" s="28" customFormat="1" ht="99" customHeight="1" x14ac:dyDescent="0.35">
      <c r="B376" s="77">
        <v>20250386</v>
      </c>
      <c r="C376" s="50" t="s">
        <v>208</v>
      </c>
      <c r="D376" s="158" t="s">
        <v>162</v>
      </c>
      <c r="E376" s="51" t="s">
        <v>355</v>
      </c>
      <c r="F376" s="158" t="s">
        <v>578</v>
      </c>
      <c r="G376" s="158" t="s">
        <v>152</v>
      </c>
      <c r="H376" s="97" t="s">
        <v>579</v>
      </c>
      <c r="I376" s="159">
        <v>3</v>
      </c>
      <c r="J376" s="159">
        <v>9</v>
      </c>
      <c r="K376" s="52">
        <v>0</v>
      </c>
      <c r="L376" s="153">
        <v>300000000</v>
      </c>
      <c r="M376" s="158" t="s">
        <v>473</v>
      </c>
      <c r="N376" s="53" t="s">
        <v>95</v>
      </c>
      <c r="O376" s="51" t="s">
        <v>217</v>
      </c>
      <c r="P376" s="160" t="str">
        <f>IFERROR(VLOOKUP(C376,TD!$B$32:$F$36,2,0)," ")</f>
        <v>O230117</v>
      </c>
      <c r="Q376" s="160" t="str">
        <f>IFERROR(VLOOKUP(C376,TD!$B$32:$F$36,3,0)," ")</f>
        <v>4599</v>
      </c>
      <c r="R376" s="160">
        <f>IFERROR(VLOOKUP(C376,TD!$B$32:$F$36,4,0)," ")</f>
        <v>20240207</v>
      </c>
      <c r="S376" s="51" t="s">
        <v>179</v>
      </c>
      <c r="T376" s="160" t="str">
        <f>IFERROR(VLOOKUP(S376,TD!$J$33:$K$43,2,0)," ")</f>
        <v>Infraestructura Tecnológica   (Sistemas de Información y Tecnologia)</v>
      </c>
      <c r="U376" s="161" t="str">
        <f>CONCATENATE(S376,"-",T376)</f>
        <v>11-Infraestructura Tecnológica   (Sistemas de Información y Tecnologia)</v>
      </c>
      <c r="V376" s="51" t="s">
        <v>239</v>
      </c>
      <c r="W376" s="160" t="str">
        <f>IFERROR(VLOOKUP(V376,TD!$N$33:$O$45,2,0)," ")</f>
        <v>Servicios tecnológicos</v>
      </c>
      <c r="X376" s="161" t="str">
        <f>CONCATENATE(V376,"_",W376)</f>
        <v>007_Servicios tecnológicos</v>
      </c>
      <c r="Y376" s="161" t="str">
        <f>CONCATENATE(U376," ",X376)</f>
        <v>11-Infraestructura Tecnológica   (Sistemas de Información y Tecnologia) 007_Servicios tecnológicos</v>
      </c>
      <c r="Z376" s="160" t="str">
        <f>CONCATENATE(P376,Q376,R376,S376,V376)</f>
        <v>O23011745992024020711007</v>
      </c>
      <c r="AA376" s="160" t="str">
        <f>IFERROR(VLOOKUP(Y376,TD!$K$46:$L$64,2,0)," ")</f>
        <v>PM/0131/0111/45990070207</v>
      </c>
      <c r="AB376" s="53" t="s">
        <v>125</v>
      </c>
      <c r="AC376" s="162" t="s">
        <v>204</v>
      </c>
    </row>
    <row r="377" spans="2:29" s="28" customFormat="1" ht="99" customHeight="1" x14ac:dyDescent="0.35">
      <c r="B377" s="77">
        <v>20250388</v>
      </c>
      <c r="C377" s="50" t="s">
        <v>208</v>
      </c>
      <c r="D377" s="158" t="s">
        <v>162</v>
      </c>
      <c r="E377" s="51" t="s">
        <v>355</v>
      </c>
      <c r="F377" s="158" t="s">
        <v>580</v>
      </c>
      <c r="G377" s="158" t="s">
        <v>96</v>
      </c>
      <c r="H377" s="97" t="s">
        <v>581</v>
      </c>
      <c r="I377" s="159">
        <v>3</v>
      </c>
      <c r="J377" s="159">
        <v>9</v>
      </c>
      <c r="K377" s="52">
        <v>0</v>
      </c>
      <c r="L377" s="153">
        <v>700000000</v>
      </c>
      <c r="M377" s="158" t="s">
        <v>473</v>
      </c>
      <c r="N377" s="53" t="s">
        <v>123</v>
      </c>
      <c r="O377" s="51" t="s">
        <v>214</v>
      </c>
      <c r="P377" s="160" t="str">
        <f>IFERROR(VLOOKUP(C377,TD!$B$32:$F$36,2,0)," ")</f>
        <v>O230117</v>
      </c>
      <c r="Q377" s="160" t="str">
        <f>IFERROR(VLOOKUP(C377,TD!$B$32:$F$36,3,0)," ")</f>
        <v>4599</v>
      </c>
      <c r="R377" s="160">
        <f>IFERROR(VLOOKUP(C377,TD!$B$32:$F$36,4,0)," ")</f>
        <v>20240207</v>
      </c>
      <c r="S377" s="51" t="s">
        <v>179</v>
      </c>
      <c r="T377" s="160" t="str">
        <f>IFERROR(VLOOKUP(S377,TD!$J$33:$K$43,2,0)," ")</f>
        <v>Infraestructura Tecnológica   (Sistemas de Información y Tecnologia)</v>
      </c>
      <c r="U377" s="161" t="str">
        <f>CONCATENATE(S377,"-",T377)</f>
        <v>11-Infraestructura Tecnológica   (Sistemas de Información y Tecnologia)</v>
      </c>
      <c r="V377" s="51" t="s">
        <v>239</v>
      </c>
      <c r="W377" s="160" t="str">
        <f>IFERROR(VLOOKUP(V377,TD!$N$33:$O$45,2,0)," ")</f>
        <v>Servicios tecnológicos</v>
      </c>
      <c r="X377" s="161" t="str">
        <f>CONCATENATE(V377,"_",W377)</f>
        <v>007_Servicios tecnológicos</v>
      </c>
      <c r="Y377" s="161" t="str">
        <f>CONCATENATE(U377," ",X377)</f>
        <v>11-Infraestructura Tecnológica   (Sistemas de Información y Tecnologia) 007_Servicios tecnológicos</v>
      </c>
      <c r="Z377" s="160" t="str">
        <f>CONCATENATE(P377,Q377,R377,S377,V377)</f>
        <v>O23011745992024020711007</v>
      </c>
      <c r="AA377" s="160" t="str">
        <f>IFERROR(VLOOKUP(Y377,TD!$K$46:$L$64,2,0)," ")</f>
        <v>PM/0131/0111/45990070207</v>
      </c>
      <c r="AB377" s="53" t="s">
        <v>130</v>
      </c>
      <c r="AC377" s="162" t="s">
        <v>204</v>
      </c>
    </row>
    <row r="378" spans="2:29" s="28" customFormat="1" ht="99" customHeight="1" x14ac:dyDescent="0.35">
      <c r="B378" s="77">
        <v>20250389</v>
      </c>
      <c r="C378" s="50" t="s">
        <v>208</v>
      </c>
      <c r="D378" s="158" t="s">
        <v>162</v>
      </c>
      <c r="E378" s="51" t="s">
        <v>355</v>
      </c>
      <c r="F378" s="158" t="s">
        <v>582</v>
      </c>
      <c r="G378" s="158" t="s">
        <v>153</v>
      </c>
      <c r="H378" s="97">
        <v>81112401</v>
      </c>
      <c r="I378" s="159">
        <v>3</v>
      </c>
      <c r="J378" s="159">
        <v>9</v>
      </c>
      <c r="K378" s="52">
        <v>0</v>
      </c>
      <c r="L378" s="153">
        <v>50000000</v>
      </c>
      <c r="M378" s="158" t="s">
        <v>473</v>
      </c>
      <c r="N378" s="53" t="s">
        <v>100</v>
      </c>
      <c r="O378" s="51" t="s">
        <v>215</v>
      </c>
      <c r="P378" s="160" t="str">
        <f>IFERROR(VLOOKUP(C378,TD!$B$32:$F$36,2,0)," ")</f>
        <v>O230117</v>
      </c>
      <c r="Q378" s="160" t="str">
        <f>IFERROR(VLOOKUP(C378,TD!$B$32:$F$36,3,0)," ")</f>
        <v>4599</v>
      </c>
      <c r="R378" s="160">
        <f>IFERROR(VLOOKUP(C378,TD!$B$32:$F$36,4,0)," ")</f>
        <v>20240207</v>
      </c>
      <c r="S378" s="51" t="s">
        <v>179</v>
      </c>
      <c r="T378" s="160" t="str">
        <f>IFERROR(VLOOKUP(S378,TD!$J$33:$K$43,2,0)," ")</f>
        <v>Infraestructura Tecnológica   (Sistemas de Información y Tecnologia)</v>
      </c>
      <c r="U378" s="161" t="str">
        <f>CONCATENATE(S378,"-",T378)</f>
        <v>11-Infraestructura Tecnológica   (Sistemas de Información y Tecnologia)</v>
      </c>
      <c r="V378" s="160" t="s">
        <v>239</v>
      </c>
      <c r="W378" s="160" t="str">
        <f>IFERROR(VLOOKUP(V378,TD!$N$33:$O$45,2,0)," ")</f>
        <v>Servicios tecnológicos</v>
      </c>
      <c r="X378" s="176" t="str">
        <f>CONCATENATE(V378,"_",W378)</f>
        <v>007_Servicios tecnológicos</v>
      </c>
      <c r="Y378" s="127" t="str">
        <f>CONCATENATE(U378," ",X378)</f>
        <v>11-Infraestructura Tecnológica   (Sistemas de Información y Tecnologia) 007_Servicios tecnológicos</v>
      </c>
      <c r="Z378" s="51" t="str">
        <f>CONCATENATE(P378,Q378,R378,S378,V378)</f>
        <v>O23011745992024020711007</v>
      </c>
      <c r="AA378" s="177" t="str">
        <f>IFERROR(VLOOKUP(Y378,TD!$K$46:$L$64,2,0)," ")</f>
        <v>PM/0131/0111/45990070207</v>
      </c>
      <c r="AB378" s="177" t="s">
        <v>130</v>
      </c>
      <c r="AC378" s="178" t="s">
        <v>204</v>
      </c>
    </row>
    <row r="379" spans="2:29" s="28" customFormat="1" ht="99" customHeight="1" x14ac:dyDescent="0.35">
      <c r="B379" s="77">
        <v>20250390</v>
      </c>
      <c r="C379" s="50" t="s">
        <v>208</v>
      </c>
      <c r="D379" s="158" t="s">
        <v>162</v>
      </c>
      <c r="E379" s="51" t="s">
        <v>355</v>
      </c>
      <c r="F379" s="158" t="s">
        <v>583</v>
      </c>
      <c r="G379" s="158" t="s">
        <v>139</v>
      </c>
      <c r="H379" s="97" t="s">
        <v>414</v>
      </c>
      <c r="I379" s="159">
        <v>3</v>
      </c>
      <c r="J379" s="159">
        <v>9</v>
      </c>
      <c r="K379" s="52">
        <v>0</v>
      </c>
      <c r="L379" s="153">
        <v>210000000</v>
      </c>
      <c r="M379" s="158" t="s">
        <v>473</v>
      </c>
      <c r="N379" s="53" t="s">
        <v>113</v>
      </c>
      <c r="O379" s="51" t="s">
        <v>214</v>
      </c>
      <c r="P379" s="160" t="str">
        <f>IFERROR(VLOOKUP(C379,TD!$B$32:$F$36,2,0)," ")</f>
        <v>O230117</v>
      </c>
      <c r="Q379" s="160" t="str">
        <f>IFERROR(VLOOKUP(C379,TD!$B$32:$F$36,3,0)," ")</f>
        <v>4599</v>
      </c>
      <c r="R379" s="160">
        <f>IFERROR(VLOOKUP(C379,TD!$B$32:$F$36,4,0)," ")</f>
        <v>20240207</v>
      </c>
      <c r="S379" s="51" t="s">
        <v>179</v>
      </c>
      <c r="T379" s="160" t="str">
        <f>IFERROR(VLOOKUP(S379,TD!$J$33:$K$43,2,0)," ")</f>
        <v>Infraestructura Tecnológica   (Sistemas de Información y Tecnologia)</v>
      </c>
      <c r="U379" s="161" t="str">
        <f>CONCATENATE(S379,"-",T379)</f>
        <v>11-Infraestructura Tecnológica   (Sistemas de Información y Tecnologia)</v>
      </c>
      <c r="V379" s="51" t="s">
        <v>239</v>
      </c>
      <c r="W379" s="160" t="str">
        <f>IFERROR(VLOOKUP(V379,TD!$N$33:$O$45,2,0)," ")</f>
        <v>Servicios tecnológicos</v>
      </c>
      <c r="X379" s="161" t="str">
        <f>CONCATENATE(V379,"_",W379)</f>
        <v>007_Servicios tecnológicos</v>
      </c>
      <c r="Y379" s="161" t="str">
        <f>CONCATENATE(U379," ",X379)</f>
        <v>11-Infraestructura Tecnológica   (Sistemas de Información y Tecnologia) 007_Servicios tecnológicos</v>
      </c>
      <c r="Z379" s="160" t="str">
        <f>CONCATENATE(P379,Q379,R379,S379,V379)</f>
        <v>O23011745992024020711007</v>
      </c>
      <c r="AA379" s="160" t="str">
        <f>IFERROR(VLOOKUP(Y379,TD!$K$46:$L$64,2,0)," ")</f>
        <v>PM/0131/0111/45990070207</v>
      </c>
      <c r="AB379" s="53" t="s">
        <v>125</v>
      </c>
      <c r="AC379" s="162" t="s">
        <v>204</v>
      </c>
    </row>
    <row r="380" spans="2:29" s="28" customFormat="1" ht="99" customHeight="1" x14ac:dyDescent="0.35">
      <c r="B380" s="77">
        <v>20250391</v>
      </c>
      <c r="C380" s="50" t="s">
        <v>208</v>
      </c>
      <c r="D380" s="158" t="s">
        <v>162</v>
      </c>
      <c r="E380" s="51" t="s">
        <v>355</v>
      </c>
      <c r="F380" s="158" t="s">
        <v>584</v>
      </c>
      <c r="G380" s="158" t="s">
        <v>154</v>
      </c>
      <c r="H380" s="97">
        <v>81112006</v>
      </c>
      <c r="I380" s="159">
        <v>3</v>
      </c>
      <c r="J380" s="159">
        <v>9</v>
      </c>
      <c r="K380" s="52">
        <v>0</v>
      </c>
      <c r="L380" s="153">
        <v>38000000</v>
      </c>
      <c r="M380" s="158" t="s">
        <v>473</v>
      </c>
      <c r="N380" s="53" t="s">
        <v>123</v>
      </c>
      <c r="O380" s="51" t="s">
        <v>214</v>
      </c>
      <c r="P380" s="160" t="str">
        <f>IFERROR(VLOOKUP(C380,TD!$B$32:$F$36,2,0)," ")</f>
        <v>O230117</v>
      </c>
      <c r="Q380" s="160" t="str">
        <f>IFERROR(VLOOKUP(C380,TD!$B$32:$F$36,3,0)," ")</f>
        <v>4599</v>
      </c>
      <c r="R380" s="160">
        <f>IFERROR(VLOOKUP(C380,TD!$B$32:$F$36,4,0)," ")</f>
        <v>20240207</v>
      </c>
      <c r="S380" s="51" t="s">
        <v>179</v>
      </c>
      <c r="T380" s="160" t="str">
        <f>IFERROR(VLOOKUP(S380,TD!$J$33:$K$43,2,0)," ")</f>
        <v>Infraestructura Tecnológica   (Sistemas de Información y Tecnologia)</v>
      </c>
      <c r="U380" s="161" t="str">
        <f>CONCATENATE(S380,"-",T380)</f>
        <v>11-Infraestructura Tecnológica   (Sistemas de Información y Tecnologia)</v>
      </c>
      <c r="V380" s="51" t="s">
        <v>239</v>
      </c>
      <c r="W380" s="160" t="str">
        <f>IFERROR(VLOOKUP(V380,TD!$N$33:$O$45,2,0)," ")</f>
        <v>Servicios tecnológicos</v>
      </c>
      <c r="X380" s="161" t="str">
        <f>CONCATENATE(V380,"_",W380)</f>
        <v>007_Servicios tecnológicos</v>
      </c>
      <c r="Y380" s="161" t="str">
        <f>CONCATENATE(U380," ",X380)</f>
        <v>11-Infraestructura Tecnológica   (Sistemas de Información y Tecnologia) 007_Servicios tecnológicos</v>
      </c>
      <c r="Z380" s="160" t="str">
        <f>CONCATENATE(P380,Q380,R380,S380,V380)</f>
        <v>O23011745992024020711007</v>
      </c>
      <c r="AA380" s="160" t="str">
        <f>IFERROR(VLOOKUP(Y380,TD!$K$46:$L$64,2,0)," ")</f>
        <v>PM/0131/0111/45990070207</v>
      </c>
      <c r="AB380" s="53" t="s">
        <v>125</v>
      </c>
      <c r="AC380" s="162" t="s">
        <v>204</v>
      </c>
    </row>
    <row r="381" spans="2:29" s="28" customFormat="1" ht="99" customHeight="1" x14ac:dyDescent="0.35">
      <c r="B381" s="77">
        <v>20250394</v>
      </c>
      <c r="C381" s="50" t="s">
        <v>208</v>
      </c>
      <c r="D381" s="158" t="s">
        <v>162</v>
      </c>
      <c r="E381" s="51" t="s">
        <v>355</v>
      </c>
      <c r="F381" s="158" t="s">
        <v>585</v>
      </c>
      <c r="G381" s="158" t="s">
        <v>96</v>
      </c>
      <c r="H381" s="97" t="s">
        <v>415</v>
      </c>
      <c r="I381" s="159">
        <v>3</v>
      </c>
      <c r="J381" s="159">
        <v>9</v>
      </c>
      <c r="K381" s="52">
        <v>0</v>
      </c>
      <c r="L381" s="153">
        <v>500000000</v>
      </c>
      <c r="M381" s="158" t="s">
        <v>473</v>
      </c>
      <c r="N381" s="53" t="s">
        <v>113</v>
      </c>
      <c r="O381" s="51" t="s">
        <v>215</v>
      </c>
      <c r="P381" s="160" t="str">
        <f>IFERROR(VLOOKUP(C381,TD!$B$32:$F$36,2,0)," ")</f>
        <v>O230117</v>
      </c>
      <c r="Q381" s="160" t="str">
        <f>IFERROR(VLOOKUP(C381,TD!$B$32:$F$36,3,0)," ")</f>
        <v>4599</v>
      </c>
      <c r="R381" s="160">
        <f>IFERROR(VLOOKUP(C381,TD!$B$32:$F$36,4,0)," ")</f>
        <v>20240207</v>
      </c>
      <c r="S381" s="51" t="s">
        <v>179</v>
      </c>
      <c r="T381" s="160" t="str">
        <f>IFERROR(VLOOKUP(S381,TD!$J$33:$K$43,2,0)," ")</f>
        <v>Infraestructura Tecnológica   (Sistemas de Información y Tecnologia)</v>
      </c>
      <c r="U381" s="161" t="str">
        <f>CONCATENATE(S381,"-",T381)</f>
        <v>11-Infraestructura Tecnológica   (Sistemas de Información y Tecnologia)</v>
      </c>
      <c r="V381" s="51" t="s">
        <v>239</v>
      </c>
      <c r="W381" s="160" t="str">
        <f>IFERROR(VLOOKUP(V381,TD!$N$33:$O$45,2,0)," ")</f>
        <v>Servicios tecnológicos</v>
      </c>
      <c r="X381" s="161" t="str">
        <f>CONCATENATE(V381,"_",W381)</f>
        <v>007_Servicios tecnológicos</v>
      </c>
      <c r="Y381" s="161" t="str">
        <f>CONCATENATE(U381," ",X381)</f>
        <v>11-Infraestructura Tecnológica   (Sistemas de Información y Tecnologia) 007_Servicios tecnológicos</v>
      </c>
      <c r="Z381" s="160" t="str">
        <f>CONCATENATE(P381,Q381,R381,S381,V381)</f>
        <v>O23011745992024020711007</v>
      </c>
      <c r="AA381" s="160" t="str">
        <f>IFERROR(VLOOKUP(Y381,TD!$K$46:$L$64,2,0)," ")</f>
        <v>PM/0131/0111/45990070207</v>
      </c>
      <c r="AB381" s="53" t="s">
        <v>125</v>
      </c>
      <c r="AC381" s="162" t="s">
        <v>204</v>
      </c>
    </row>
    <row r="382" spans="2:29" s="28" customFormat="1" ht="99" customHeight="1" x14ac:dyDescent="0.35">
      <c r="B382" s="77">
        <v>20250395</v>
      </c>
      <c r="C382" s="50" t="s">
        <v>208</v>
      </c>
      <c r="D382" s="158" t="s">
        <v>162</v>
      </c>
      <c r="E382" s="51" t="s">
        <v>355</v>
      </c>
      <c r="F382" s="158" t="s">
        <v>852</v>
      </c>
      <c r="G382" s="158" t="s">
        <v>154</v>
      </c>
      <c r="H382" s="97">
        <v>43233200</v>
      </c>
      <c r="I382" s="159">
        <v>3</v>
      </c>
      <c r="J382" s="159">
        <v>9</v>
      </c>
      <c r="K382" s="52">
        <v>0</v>
      </c>
      <c r="L382" s="153">
        <v>150000000</v>
      </c>
      <c r="M382" s="158" t="s">
        <v>473</v>
      </c>
      <c r="N382" s="53" t="s">
        <v>95</v>
      </c>
      <c r="O382" s="51" t="s">
        <v>217</v>
      </c>
      <c r="P382" s="160" t="str">
        <f>IFERROR(VLOOKUP(C382,TD!$B$32:$F$36,2,0)," ")</f>
        <v>O230117</v>
      </c>
      <c r="Q382" s="160" t="str">
        <f>IFERROR(VLOOKUP(C382,TD!$B$32:$F$36,3,0)," ")</f>
        <v>4599</v>
      </c>
      <c r="R382" s="160">
        <f>IFERROR(VLOOKUP(C382,TD!$B$32:$F$36,4,0)," ")</f>
        <v>20240207</v>
      </c>
      <c r="S382" s="51" t="s">
        <v>179</v>
      </c>
      <c r="T382" s="160" t="str">
        <f>IFERROR(VLOOKUP(S382,TD!$J$33:$K$43,2,0)," ")</f>
        <v>Infraestructura Tecnológica   (Sistemas de Información y Tecnologia)</v>
      </c>
      <c r="U382" s="161" t="str">
        <f>CONCATENATE(S382,"-",T382)</f>
        <v>11-Infraestructura Tecnológica   (Sistemas de Información y Tecnologia)</v>
      </c>
      <c r="V382" s="51" t="s">
        <v>239</v>
      </c>
      <c r="W382" s="160" t="str">
        <f>IFERROR(VLOOKUP(V382,TD!$N$33:$O$45,2,0)," ")</f>
        <v>Servicios tecnológicos</v>
      </c>
      <c r="X382" s="161" t="str">
        <f>CONCATENATE(V382,"_",W382)</f>
        <v>007_Servicios tecnológicos</v>
      </c>
      <c r="Y382" s="161" t="str">
        <f>CONCATENATE(U382," ",X382)</f>
        <v>11-Infraestructura Tecnológica   (Sistemas de Información y Tecnologia) 007_Servicios tecnológicos</v>
      </c>
      <c r="Z382" s="160" t="str">
        <f>CONCATENATE(P382,Q382,R382,S382,V382)</f>
        <v>O23011745992024020711007</v>
      </c>
      <c r="AA382" s="160" t="str">
        <f>IFERROR(VLOOKUP(Y382,TD!$K$46:$L$64,2,0)," ")</f>
        <v>PM/0131/0111/45990070207</v>
      </c>
      <c r="AB382" s="53" t="s">
        <v>125</v>
      </c>
      <c r="AC382" s="162" t="s">
        <v>204</v>
      </c>
    </row>
    <row r="383" spans="2:29" s="28" customFormat="1" ht="99" customHeight="1" x14ac:dyDescent="0.35">
      <c r="B383" s="77">
        <v>20250396</v>
      </c>
      <c r="C383" s="50" t="s">
        <v>208</v>
      </c>
      <c r="D383" s="158" t="s">
        <v>162</v>
      </c>
      <c r="E383" s="51" t="s">
        <v>355</v>
      </c>
      <c r="F383" s="158" t="s">
        <v>853</v>
      </c>
      <c r="G383" s="158" t="s">
        <v>146</v>
      </c>
      <c r="H383" s="97" t="s">
        <v>854</v>
      </c>
      <c r="I383" s="159">
        <v>3</v>
      </c>
      <c r="J383" s="159">
        <v>9</v>
      </c>
      <c r="K383" s="52">
        <v>0</v>
      </c>
      <c r="L383" s="153">
        <v>200000000</v>
      </c>
      <c r="M383" s="158" t="s">
        <v>473</v>
      </c>
      <c r="N383" s="53" t="s">
        <v>95</v>
      </c>
      <c r="O383" s="51" t="s">
        <v>215</v>
      </c>
      <c r="P383" s="160" t="str">
        <f>IFERROR(VLOOKUP(C383,TD!$B$32:$F$36,2,0)," ")</f>
        <v>O230117</v>
      </c>
      <c r="Q383" s="160" t="str">
        <f>IFERROR(VLOOKUP(C383,TD!$B$32:$F$36,3,0)," ")</f>
        <v>4599</v>
      </c>
      <c r="R383" s="160">
        <f>IFERROR(VLOOKUP(C383,TD!$B$32:$F$36,4,0)," ")</f>
        <v>20240207</v>
      </c>
      <c r="S383" s="51" t="s">
        <v>179</v>
      </c>
      <c r="T383" s="160" t="str">
        <f>IFERROR(VLOOKUP(S383,TD!$J$33:$K$43,2,0)," ")</f>
        <v>Infraestructura Tecnológica   (Sistemas de Información y Tecnologia)</v>
      </c>
      <c r="U383" s="161" t="str">
        <f>CONCATENATE(S383,"-",T383)</f>
        <v>11-Infraestructura Tecnológica   (Sistemas de Información y Tecnologia)</v>
      </c>
      <c r="V383" s="51" t="s">
        <v>239</v>
      </c>
      <c r="W383" s="160" t="str">
        <f>IFERROR(VLOOKUP(V383,TD!$N$33:$O$45,2,0)," ")</f>
        <v>Servicios tecnológicos</v>
      </c>
      <c r="X383" s="161" t="str">
        <f>CONCATENATE(V383,"_",W383)</f>
        <v>007_Servicios tecnológicos</v>
      </c>
      <c r="Y383" s="161" t="str">
        <f>CONCATENATE(U383," ",X383)</f>
        <v>11-Infraestructura Tecnológica   (Sistemas de Información y Tecnologia) 007_Servicios tecnológicos</v>
      </c>
      <c r="Z383" s="160" t="str">
        <f>CONCATENATE(P383,Q383,R383,S383,V383)</f>
        <v>O23011745992024020711007</v>
      </c>
      <c r="AA383" s="160" t="str">
        <f>IFERROR(VLOOKUP(Y383,TD!$K$46:$L$64,2,0)," ")</f>
        <v>PM/0131/0111/45990070207</v>
      </c>
      <c r="AB383" s="53" t="s">
        <v>125</v>
      </c>
      <c r="AC383" s="162" t="s">
        <v>204</v>
      </c>
    </row>
    <row r="384" spans="2:29" s="28" customFormat="1" ht="99" customHeight="1" x14ac:dyDescent="0.35">
      <c r="B384" s="152">
        <v>20250397</v>
      </c>
      <c r="C384" s="50" t="s">
        <v>208</v>
      </c>
      <c r="D384" s="158" t="s">
        <v>162</v>
      </c>
      <c r="E384" s="51" t="s">
        <v>355</v>
      </c>
      <c r="F384" s="158" t="s">
        <v>586</v>
      </c>
      <c r="G384" s="158" t="s">
        <v>149</v>
      </c>
      <c r="H384" s="97">
        <v>81112217</v>
      </c>
      <c r="I384" s="159">
        <v>3</v>
      </c>
      <c r="J384" s="159">
        <v>9</v>
      </c>
      <c r="K384" s="52">
        <v>0</v>
      </c>
      <c r="L384" s="153">
        <v>30000000</v>
      </c>
      <c r="M384" s="158" t="s">
        <v>473</v>
      </c>
      <c r="N384" s="53" t="s">
        <v>113</v>
      </c>
      <c r="O384" s="51" t="s">
        <v>214</v>
      </c>
      <c r="P384" s="160" t="str">
        <f>IFERROR(VLOOKUP(C384,TD!$B$32:$F$36,2,0)," ")</f>
        <v>O230117</v>
      </c>
      <c r="Q384" s="160" t="str">
        <f>IFERROR(VLOOKUP(C384,TD!$B$32:$F$36,3,0)," ")</f>
        <v>4599</v>
      </c>
      <c r="R384" s="160">
        <f>IFERROR(VLOOKUP(C384,TD!$B$32:$F$36,4,0)," ")</f>
        <v>20240207</v>
      </c>
      <c r="S384" s="51" t="s">
        <v>179</v>
      </c>
      <c r="T384" s="160" t="str">
        <f>IFERROR(VLOOKUP(S384,TD!$J$33:$K$43,2,0)," ")</f>
        <v>Infraestructura Tecnológica   (Sistemas de Información y Tecnologia)</v>
      </c>
      <c r="U384" s="161" t="str">
        <f>CONCATENATE(S384,"-",T384)</f>
        <v>11-Infraestructura Tecnológica   (Sistemas de Información y Tecnologia)</v>
      </c>
      <c r="V384" s="51" t="s">
        <v>239</v>
      </c>
      <c r="W384" s="160" t="str">
        <f>IFERROR(VLOOKUP(V384,TD!$N$33:$O$45,2,0)," ")</f>
        <v>Servicios tecnológicos</v>
      </c>
      <c r="X384" s="161" t="str">
        <f>CONCATENATE(V384,"_",W384)</f>
        <v>007_Servicios tecnológicos</v>
      </c>
      <c r="Y384" s="161" t="str">
        <f>CONCATENATE(U384," ",X384)</f>
        <v>11-Infraestructura Tecnológica   (Sistemas de Información y Tecnologia) 007_Servicios tecnológicos</v>
      </c>
      <c r="Z384" s="160" t="str">
        <f>CONCATENATE(P384,Q384,R384,S384,V384)</f>
        <v>O23011745992024020711007</v>
      </c>
      <c r="AA384" s="160" t="str">
        <f>IFERROR(VLOOKUP(Y384,TD!$K$46:$L$64,2,0)," ")</f>
        <v>PM/0131/0111/45990070207</v>
      </c>
      <c r="AB384" s="53" t="s">
        <v>125</v>
      </c>
      <c r="AC384" s="162" t="s">
        <v>205</v>
      </c>
    </row>
    <row r="385" spans="2:29" s="28" customFormat="1" ht="99" customHeight="1" x14ac:dyDescent="0.35">
      <c r="B385" s="77">
        <v>20250398</v>
      </c>
      <c r="C385" s="50" t="s">
        <v>208</v>
      </c>
      <c r="D385" s="158" t="s">
        <v>162</v>
      </c>
      <c r="E385" s="51" t="s">
        <v>355</v>
      </c>
      <c r="F385" s="158" t="s">
        <v>587</v>
      </c>
      <c r="G385" s="158" t="s">
        <v>149</v>
      </c>
      <c r="H385" s="97">
        <v>81112217</v>
      </c>
      <c r="I385" s="159">
        <v>1</v>
      </c>
      <c r="J385" s="159">
        <v>12</v>
      </c>
      <c r="K385" s="52">
        <v>0</v>
      </c>
      <c r="L385" s="153">
        <v>20000000</v>
      </c>
      <c r="M385" s="158" t="s">
        <v>473</v>
      </c>
      <c r="N385" s="53" t="s">
        <v>113</v>
      </c>
      <c r="O385" s="51" t="s">
        <v>214</v>
      </c>
      <c r="P385" s="160" t="str">
        <f>IFERROR(VLOOKUP(C385,TD!$B$32:$F$36,2,0)," ")</f>
        <v>O230117</v>
      </c>
      <c r="Q385" s="160" t="str">
        <f>IFERROR(VLOOKUP(C385,TD!$B$32:$F$36,3,0)," ")</f>
        <v>4599</v>
      </c>
      <c r="R385" s="160">
        <f>IFERROR(VLOOKUP(C385,TD!$B$32:$F$36,4,0)," ")</f>
        <v>20240207</v>
      </c>
      <c r="S385" s="51" t="s">
        <v>179</v>
      </c>
      <c r="T385" s="160" t="str">
        <f>IFERROR(VLOOKUP(S385,TD!$J$33:$K$43,2,0)," ")</f>
        <v>Infraestructura Tecnológica   (Sistemas de Información y Tecnologia)</v>
      </c>
      <c r="U385" s="161" t="str">
        <f>CONCATENATE(S385,"-",T385)</f>
        <v>11-Infraestructura Tecnológica   (Sistemas de Información y Tecnologia)</v>
      </c>
      <c r="V385" s="51" t="s">
        <v>239</v>
      </c>
      <c r="W385" s="160" t="str">
        <f>IFERROR(VLOOKUP(V385,TD!$N$33:$O$45,2,0)," ")</f>
        <v>Servicios tecnológicos</v>
      </c>
      <c r="X385" s="161" t="str">
        <f>CONCATENATE(V385,"_",W385)</f>
        <v>007_Servicios tecnológicos</v>
      </c>
      <c r="Y385" s="161" t="str">
        <f>CONCATENATE(U385," ",X385)</f>
        <v>11-Infraestructura Tecnológica   (Sistemas de Información y Tecnologia) 007_Servicios tecnológicos</v>
      </c>
      <c r="Z385" s="160" t="str">
        <f>CONCATENATE(P385,Q385,R385,S385,V385)</f>
        <v>O23011745992024020711007</v>
      </c>
      <c r="AA385" s="160" t="str">
        <f>IFERROR(VLOOKUP(Y385,TD!$K$46:$L$64,2,0)," ")</f>
        <v>PM/0131/0111/45990070207</v>
      </c>
      <c r="AB385" s="53" t="s">
        <v>125</v>
      </c>
      <c r="AC385" s="51" t="s">
        <v>204</v>
      </c>
    </row>
    <row r="386" spans="2:29" s="28" customFormat="1" ht="99" customHeight="1" x14ac:dyDescent="0.35">
      <c r="B386" s="77">
        <v>20250399</v>
      </c>
      <c r="C386" s="50" t="s">
        <v>208</v>
      </c>
      <c r="D386" s="158" t="s">
        <v>162</v>
      </c>
      <c r="E386" s="51" t="s">
        <v>355</v>
      </c>
      <c r="F386" s="158" t="s">
        <v>855</v>
      </c>
      <c r="G386" s="158" t="s">
        <v>96</v>
      </c>
      <c r="H386" s="97" t="s">
        <v>416</v>
      </c>
      <c r="I386" s="159">
        <v>3</v>
      </c>
      <c r="J386" s="159">
        <v>9</v>
      </c>
      <c r="K386" s="52">
        <v>0</v>
      </c>
      <c r="L386" s="153">
        <v>30000000</v>
      </c>
      <c r="M386" s="158" t="s">
        <v>473</v>
      </c>
      <c r="N386" s="53" t="s">
        <v>123</v>
      </c>
      <c r="O386" s="51" t="s">
        <v>215</v>
      </c>
      <c r="P386" s="160" t="str">
        <f>IFERROR(VLOOKUP(C386,TD!$B$32:$F$36,2,0)," ")</f>
        <v>O230117</v>
      </c>
      <c r="Q386" s="160" t="str">
        <f>IFERROR(VLOOKUP(C386,TD!$B$32:$F$36,3,0)," ")</f>
        <v>4599</v>
      </c>
      <c r="R386" s="160">
        <f>IFERROR(VLOOKUP(C386,TD!$B$32:$F$36,4,0)," ")</f>
        <v>20240207</v>
      </c>
      <c r="S386" s="51" t="s">
        <v>179</v>
      </c>
      <c r="T386" s="160" t="str">
        <f>IFERROR(VLOOKUP(S386,TD!$J$33:$K$43,2,0)," ")</f>
        <v>Infraestructura Tecnológica   (Sistemas de Información y Tecnologia)</v>
      </c>
      <c r="U386" s="161" t="str">
        <f>CONCATENATE(S386,"-",T386)</f>
        <v>11-Infraestructura Tecnológica   (Sistemas de Información y Tecnologia)</v>
      </c>
      <c r="V386" s="51" t="s">
        <v>239</v>
      </c>
      <c r="W386" s="160" t="str">
        <f>IFERROR(VLOOKUP(V386,TD!$N$33:$O$45,2,0)," ")</f>
        <v>Servicios tecnológicos</v>
      </c>
      <c r="X386" s="161" t="str">
        <f>CONCATENATE(V386,"_",W386)</f>
        <v>007_Servicios tecnológicos</v>
      </c>
      <c r="Y386" s="161" t="str">
        <f>CONCATENATE(U386," ",X386)</f>
        <v>11-Infraestructura Tecnológica   (Sistemas de Información y Tecnologia) 007_Servicios tecnológicos</v>
      </c>
      <c r="Z386" s="160" t="str">
        <f>CONCATENATE(P386,Q386,R386,S386,V386)</f>
        <v>O23011745992024020711007</v>
      </c>
      <c r="AA386" s="160" t="str">
        <f>IFERROR(VLOOKUP(Y386,TD!$K$46:$L$64,2,0)," ")</f>
        <v>PM/0131/0111/45990070207</v>
      </c>
      <c r="AB386" s="53" t="s">
        <v>125</v>
      </c>
      <c r="AC386" s="162" t="s">
        <v>204</v>
      </c>
    </row>
    <row r="387" spans="2:29" s="28" customFormat="1" ht="99" customHeight="1" x14ac:dyDescent="0.35">
      <c r="B387" s="77">
        <v>20250401</v>
      </c>
      <c r="C387" s="50" t="s">
        <v>208</v>
      </c>
      <c r="D387" s="158" t="s">
        <v>162</v>
      </c>
      <c r="E387" s="51" t="s">
        <v>355</v>
      </c>
      <c r="F387" s="158" t="s">
        <v>856</v>
      </c>
      <c r="G387" s="158" t="s">
        <v>109</v>
      </c>
      <c r="H387" s="97" t="s">
        <v>588</v>
      </c>
      <c r="I387" s="159">
        <v>3</v>
      </c>
      <c r="J387" s="159">
        <v>9</v>
      </c>
      <c r="K387" s="52">
        <v>0</v>
      </c>
      <c r="L387" s="153">
        <v>28000000</v>
      </c>
      <c r="M387" s="158" t="s">
        <v>473</v>
      </c>
      <c r="N387" s="53" t="s">
        <v>95</v>
      </c>
      <c r="O387" s="51" t="s">
        <v>215</v>
      </c>
      <c r="P387" s="160" t="str">
        <f>IFERROR(VLOOKUP(C387,TD!$B$32:$F$36,2,0)," ")</f>
        <v>O230117</v>
      </c>
      <c r="Q387" s="160" t="str">
        <f>IFERROR(VLOOKUP(C387,TD!$B$32:$F$36,3,0)," ")</f>
        <v>4599</v>
      </c>
      <c r="R387" s="160">
        <f>IFERROR(VLOOKUP(C387,TD!$B$32:$F$36,4,0)," ")</f>
        <v>20240207</v>
      </c>
      <c r="S387" s="51" t="s">
        <v>179</v>
      </c>
      <c r="T387" s="160" t="str">
        <f>IFERROR(VLOOKUP(S387,TD!$J$33:$K$43,2,0)," ")</f>
        <v>Infraestructura Tecnológica   (Sistemas de Información y Tecnologia)</v>
      </c>
      <c r="U387" s="161" t="str">
        <f>CONCATENATE(S387,"-",T387)</f>
        <v>11-Infraestructura Tecnológica   (Sistemas de Información y Tecnologia)</v>
      </c>
      <c r="V387" s="51" t="s">
        <v>239</v>
      </c>
      <c r="W387" s="160" t="str">
        <f>IFERROR(VLOOKUP(V387,TD!$N$33:$O$45,2,0)," ")</f>
        <v>Servicios tecnológicos</v>
      </c>
      <c r="X387" s="161" t="str">
        <f>CONCATENATE(V387,"_",W387)</f>
        <v>007_Servicios tecnológicos</v>
      </c>
      <c r="Y387" s="161" t="str">
        <f>CONCATENATE(U387," ",X387)</f>
        <v>11-Infraestructura Tecnológica   (Sistemas de Información y Tecnologia) 007_Servicios tecnológicos</v>
      </c>
      <c r="Z387" s="160" t="str">
        <f>CONCATENATE(P387,Q387,R387,S387,V387)</f>
        <v>O23011745992024020711007</v>
      </c>
      <c r="AA387" s="160" t="str">
        <f>IFERROR(VLOOKUP(Y387,TD!$K$46:$L$64,2,0)," ")</f>
        <v>PM/0131/0111/45990070207</v>
      </c>
      <c r="AB387" s="53" t="s">
        <v>125</v>
      </c>
      <c r="AC387" s="162" t="s">
        <v>204</v>
      </c>
    </row>
    <row r="388" spans="2:29" s="28" customFormat="1" ht="99" customHeight="1" x14ac:dyDescent="0.35">
      <c r="B388" s="77">
        <v>20250402</v>
      </c>
      <c r="C388" s="50" t="s">
        <v>208</v>
      </c>
      <c r="D388" s="158" t="s">
        <v>162</v>
      </c>
      <c r="E388" s="51" t="s">
        <v>355</v>
      </c>
      <c r="F388" s="158" t="s">
        <v>857</v>
      </c>
      <c r="G388" s="158" t="s">
        <v>96</v>
      </c>
      <c r="H388" s="97" t="s">
        <v>416</v>
      </c>
      <c r="I388" s="159">
        <v>3</v>
      </c>
      <c r="J388" s="159">
        <v>9</v>
      </c>
      <c r="K388" s="52">
        <v>0</v>
      </c>
      <c r="L388" s="153">
        <v>50000000</v>
      </c>
      <c r="M388" s="158" t="s">
        <v>473</v>
      </c>
      <c r="N388" s="53" t="s">
        <v>123</v>
      </c>
      <c r="O388" s="51" t="s">
        <v>215</v>
      </c>
      <c r="P388" s="160" t="str">
        <f>IFERROR(VLOOKUP(C388,TD!$B$32:$F$36,2,0)," ")</f>
        <v>O230117</v>
      </c>
      <c r="Q388" s="160" t="str">
        <f>IFERROR(VLOOKUP(C388,TD!$B$32:$F$36,3,0)," ")</f>
        <v>4599</v>
      </c>
      <c r="R388" s="160">
        <f>IFERROR(VLOOKUP(C388,TD!$B$32:$F$36,4,0)," ")</f>
        <v>20240207</v>
      </c>
      <c r="S388" s="51" t="s">
        <v>179</v>
      </c>
      <c r="T388" s="160" t="str">
        <f>IFERROR(VLOOKUP(S388,TD!$J$33:$K$43,2,0)," ")</f>
        <v>Infraestructura Tecnológica   (Sistemas de Información y Tecnologia)</v>
      </c>
      <c r="U388" s="161" t="str">
        <f>CONCATENATE(S388,"-",T388)</f>
        <v>11-Infraestructura Tecnológica   (Sistemas de Información y Tecnologia)</v>
      </c>
      <c r="V388" s="51" t="s">
        <v>239</v>
      </c>
      <c r="W388" s="160" t="str">
        <f>IFERROR(VLOOKUP(V388,TD!$N$33:$O$45,2,0)," ")</f>
        <v>Servicios tecnológicos</v>
      </c>
      <c r="X388" s="161" t="str">
        <f>CONCATENATE(V388,"_",W388)</f>
        <v>007_Servicios tecnológicos</v>
      </c>
      <c r="Y388" s="161" t="str">
        <f>CONCATENATE(U388," ",X388)</f>
        <v>11-Infraestructura Tecnológica   (Sistemas de Información y Tecnologia) 007_Servicios tecnológicos</v>
      </c>
      <c r="Z388" s="160" t="str">
        <f>CONCATENATE(P388,Q388,R388,S388,V388)</f>
        <v>O23011745992024020711007</v>
      </c>
      <c r="AA388" s="160" t="str">
        <f>IFERROR(VLOOKUP(Y388,TD!$K$46:$L$64,2,0)," ")</f>
        <v>PM/0131/0111/45990070207</v>
      </c>
      <c r="AB388" s="53" t="s">
        <v>130</v>
      </c>
      <c r="AC388" s="162" t="s">
        <v>204</v>
      </c>
    </row>
    <row r="389" spans="2:29" s="28" customFormat="1" ht="99" customHeight="1" x14ac:dyDescent="0.35">
      <c r="B389" s="77">
        <v>20250403</v>
      </c>
      <c r="C389" s="50" t="s">
        <v>208</v>
      </c>
      <c r="D389" s="158" t="s">
        <v>162</v>
      </c>
      <c r="E389" s="51" t="s">
        <v>355</v>
      </c>
      <c r="F389" s="158" t="s">
        <v>858</v>
      </c>
      <c r="G389" s="158" t="s">
        <v>109</v>
      </c>
      <c r="H389" s="97" t="s">
        <v>859</v>
      </c>
      <c r="I389" s="159">
        <v>3</v>
      </c>
      <c r="J389" s="159">
        <v>9</v>
      </c>
      <c r="K389" s="52">
        <v>0</v>
      </c>
      <c r="L389" s="153">
        <v>140000000</v>
      </c>
      <c r="M389" s="158" t="s">
        <v>473</v>
      </c>
      <c r="N389" s="53" t="s">
        <v>95</v>
      </c>
      <c r="O389" s="51" t="s">
        <v>215</v>
      </c>
      <c r="P389" s="160" t="str">
        <f>IFERROR(VLOOKUP(C389,TD!$B$32:$F$36,2,0)," ")</f>
        <v>O230117</v>
      </c>
      <c r="Q389" s="160" t="str">
        <f>IFERROR(VLOOKUP(C389,TD!$B$32:$F$36,3,0)," ")</f>
        <v>4599</v>
      </c>
      <c r="R389" s="160">
        <f>IFERROR(VLOOKUP(C389,TD!$B$32:$F$36,4,0)," ")</f>
        <v>20240207</v>
      </c>
      <c r="S389" s="51" t="s">
        <v>179</v>
      </c>
      <c r="T389" s="160" t="str">
        <f>IFERROR(VLOOKUP(S389,TD!$J$33:$K$43,2,0)," ")</f>
        <v>Infraestructura Tecnológica   (Sistemas de Información y Tecnologia)</v>
      </c>
      <c r="U389" s="161" t="str">
        <f>CONCATENATE(S389,"-",T389)</f>
        <v>11-Infraestructura Tecnológica   (Sistemas de Información y Tecnologia)</v>
      </c>
      <c r="V389" s="51" t="s">
        <v>239</v>
      </c>
      <c r="W389" s="160" t="str">
        <f>IFERROR(VLOOKUP(V389,TD!$N$33:$O$45,2,0)," ")</f>
        <v>Servicios tecnológicos</v>
      </c>
      <c r="X389" s="161" t="str">
        <f>CONCATENATE(V389,"_",W389)</f>
        <v>007_Servicios tecnológicos</v>
      </c>
      <c r="Y389" s="161" t="str">
        <f>CONCATENATE(U389," ",X389)</f>
        <v>11-Infraestructura Tecnológica   (Sistemas de Información y Tecnologia) 007_Servicios tecnológicos</v>
      </c>
      <c r="Z389" s="160" t="str">
        <f>CONCATENATE(P389,Q389,R389,S389,V389)</f>
        <v>O23011745992024020711007</v>
      </c>
      <c r="AA389" s="160" t="str">
        <f>IFERROR(VLOOKUP(Y389,TD!$K$46:$L$64,2,0)," ")</f>
        <v>PM/0131/0111/45990070207</v>
      </c>
      <c r="AB389" s="53" t="s">
        <v>130</v>
      </c>
      <c r="AC389" s="162" t="s">
        <v>204</v>
      </c>
    </row>
    <row r="390" spans="2:29" s="28" customFormat="1" ht="99" customHeight="1" x14ac:dyDescent="0.35">
      <c r="B390" s="77">
        <v>20250404</v>
      </c>
      <c r="C390" s="50" t="s">
        <v>208</v>
      </c>
      <c r="D390" s="158" t="s">
        <v>162</v>
      </c>
      <c r="E390" s="51" t="s">
        <v>355</v>
      </c>
      <c r="F390" s="158" t="s">
        <v>860</v>
      </c>
      <c r="G390" s="158" t="s">
        <v>149</v>
      </c>
      <c r="H390" s="97">
        <v>43222635</v>
      </c>
      <c r="I390" s="159">
        <v>3</v>
      </c>
      <c r="J390" s="159">
        <v>9</v>
      </c>
      <c r="K390" s="52">
        <v>0</v>
      </c>
      <c r="L390" s="153">
        <v>150000000</v>
      </c>
      <c r="M390" s="158" t="s">
        <v>473</v>
      </c>
      <c r="N390" s="53" t="s">
        <v>95</v>
      </c>
      <c r="O390" s="51" t="s">
        <v>215</v>
      </c>
      <c r="P390" s="160" t="str">
        <f>IFERROR(VLOOKUP(C390,TD!$B$32:$F$36,2,0)," ")</f>
        <v>O230117</v>
      </c>
      <c r="Q390" s="160" t="str">
        <f>IFERROR(VLOOKUP(C390,TD!$B$32:$F$36,3,0)," ")</f>
        <v>4599</v>
      </c>
      <c r="R390" s="160">
        <f>IFERROR(VLOOKUP(C390,TD!$B$32:$F$36,4,0)," ")</f>
        <v>20240207</v>
      </c>
      <c r="S390" s="51" t="s">
        <v>179</v>
      </c>
      <c r="T390" s="160" t="str">
        <f>IFERROR(VLOOKUP(S390,TD!$J$33:$K$43,2,0)," ")</f>
        <v>Infraestructura Tecnológica   (Sistemas de Información y Tecnologia)</v>
      </c>
      <c r="U390" s="161" t="str">
        <f>CONCATENATE(S390,"-",T390)</f>
        <v>11-Infraestructura Tecnológica   (Sistemas de Información y Tecnologia)</v>
      </c>
      <c r="V390" s="51" t="s">
        <v>239</v>
      </c>
      <c r="W390" s="160" t="str">
        <f>IFERROR(VLOOKUP(V390,TD!$N$33:$O$45,2,0)," ")</f>
        <v>Servicios tecnológicos</v>
      </c>
      <c r="X390" s="161" t="str">
        <f>CONCATENATE(V390,"_",W390)</f>
        <v>007_Servicios tecnológicos</v>
      </c>
      <c r="Y390" s="161" t="str">
        <f>CONCATENATE(U390," ",X390)</f>
        <v>11-Infraestructura Tecnológica   (Sistemas de Información y Tecnologia) 007_Servicios tecnológicos</v>
      </c>
      <c r="Z390" s="160" t="str">
        <f>CONCATENATE(P390,Q390,R390,S390,V390)</f>
        <v>O23011745992024020711007</v>
      </c>
      <c r="AA390" s="160" t="str">
        <f>IFERROR(VLOOKUP(Y390,TD!$K$46:$L$64,2,0)," ")</f>
        <v>PM/0131/0111/45990070207</v>
      </c>
      <c r="AB390" s="53" t="s">
        <v>125</v>
      </c>
      <c r="AC390" s="162" t="s">
        <v>204</v>
      </c>
    </row>
    <row r="391" spans="2:29" s="28" customFormat="1" ht="99" customHeight="1" x14ac:dyDescent="0.35">
      <c r="B391" s="77">
        <v>20250405</v>
      </c>
      <c r="C391" s="50" t="s">
        <v>208</v>
      </c>
      <c r="D391" s="158" t="s">
        <v>162</v>
      </c>
      <c r="E391" s="51" t="s">
        <v>355</v>
      </c>
      <c r="F391" s="158" t="s">
        <v>861</v>
      </c>
      <c r="G391" s="158" t="s">
        <v>96</v>
      </c>
      <c r="H391" s="97" t="s">
        <v>589</v>
      </c>
      <c r="I391" s="159">
        <v>3</v>
      </c>
      <c r="J391" s="159">
        <v>9</v>
      </c>
      <c r="K391" s="52">
        <v>0</v>
      </c>
      <c r="L391" s="153">
        <f>35999043-13350000</f>
        <v>22649043</v>
      </c>
      <c r="M391" s="158" t="s">
        <v>473</v>
      </c>
      <c r="N391" s="53" t="s">
        <v>95</v>
      </c>
      <c r="O391" s="51" t="s">
        <v>215</v>
      </c>
      <c r="P391" s="160" t="str">
        <f>IFERROR(VLOOKUP(C391,TD!$B$32:$F$36,2,0)," ")</f>
        <v>O230117</v>
      </c>
      <c r="Q391" s="160" t="str">
        <f>IFERROR(VLOOKUP(C391,TD!$B$32:$F$36,3,0)," ")</f>
        <v>4599</v>
      </c>
      <c r="R391" s="160">
        <f>IFERROR(VLOOKUP(C391,TD!$B$32:$F$36,4,0)," ")</f>
        <v>20240207</v>
      </c>
      <c r="S391" s="51" t="s">
        <v>179</v>
      </c>
      <c r="T391" s="160" t="str">
        <f>IFERROR(VLOOKUP(S391,TD!$J$33:$K$43,2,0)," ")</f>
        <v>Infraestructura Tecnológica   (Sistemas de Información y Tecnologia)</v>
      </c>
      <c r="U391" s="161" t="str">
        <f>CONCATENATE(S391,"-",T391)</f>
        <v>11-Infraestructura Tecnológica   (Sistemas de Información y Tecnologia)</v>
      </c>
      <c r="V391" s="51" t="s">
        <v>239</v>
      </c>
      <c r="W391" s="160" t="str">
        <f>IFERROR(VLOOKUP(V391,TD!$N$33:$O$45,2,0)," ")</f>
        <v>Servicios tecnológicos</v>
      </c>
      <c r="X391" s="161" t="str">
        <f>CONCATENATE(V391,"_",W391)</f>
        <v>007_Servicios tecnológicos</v>
      </c>
      <c r="Y391" s="161" t="str">
        <f>CONCATENATE(U391," ",X391)</f>
        <v>11-Infraestructura Tecnológica   (Sistemas de Información y Tecnologia) 007_Servicios tecnológicos</v>
      </c>
      <c r="Z391" s="160" t="str">
        <f>CONCATENATE(P391,Q391,R391,S391,V391)</f>
        <v>O23011745992024020711007</v>
      </c>
      <c r="AA391" s="160" t="str">
        <f>IFERROR(VLOOKUP(Y391,TD!$K$46:$L$64,2,0)," ")</f>
        <v>PM/0131/0111/45990070207</v>
      </c>
      <c r="AB391" s="53" t="s">
        <v>130</v>
      </c>
      <c r="AC391" s="162" t="s">
        <v>204</v>
      </c>
    </row>
    <row r="392" spans="2:29" s="28" customFormat="1" ht="99" customHeight="1" x14ac:dyDescent="0.35">
      <c r="B392" s="77">
        <v>20250406</v>
      </c>
      <c r="C392" s="50" t="s">
        <v>208</v>
      </c>
      <c r="D392" s="158" t="s">
        <v>162</v>
      </c>
      <c r="E392" s="51" t="s">
        <v>355</v>
      </c>
      <c r="F392" s="158" t="s">
        <v>590</v>
      </c>
      <c r="G392" s="158" t="s">
        <v>109</v>
      </c>
      <c r="H392" s="97">
        <v>43232505</v>
      </c>
      <c r="I392" s="159">
        <v>3</v>
      </c>
      <c r="J392" s="159">
        <v>9</v>
      </c>
      <c r="K392" s="52">
        <v>0</v>
      </c>
      <c r="L392" s="153">
        <v>200000000</v>
      </c>
      <c r="M392" s="158" t="s">
        <v>473</v>
      </c>
      <c r="N392" s="53" t="s">
        <v>95</v>
      </c>
      <c r="O392" s="51" t="s">
        <v>214</v>
      </c>
      <c r="P392" s="160" t="str">
        <f>IFERROR(VLOOKUP(C392,TD!$B$32:$F$36,2,0)," ")</f>
        <v>O230117</v>
      </c>
      <c r="Q392" s="160" t="str">
        <f>IFERROR(VLOOKUP(C392,TD!$B$32:$F$36,3,0)," ")</f>
        <v>4599</v>
      </c>
      <c r="R392" s="160">
        <f>IFERROR(VLOOKUP(C392,TD!$B$32:$F$36,4,0)," ")</f>
        <v>20240207</v>
      </c>
      <c r="S392" s="51" t="s">
        <v>179</v>
      </c>
      <c r="T392" s="160" t="str">
        <f>IFERROR(VLOOKUP(S392,TD!$J$33:$K$43,2,0)," ")</f>
        <v>Infraestructura Tecnológica   (Sistemas de Información y Tecnologia)</v>
      </c>
      <c r="U392" s="161" t="str">
        <f>CONCATENATE(S392,"-",T392)</f>
        <v>11-Infraestructura Tecnológica   (Sistemas de Información y Tecnologia)</v>
      </c>
      <c r="V392" s="51" t="s">
        <v>239</v>
      </c>
      <c r="W392" s="160" t="str">
        <f>IFERROR(VLOOKUP(V392,TD!$N$33:$O$45,2,0)," ")</f>
        <v>Servicios tecnológicos</v>
      </c>
      <c r="X392" s="161" t="str">
        <f>CONCATENATE(V392,"_",W392)</f>
        <v>007_Servicios tecnológicos</v>
      </c>
      <c r="Y392" s="161" t="str">
        <f>CONCATENATE(U392," ",X392)</f>
        <v>11-Infraestructura Tecnológica   (Sistemas de Información y Tecnologia) 007_Servicios tecnológicos</v>
      </c>
      <c r="Z392" s="160" t="str">
        <f>CONCATENATE(P392,Q392,R392,S392,V392)</f>
        <v>O23011745992024020711007</v>
      </c>
      <c r="AA392" s="160" t="str">
        <f>IFERROR(VLOOKUP(Y392,TD!$K$46:$L$64,2,0)," ")</f>
        <v>PM/0131/0111/45990070207</v>
      </c>
      <c r="AB392" s="53" t="s">
        <v>125</v>
      </c>
      <c r="AC392" s="162" t="s">
        <v>204</v>
      </c>
    </row>
    <row r="393" spans="2:29" s="28" customFormat="1" ht="99" customHeight="1" x14ac:dyDescent="0.35">
      <c r="B393" s="77">
        <v>20250407</v>
      </c>
      <c r="C393" s="50" t="s">
        <v>208</v>
      </c>
      <c r="D393" s="158" t="s">
        <v>162</v>
      </c>
      <c r="E393" s="51" t="s">
        <v>355</v>
      </c>
      <c r="F393" s="158" t="s">
        <v>862</v>
      </c>
      <c r="G393" s="158" t="s">
        <v>109</v>
      </c>
      <c r="H393" s="97">
        <v>43232505</v>
      </c>
      <c r="I393" s="159">
        <v>3</v>
      </c>
      <c r="J393" s="159">
        <v>9</v>
      </c>
      <c r="K393" s="52">
        <v>0</v>
      </c>
      <c r="L393" s="153">
        <v>36670568</v>
      </c>
      <c r="M393" s="158" t="s">
        <v>473</v>
      </c>
      <c r="N393" s="53" t="s">
        <v>95</v>
      </c>
      <c r="O393" s="51" t="s">
        <v>215</v>
      </c>
      <c r="P393" s="160" t="str">
        <f>IFERROR(VLOOKUP(C393,TD!$B$32:$F$36,2,0)," ")</f>
        <v>O230117</v>
      </c>
      <c r="Q393" s="160" t="str">
        <f>IFERROR(VLOOKUP(C393,TD!$B$32:$F$36,3,0)," ")</f>
        <v>4599</v>
      </c>
      <c r="R393" s="160">
        <f>IFERROR(VLOOKUP(C393,TD!$B$32:$F$36,4,0)," ")</f>
        <v>20240207</v>
      </c>
      <c r="S393" s="51" t="s">
        <v>179</v>
      </c>
      <c r="T393" s="160" t="str">
        <f>IFERROR(VLOOKUP(S393,TD!$J$33:$K$43,2,0)," ")</f>
        <v>Infraestructura Tecnológica   (Sistemas de Información y Tecnologia)</v>
      </c>
      <c r="U393" s="161" t="str">
        <f>CONCATENATE(S393,"-",T393)</f>
        <v>11-Infraestructura Tecnológica   (Sistemas de Información y Tecnologia)</v>
      </c>
      <c r="V393" s="51" t="s">
        <v>239</v>
      </c>
      <c r="W393" s="160" t="str">
        <f>IFERROR(VLOOKUP(V393,TD!$N$33:$O$45,2,0)," ")</f>
        <v>Servicios tecnológicos</v>
      </c>
      <c r="X393" s="161" t="str">
        <f>CONCATENATE(V393,"_",W393)</f>
        <v>007_Servicios tecnológicos</v>
      </c>
      <c r="Y393" s="161" t="str">
        <f>CONCATENATE(U393," ",X393)</f>
        <v>11-Infraestructura Tecnológica   (Sistemas de Información y Tecnologia) 007_Servicios tecnológicos</v>
      </c>
      <c r="Z393" s="160" t="str">
        <f>CONCATENATE(P393,Q393,R393,S393,V393)</f>
        <v>O23011745992024020711007</v>
      </c>
      <c r="AA393" s="160" t="str">
        <f>IFERROR(VLOOKUP(Y393,TD!$K$46:$L$64,2,0)," ")</f>
        <v>PM/0131/0111/45990070207</v>
      </c>
      <c r="AB393" s="53" t="s">
        <v>130</v>
      </c>
      <c r="AC393" s="162" t="s">
        <v>204</v>
      </c>
    </row>
    <row r="394" spans="2:29" s="28" customFormat="1" ht="99" customHeight="1" x14ac:dyDescent="0.35">
      <c r="B394" s="77">
        <v>20250408</v>
      </c>
      <c r="C394" s="50" t="s">
        <v>208</v>
      </c>
      <c r="D394" s="158" t="s">
        <v>162</v>
      </c>
      <c r="E394" s="51" t="s">
        <v>355</v>
      </c>
      <c r="F394" s="158" t="s">
        <v>863</v>
      </c>
      <c r="G394" s="158" t="s">
        <v>109</v>
      </c>
      <c r="H394" s="97">
        <v>81112100</v>
      </c>
      <c r="I394" s="159">
        <v>3</v>
      </c>
      <c r="J394" s="159">
        <v>9</v>
      </c>
      <c r="K394" s="52">
        <v>0</v>
      </c>
      <c r="L394" s="153">
        <v>80000000</v>
      </c>
      <c r="M394" s="158" t="s">
        <v>473</v>
      </c>
      <c r="N394" s="53" t="s">
        <v>95</v>
      </c>
      <c r="O394" s="51" t="s">
        <v>214</v>
      </c>
      <c r="P394" s="160" t="str">
        <f>IFERROR(VLOOKUP(C394,TD!$B$32:$F$36,2,0)," ")</f>
        <v>O230117</v>
      </c>
      <c r="Q394" s="160" t="str">
        <f>IFERROR(VLOOKUP(C394,TD!$B$32:$F$36,3,0)," ")</f>
        <v>4599</v>
      </c>
      <c r="R394" s="160">
        <f>IFERROR(VLOOKUP(C394,TD!$B$32:$F$36,4,0)," ")</f>
        <v>20240207</v>
      </c>
      <c r="S394" s="51" t="s">
        <v>179</v>
      </c>
      <c r="T394" s="160" t="str">
        <f>IFERROR(VLOOKUP(S394,TD!$J$33:$K$43,2,0)," ")</f>
        <v>Infraestructura Tecnológica   (Sistemas de Información y Tecnologia)</v>
      </c>
      <c r="U394" s="161" t="str">
        <f>CONCATENATE(S394,"-",T394)</f>
        <v>11-Infraestructura Tecnológica   (Sistemas de Información y Tecnologia)</v>
      </c>
      <c r="V394" s="51" t="s">
        <v>239</v>
      </c>
      <c r="W394" s="160" t="str">
        <f>IFERROR(VLOOKUP(V394,TD!$N$33:$O$45,2,0)," ")</f>
        <v>Servicios tecnológicos</v>
      </c>
      <c r="X394" s="161" t="str">
        <f>CONCATENATE(V394,"_",W394)</f>
        <v>007_Servicios tecnológicos</v>
      </c>
      <c r="Y394" s="161" t="str">
        <f>CONCATENATE(U394," ",X394)</f>
        <v>11-Infraestructura Tecnológica   (Sistemas de Información y Tecnologia) 007_Servicios tecnológicos</v>
      </c>
      <c r="Z394" s="160" t="str">
        <f>CONCATENATE(P394,Q394,R394,S394,V394)</f>
        <v>O23011745992024020711007</v>
      </c>
      <c r="AA394" s="160" t="str">
        <f>IFERROR(VLOOKUP(Y394,TD!$K$46:$L$64,2,0)," ")</f>
        <v>PM/0131/0111/45990070207</v>
      </c>
      <c r="AB394" s="53" t="s">
        <v>125</v>
      </c>
      <c r="AC394" s="162" t="s">
        <v>204</v>
      </c>
    </row>
    <row r="395" spans="2:29" s="28" customFormat="1" ht="99" customHeight="1" x14ac:dyDescent="0.35">
      <c r="B395" s="77">
        <v>20250409</v>
      </c>
      <c r="C395" s="50" t="s">
        <v>208</v>
      </c>
      <c r="D395" s="158" t="s">
        <v>162</v>
      </c>
      <c r="E395" s="51" t="s">
        <v>355</v>
      </c>
      <c r="F395" s="158" t="s">
        <v>591</v>
      </c>
      <c r="G395" s="158" t="s">
        <v>109</v>
      </c>
      <c r="H395" s="97">
        <v>43233700</v>
      </c>
      <c r="I395" s="159">
        <v>3</v>
      </c>
      <c r="J395" s="159">
        <v>9</v>
      </c>
      <c r="K395" s="52">
        <v>0</v>
      </c>
      <c r="L395" s="153">
        <v>400000000</v>
      </c>
      <c r="M395" s="158" t="s">
        <v>473</v>
      </c>
      <c r="N395" s="53" t="s">
        <v>90</v>
      </c>
      <c r="O395" s="51" t="s">
        <v>215</v>
      </c>
      <c r="P395" s="160" t="str">
        <f>IFERROR(VLOOKUP(C395,TD!$B$32:$F$36,2,0)," ")</f>
        <v>O230117</v>
      </c>
      <c r="Q395" s="160" t="str">
        <f>IFERROR(VLOOKUP(C395,TD!$B$32:$F$36,3,0)," ")</f>
        <v>4599</v>
      </c>
      <c r="R395" s="160">
        <f>IFERROR(VLOOKUP(C395,TD!$B$32:$F$36,4,0)," ")</f>
        <v>20240207</v>
      </c>
      <c r="S395" s="51" t="s">
        <v>179</v>
      </c>
      <c r="T395" s="160" t="str">
        <f>IFERROR(VLOOKUP(S395,TD!$J$33:$K$43,2,0)," ")</f>
        <v>Infraestructura Tecnológica   (Sistemas de Información y Tecnologia)</v>
      </c>
      <c r="U395" s="161" t="str">
        <f>CONCATENATE(S395,"-",T395)</f>
        <v>11-Infraestructura Tecnológica   (Sistemas de Información y Tecnologia)</v>
      </c>
      <c r="V395" s="51" t="s">
        <v>239</v>
      </c>
      <c r="W395" s="160" t="str">
        <f>IFERROR(VLOOKUP(V395,TD!$N$33:$O$45,2,0)," ")</f>
        <v>Servicios tecnológicos</v>
      </c>
      <c r="X395" s="161" t="str">
        <f>CONCATENATE(V395,"_",W395)</f>
        <v>007_Servicios tecnológicos</v>
      </c>
      <c r="Y395" s="161" t="str">
        <f>CONCATENATE(U395," ",X395)</f>
        <v>11-Infraestructura Tecnológica   (Sistemas de Información y Tecnologia) 007_Servicios tecnológicos</v>
      </c>
      <c r="Z395" s="160" t="str">
        <f>CONCATENATE(P395,Q395,R395,S395,V395)</f>
        <v>O23011745992024020711007</v>
      </c>
      <c r="AA395" s="160" t="str">
        <f>IFERROR(VLOOKUP(Y395,TD!$K$46:$L$64,2,0)," ")</f>
        <v>PM/0131/0111/45990070207</v>
      </c>
      <c r="AB395" s="53" t="s">
        <v>130</v>
      </c>
      <c r="AC395" s="162" t="s">
        <v>204</v>
      </c>
    </row>
    <row r="396" spans="2:29" s="28" customFormat="1" ht="99" customHeight="1" x14ac:dyDescent="0.35">
      <c r="B396" s="197">
        <v>20250410</v>
      </c>
      <c r="C396" s="187" t="s">
        <v>209</v>
      </c>
      <c r="D396" s="188" t="s">
        <v>166</v>
      </c>
      <c r="E396" s="189" t="s">
        <v>592</v>
      </c>
      <c r="F396" s="188" t="s">
        <v>645</v>
      </c>
      <c r="G396" s="188" t="s">
        <v>137</v>
      </c>
      <c r="H396" s="190" t="s">
        <v>406</v>
      </c>
      <c r="I396" s="191" t="s">
        <v>406</v>
      </c>
      <c r="J396" s="191" t="s">
        <v>406</v>
      </c>
      <c r="K396" s="192" t="s">
        <v>406</v>
      </c>
      <c r="L396" s="193">
        <f>600049334-224796992</f>
        <v>375252342</v>
      </c>
      <c r="M396" s="188" t="s">
        <v>173</v>
      </c>
      <c r="N396" s="194" t="s">
        <v>646</v>
      </c>
      <c r="O396" s="189" t="s">
        <v>227</v>
      </c>
      <c r="P396" s="195" t="str">
        <f>IFERROR(VLOOKUP(C396,TD!$B$32:$F$36,2,0)," ")</f>
        <v>O230117</v>
      </c>
      <c r="Q396" s="195" t="str">
        <f>IFERROR(VLOOKUP(C396,TD!$B$32:$F$36,3,0)," ")</f>
        <v>4503</v>
      </c>
      <c r="R396" s="195">
        <f>IFERROR(VLOOKUP(C396,TD!$B$32:$F$36,4,0)," ")</f>
        <v>20240255</v>
      </c>
      <c r="S396" s="189" t="s">
        <v>185</v>
      </c>
      <c r="T396" s="195" t="str">
        <f>IFERROR(VLOOKUP(S396,TD!$J$33:$K$43,2,0)," ")</f>
        <v>Infraestructura física, mantenimiento y dotación (Sedes construidas, mantenidas reforzadas)</v>
      </c>
      <c r="U396" s="161" t="str">
        <f>CONCATENATE(S396,"-",T396)</f>
        <v>08-Infraestructura física, mantenimiento y dotación (Sedes construidas, mantenidas reforzadas)</v>
      </c>
      <c r="V396" s="189" t="s">
        <v>236</v>
      </c>
      <c r="W396" s="195" t="str">
        <f>IFERROR(VLOOKUP(V396,TD!$N$33:$O$45,2,0)," ")</f>
        <v>Estaciones de bomberos adecuadas</v>
      </c>
      <c r="X396" s="161" t="str">
        <f>CONCATENATE(V396,"_",W396)</f>
        <v>014_Estaciones de bomberos adecuadas</v>
      </c>
      <c r="Y396" s="161" t="str">
        <f>CONCATENATE(U396," ",X396)</f>
        <v>08-Infraestructura física, mantenimiento y dotación (Sedes construidas, mantenidas reforzadas) 014_Estaciones de bomberos adecuadas</v>
      </c>
      <c r="Z396" s="195" t="str">
        <f>CONCATENATE(P396,Q396,R396,S396,V396)</f>
        <v>O23011745032024025508014</v>
      </c>
      <c r="AA396" s="195" t="str">
        <f>IFERROR(VLOOKUP(Y396,TD!$K$46:$L$64,2,0)," ")</f>
        <v>PM/0131/0108/45030140255</v>
      </c>
      <c r="AB396" s="194" t="s">
        <v>711</v>
      </c>
      <c r="AC396" s="196" t="s">
        <v>204</v>
      </c>
    </row>
    <row r="397" spans="2:29" s="28" customFormat="1" ht="99" customHeight="1" x14ac:dyDescent="0.35">
      <c r="B397" s="77">
        <v>20250411</v>
      </c>
      <c r="C397" s="50" t="s">
        <v>208</v>
      </c>
      <c r="D397" s="158" t="s">
        <v>166</v>
      </c>
      <c r="E397" s="51" t="s">
        <v>592</v>
      </c>
      <c r="F397" s="158" t="s">
        <v>593</v>
      </c>
      <c r="G397" s="158" t="s">
        <v>86</v>
      </c>
      <c r="H397" s="97" t="s">
        <v>594</v>
      </c>
      <c r="I397" s="159">
        <v>2</v>
      </c>
      <c r="J397" s="159">
        <v>11</v>
      </c>
      <c r="K397" s="52">
        <v>0</v>
      </c>
      <c r="L397" s="153">
        <v>400000000</v>
      </c>
      <c r="M397" s="158" t="s">
        <v>473</v>
      </c>
      <c r="N397" s="53" t="s">
        <v>647</v>
      </c>
      <c r="O397" s="51" t="s">
        <v>218</v>
      </c>
      <c r="P397" s="160" t="str">
        <f>IFERROR(VLOOKUP(C397,TD!$B$32:$F$36,2,0)," ")</f>
        <v>O230117</v>
      </c>
      <c r="Q397" s="160" t="str">
        <f>IFERROR(VLOOKUP(C397,TD!$B$32:$F$36,3,0)," ")</f>
        <v>4599</v>
      </c>
      <c r="R397" s="160">
        <f>IFERROR(VLOOKUP(C397,TD!$B$32:$F$36,4,0)," ")</f>
        <v>20240207</v>
      </c>
      <c r="S397" s="51" t="s">
        <v>185</v>
      </c>
      <c r="T397" s="160" t="str">
        <f>IFERROR(VLOOKUP(S397,TD!$J$33:$K$43,2,0)," ")</f>
        <v>Infraestructura física, mantenimiento y dotación (Sedes construidas, mantenidas reforzadas)</v>
      </c>
      <c r="U397" s="161" t="str">
        <f>CONCATENATE(S397,"-",T397)</f>
        <v>08-Infraestructura física, mantenimiento y dotación (Sedes construidas, mantenidas reforzadas)</v>
      </c>
      <c r="V397" s="51" t="s">
        <v>238</v>
      </c>
      <c r="W397" s="160" t="str">
        <f>IFERROR(VLOOKUP(V397,TD!$N$33:$O$45,2,0)," ")</f>
        <v>Sedes mantenidas</v>
      </c>
      <c r="X397" s="161" t="str">
        <f>CONCATENATE(V397,"_",W397)</f>
        <v>016_Sedes mantenidas</v>
      </c>
      <c r="Y397" s="161" t="str">
        <f>CONCATENATE(U397," ",X397)</f>
        <v>08-Infraestructura física, mantenimiento y dotación (Sedes construidas, mantenidas reforzadas) 016_Sedes mantenidas</v>
      </c>
      <c r="Z397" s="160" t="str">
        <f>CONCATENATE(P397,Q397,R397,S397,V397)</f>
        <v>O23011745992024020708016</v>
      </c>
      <c r="AA397" s="160" t="str">
        <f>IFERROR(VLOOKUP(Y397,TD!$K$46:$L$64,2,0)," ")</f>
        <v>PM/0131/0108/45990160207</v>
      </c>
      <c r="AB397" s="53" t="s">
        <v>712</v>
      </c>
      <c r="AC397" s="162" t="s">
        <v>204</v>
      </c>
    </row>
    <row r="398" spans="2:29" s="28" customFormat="1" ht="99" customHeight="1" x14ac:dyDescent="0.35">
      <c r="B398" s="77">
        <v>20250412</v>
      </c>
      <c r="C398" s="50" t="s">
        <v>208</v>
      </c>
      <c r="D398" s="158" t="s">
        <v>166</v>
      </c>
      <c r="E398" s="51" t="s">
        <v>592</v>
      </c>
      <c r="F398" s="158" t="s">
        <v>595</v>
      </c>
      <c r="G398" s="158" t="s">
        <v>156</v>
      </c>
      <c r="H398" s="97" t="s">
        <v>648</v>
      </c>
      <c r="I398" s="159">
        <v>2</v>
      </c>
      <c r="J398" s="159">
        <v>11</v>
      </c>
      <c r="K398" s="52">
        <v>0</v>
      </c>
      <c r="L398" s="153">
        <f>33534424-3975472</f>
        <v>29558952</v>
      </c>
      <c r="M398" s="158" t="s">
        <v>473</v>
      </c>
      <c r="N398" s="53" t="s">
        <v>649</v>
      </c>
      <c r="O398" s="51" t="s">
        <v>219</v>
      </c>
      <c r="P398" s="160" t="str">
        <f>IFERROR(VLOOKUP(C398,TD!$B$32:$F$36,2,0)," ")</f>
        <v>O230117</v>
      </c>
      <c r="Q398" s="160" t="str">
        <f>IFERROR(VLOOKUP(C398,TD!$B$32:$F$36,3,0)," ")</f>
        <v>4599</v>
      </c>
      <c r="R398" s="160">
        <f>IFERROR(VLOOKUP(C398,TD!$B$32:$F$36,4,0)," ")</f>
        <v>20240207</v>
      </c>
      <c r="S398" s="51" t="s">
        <v>185</v>
      </c>
      <c r="T398" s="160" t="str">
        <f>IFERROR(VLOOKUP(S398,TD!$J$33:$K$43,2,0)," ")</f>
        <v>Infraestructura física, mantenimiento y dotación (Sedes construidas, mantenidas reforzadas)</v>
      </c>
      <c r="U398" s="161" t="str">
        <f>CONCATENATE(S398,"-",T398)</f>
        <v>08-Infraestructura física, mantenimiento y dotación (Sedes construidas, mantenidas reforzadas)</v>
      </c>
      <c r="V398" s="51" t="s">
        <v>238</v>
      </c>
      <c r="W398" s="160" t="str">
        <f>IFERROR(VLOOKUP(V398,TD!$N$33:$O$45,2,0)," ")</f>
        <v>Sedes mantenidas</v>
      </c>
      <c r="X398" s="161" t="str">
        <f>CONCATENATE(V398,"_",W398)</f>
        <v>016_Sedes mantenidas</v>
      </c>
      <c r="Y398" s="161" t="str">
        <f>CONCATENATE(U398," ",X398)</f>
        <v>08-Infraestructura física, mantenimiento y dotación (Sedes construidas, mantenidas reforzadas) 016_Sedes mantenidas</v>
      </c>
      <c r="Z398" s="160" t="str">
        <f>CONCATENATE(P398,Q398,R398,S398,V398)</f>
        <v>O23011745992024020708016</v>
      </c>
      <c r="AA398" s="160" t="str">
        <f>IFERROR(VLOOKUP(Y398,TD!$K$46:$L$64,2,0)," ")</f>
        <v>PM/0131/0108/45990160207</v>
      </c>
      <c r="AB398" s="53" t="s">
        <v>138</v>
      </c>
      <c r="AC398" s="162" t="s">
        <v>204</v>
      </c>
    </row>
    <row r="399" spans="2:29" s="28" customFormat="1" ht="99" customHeight="1" x14ac:dyDescent="0.35">
      <c r="B399" s="152">
        <v>20250413</v>
      </c>
      <c r="C399" s="164" t="s">
        <v>208</v>
      </c>
      <c r="D399" s="165" t="s">
        <v>166</v>
      </c>
      <c r="E399" s="166" t="s">
        <v>592</v>
      </c>
      <c r="F399" s="165" t="s">
        <v>596</v>
      </c>
      <c r="G399" s="165" t="s">
        <v>155</v>
      </c>
      <c r="H399" s="167" t="s">
        <v>648</v>
      </c>
      <c r="I399" s="163">
        <v>2</v>
      </c>
      <c r="J399" s="163">
        <v>11</v>
      </c>
      <c r="K399" s="151">
        <v>0</v>
      </c>
      <c r="L399" s="154">
        <v>63809802</v>
      </c>
      <c r="M399" s="165" t="s">
        <v>473</v>
      </c>
      <c r="N399" s="150" t="s">
        <v>649</v>
      </c>
      <c r="O399" s="166" t="s">
        <v>219</v>
      </c>
      <c r="P399" s="168" t="str">
        <f>IFERROR(VLOOKUP(C399,TD!$B$32:$F$36,2,0)," ")</f>
        <v>O230117</v>
      </c>
      <c r="Q399" s="168" t="str">
        <f>IFERROR(VLOOKUP(C399,TD!$B$32:$F$36,3,0)," ")</f>
        <v>4599</v>
      </c>
      <c r="R399" s="168">
        <f>IFERROR(VLOOKUP(C399,TD!$B$32:$F$36,4,0)," ")</f>
        <v>20240207</v>
      </c>
      <c r="S399" s="166" t="s">
        <v>185</v>
      </c>
      <c r="T399" s="168" t="str">
        <f>IFERROR(VLOOKUP(S399,TD!$J$33:$K$43,2,0)," ")</f>
        <v>Infraestructura física, mantenimiento y dotación (Sedes construidas, mantenidas reforzadas)</v>
      </c>
      <c r="U399" s="161" t="str">
        <f>CONCATENATE(S399,"-",T399)</f>
        <v>08-Infraestructura física, mantenimiento y dotación (Sedes construidas, mantenidas reforzadas)</v>
      </c>
      <c r="V399" s="166" t="s">
        <v>238</v>
      </c>
      <c r="W399" s="168" t="str">
        <f>IFERROR(VLOOKUP(V399,TD!$N$33:$O$45,2,0)," ")</f>
        <v>Sedes mantenidas</v>
      </c>
      <c r="X399" s="161" t="str">
        <f>CONCATENATE(V399,"_",W399)</f>
        <v>016_Sedes mantenidas</v>
      </c>
      <c r="Y399" s="161" t="str">
        <f>CONCATENATE(U399," ",X399)</f>
        <v>08-Infraestructura física, mantenimiento y dotación (Sedes construidas, mantenidas reforzadas) 016_Sedes mantenidas</v>
      </c>
      <c r="Z399" s="168" t="str">
        <f>CONCATENATE(P399,Q399,R399,S399,V399)</f>
        <v>O23011745992024020708016</v>
      </c>
      <c r="AA399" s="168" t="str">
        <f>IFERROR(VLOOKUP(Y399,TD!$K$46:$L$64,2,0)," ")</f>
        <v>PM/0131/0108/45990160207</v>
      </c>
      <c r="AB399" s="150" t="s">
        <v>138</v>
      </c>
      <c r="AC399" s="169" t="s">
        <v>204</v>
      </c>
    </row>
    <row r="400" spans="2:29" s="28" customFormat="1" ht="99" customHeight="1" x14ac:dyDescent="0.35">
      <c r="B400" s="77">
        <v>20250414</v>
      </c>
      <c r="C400" s="50" t="s">
        <v>208</v>
      </c>
      <c r="D400" s="158" t="s">
        <v>166</v>
      </c>
      <c r="E400" s="51" t="s">
        <v>592</v>
      </c>
      <c r="F400" s="158" t="s">
        <v>595</v>
      </c>
      <c r="G400" s="158" t="s">
        <v>156</v>
      </c>
      <c r="H400" s="97" t="s">
        <v>648</v>
      </c>
      <c r="I400" s="159">
        <v>2</v>
      </c>
      <c r="J400" s="159">
        <v>11</v>
      </c>
      <c r="K400" s="52">
        <v>0</v>
      </c>
      <c r="L400" s="153">
        <f>33534424-691144</f>
        <v>32843280</v>
      </c>
      <c r="M400" s="158" t="s">
        <v>473</v>
      </c>
      <c r="N400" s="53" t="s">
        <v>649</v>
      </c>
      <c r="O400" s="51" t="s">
        <v>219</v>
      </c>
      <c r="P400" s="160" t="str">
        <f>IFERROR(VLOOKUP(C400,TD!$B$32:$F$36,2,0)," ")</f>
        <v>O230117</v>
      </c>
      <c r="Q400" s="160" t="str">
        <f>IFERROR(VLOOKUP(C400,TD!$B$32:$F$36,3,0)," ")</f>
        <v>4599</v>
      </c>
      <c r="R400" s="160">
        <f>IFERROR(VLOOKUP(C400,TD!$B$32:$F$36,4,0)," ")</f>
        <v>20240207</v>
      </c>
      <c r="S400" s="51" t="s">
        <v>185</v>
      </c>
      <c r="T400" s="160" t="str">
        <f>IFERROR(VLOOKUP(S400,TD!$J$33:$K$43,2,0)," ")</f>
        <v>Infraestructura física, mantenimiento y dotación (Sedes construidas, mantenidas reforzadas)</v>
      </c>
      <c r="U400" s="161" t="str">
        <f>CONCATENATE(S400,"-",T400)</f>
        <v>08-Infraestructura física, mantenimiento y dotación (Sedes construidas, mantenidas reforzadas)</v>
      </c>
      <c r="V400" s="51" t="s">
        <v>238</v>
      </c>
      <c r="W400" s="160" t="str">
        <f>IFERROR(VLOOKUP(V400,TD!$N$33:$O$45,2,0)," ")</f>
        <v>Sedes mantenidas</v>
      </c>
      <c r="X400" s="161" t="str">
        <f>CONCATENATE(V400,"_",W400)</f>
        <v>016_Sedes mantenidas</v>
      </c>
      <c r="Y400" s="161" t="str">
        <f>CONCATENATE(U400," ",X400)</f>
        <v>08-Infraestructura física, mantenimiento y dotación (Sedes construidas, mantenidas reforzadas) 016_Sedes mantenidas</v>
      </c>
      <c r="Z400" s="160" t="str">
        <f>CONCATENATE(P400,Q400,R400,S400,V400)</f>
        <v>O23011745992024020708016</v>
      </c>
      <c r="AA400" s="160" t="str">
        <f>IFERROR(VLOOKUP(Y400,TD!$K$46:$L$64,2,0)," ")</f>
        <v>PM/0131/0108/45990160207</v>
      </c>
      <c r="AB400" s="53" t="s">
        <v>138</v>
      </c>
      <c r="AC400" s="162" t="s">
        <v>204</v>
      </c>
    </row>
    <row r="401" spans="2:29" s="28" customFormat="1" ht="99" customHeight="1" x14ac:dyDescent="0.35">
      <c r="B401" s="77">
        <v>20250415</v>
      </c>
      <c r="C401" s="50" t="s">
        <v>208</v>
      </c>
      <c r="D401" s="158" t="s">
        <v>166</v>
      </c>
      <c r="E401" s="51" t="s">
        <v>592</v>
      </c>
      <c r="F401" s="158" t="s">
        <v>595</v>
      </c>
      <c r="G401" s="158" t="s">
        <v>156</v>
      </c>
      <c r="H401" s="97" t="s">
        <v>648</v>
      </c>
      <c r="I401" s="159">
        <v>2</v>
      </c>
      <c r="J401" s="159">
        <v>11</v>
      </c>
      <c r="K401" s="52">
        <v>0</v>
      </c>
      <c r="L401" s="153">
        <f>33534424-691144</f>
        <v>32843280</v>
      </c>
      <c r="M401" s="158" t="s">
        <v>473</v>
      </c>
      <c r="N401" s="53" t="s">
        <v>649</v>
      </c>
      <c r="O401" s="51" t="s">
        <v>219</v>
      </c>
      <c r="P401" s="160" t="str">
        <f>IFERROR(VLOOKUP(C401,TD!$B$32:$F$36,2,0)," ")</f>
        <v>O230117</v>
      </c>
      <c r="Q401" s="160" t="str">
        <f>IFERROR(VLOOKUP(C401,TD!$B$32:$F$36,3,0)," ")</f>
        <v>4599</v>
      </c>
      <c r="R401" s="160">
        <f>IFERROR(VLOOKUP(C401,TD!$B$32:$F$36,4,0)," ")</f>
        <v>20240207</v>
      </c>
      <c r="S401" s="51" t="s">
        <v>185</v>
      </c>
      <c r="T401" s="160" t="str">
        <f>IFERROR(VLOOKUP(S401,TD!$J$33:$K$43,2,0)," ")</f>
        <v>Infraestructura física, mantenimiento y dotación (Sedes construidas, mantenidas reforzadas)</v>
      </c>
      <c r="U401" s="161" t="str">
        <f>CONCATENATE(S401,"-",T401)</f>
        <v>08-Infraestructura física, mantenimiento y dotación (Sedes construidas, mantenidas reforzadas)</v>
      </c>
      <c r="V401" s="51" t="s">
        <v>238</v>
      </c>
      <c r="W401" s="160" t="str">
        <f>IFERROR(VLOOKUP(V401,TD!$N$33:$O$45,2,0)," ")</f>
        <v>Sedes mantenidas</v>
      </c>
      <c r="X401" s="161" t="str">
        <f>CONCATENATE(V401,"_",W401)</f>
        <v>016_Sedes mantenidas</v>
      </c>
      <c r="Y401" s="161" t="str">
        <f>CONCATENATE(U401," ",X401)</f>
        <v>08-Infraestructura física, mantenimiento y dotación (Sedes construidas, mantenidas reforzadas) 016_Sedes mantenidas</v>
      </c>
      <c r="Z401" s="160" t="str">
        <f>CONCATENATE(P401,Q401,R401,S401,V401)</f>
        <v>O23011745992024020708016</v>
      </c>
      <c r="AA401" s="160" t="str">
        <f>IFERROR(VLOOKUP(Y401,TD!$K$46:$L$64,2,0)," ")</f>
        <v>PM/0131/0108/45990160207</v>
      </c>
      <c r="AB401" s="53" t="s">
        <v>138</v>
      </c>
      <c r="AC401" s="162" t="s">
        <v>204</v>
      </c>
    </row>
    <row r="402" spans="2:29" s="28" customFormat="1" ht="99" customHeight="1" x14ac:dyDescent="0.35">
      <c r="B402" s="77">
        <v>20250416</v>
      </c>
      <c r="C402" s="50" t="s">
        <v>208</v>
      </c>
      <c r="D402" s="158" t="s">
        <v>166</v>
      </c>
      <c r="E402" s="51" t="s">
        <v>592</v>
      </c>
      <c r="F402" s="158" t="s">
        <v>595</v>
      </c>
      <c r="G402" s="158" t="s">
        <v>156</v>
      </c>
      <c r="H402" s="97" t="s">
        <v>648</v>
      </c>
      <c r="I402" s="159">
        <v>2</v>
      </c>
      <c r="J402" s="159">
        <v>11</v>
      </c>
      <c r="K402" s="52">
        <v>0</v>
      </c>
      <c r="L402" s="153">
        <f>33534424-691144</f>
        <v>32843280</v>
      </c>
      <c r="M402" s="158" t="s">
        <v>473</v>
      </c>
      <c r="N402" s="53" t="s">
        <v>649</v>
      </c>
      <c r="O402" s="51" t="s">
        <v>219</v>
      </c>
      <c r="P402" s="160" t="str">
        <f>IFERROR(VLOOKUP(C402,TD!$B$32:$F$36,2,0)," ")</f>
        <v>O230117</v>
      </c>
      <c r="Q402" s="160" t="str">
        <f>IFERROR(VLOOKUP(C402,TD!$B$32:$F$36,3,0)," ")</f>
        <v>4599</v>
      </c>
      <c r="R402" s="160">
        <f>IFERROR(VLOOKUP(C402,TD!$B$32:$F$36,4,0)," ")</f>
        <v>20240207</v>
      </c>
      <c r="S402" s="51" t="s">
        <v>185</v>
      </c>
      <c r="T402" s="160" t="str">
        <f>IFERROR(VLOOKUP(S402,TD!$J$33:$K$43,2,0)," ")</f>
        <v>Infraestructura física, mantenimiento y dotación (Sedes construidas, mantenidas reforzadas)</v>
      </c>
      <c r="U402" s="161" t="str">
        <f>CONCATENATE(S402,"-",T402)</f>
        <v>08-Infraestructura física, mantenimiento y dotación (Sedes construidas, mantenidas reforzadas)</v>
      </c>
      <c r="V402" s="51" t="s">
        <v>238</v>
      </c>
      <c r="W402" s="160" t="str">
        <f>IFERROR(VLOOKUP(V402,TD!$N$33:$O$45,2,0)," ")</f>
        <v>Sedes mantenidas</v>
      </c>
      <c r="X402" s="161" t="str">
        <f>CONCATENATE(V402,"_",W402)</f>
        <v>016_Sedes mantenidas</v>
      </c>
      <c r="Y402" s="161" t="str">
        <f>CONCATENATE(U402," ",X402)</f>
        <v>08-Infraestructura física, mantenimiento y dotación (Sedes construidas, mantenidas reforzadas) 016_Sedes mantenidas</v>
      </c>
      <c r="Z402" s="160" t="str">
        <f>CONCATENATE(P402,Q402,R402,S402,V402)</f>
        <v>O23011745992024020708016</v>
      </c>
      <c r="AA402" s="160" t="str">
        <f>IFERROR(VLOOKUP(Y402,TD!$K$46:$L$64,2,0)," ")</f>
        <v>PM/0131/0108/45990160207</v>
      </c>
      <c r="AB402" s="53" t="s">
        <v>138</v>
      </c>
      <c r="AC402" s="162" t="s">
        <v>204</v>
      </c>
    </row>
    <row r="403" spans="2:29" s="28" customFormat="1" ht="99" customHeight="1" x14ac:dyDescent="0.35">
      <c r="B403" s="77">
        <v>20250417</v>
      </c>
      <c r="C403" s="50" t="s">
        <v>208</v>
      </c>
      <c r="D403" s="158" t="s">
        <v>166</v>
      </c>
      <c r="E403" s="51" t="s">
        <v>592</v>
      </c>
      <c r="F403" s="158" t="s">
        <v>595</v>
      </c>
      <c r="G403" s="158" t="s">
        <v>156</v>
      </c>
      <c r="H403" s="97" t="s">
        <v>648</v>
      </c>
      <c r="I403" s="159">
        <v>2</v>
      </c>
      <c r="J403" s="159">
        <v>11</v>
      </c>
      <c r="K403" s="52">
        <v>0</v>
      </c>
      <c r="L403" s="153">
        <f>33534424-691144</f>
        <v>32843280</v>
      </c>
      <c r="M403" s="158" t="s">
        <v>473</v>
      </c>
      <c r="N403" s="53" t="s">
        <v>649</v>
      </c>
      <c r="O403" s="51" t="s">
        <v>219</v>
      </c>
      <c r="P403" s="160" t="str">
        <f>IFERROR(VLOOKUP(C403,TD!$B$32:$F$36,2,0)," ")</f>
        <v>O230117</v>
      </c>
      <c r="Q403" s="160" t="str">
        <f>IFERROR(VLOOKUP(C403,TD!$B$32:$F$36,3,0)," ")</f>
        <v>4599</v>
      </c>
      <c r="R403" s="160">
        <f>IFERROR(VLOOKUP(C403,TD!$B$32:$F$36,4,0)," ")</f>
        <v>20240207</v>
      </c>
      <c r="S403" s="51" t="s">
        <v>185</v>
      </c>
      <c r="T403" s="160" t="str">
        <f>IFERROR(VLOOKUP(S403,TD!$J$33:$K$43,2,0)," ")</f>
        <v>Infraestructura física, mantenimiento y dotación (Sedes construidas, mantenidas reforzadas)</v>
      </c>
      <c r="U403" s="161" t="str">
        <f>CONCATENATE(S403,"-",T403)</f>
        <v>08-Infraestructura física, mantenimiento y dotación (Sedes construidas, mantenidas reforzadas)</v>
      </c>
      <c r="V403" s="51" t="s">
        <v>238</v>
      </c>
      <c r="W403" s="160" t="str">
        <f>IFERROR(VLOOKUP(V403,TD!$N$33:$O$45,2,0)," ")</f>
        <v>Sedes mantenidas</v>
      </c>
      <c r="X403" s="161" t="str">
        <f>CONCATENATE(V403,"_",W403)</f>
        <v>016_Sedes mantenidas</v>
      </c>
      <c r="Y403" s="161" t="str">
        <f>CONCATENATE(U403," ",X403)</f>
        <v>08-Infraestructura física, mantenimiento y dotación (Sedes construidas, mantenidas reforzadas) 016_Sedes mantenidas</v>
      </c>
      <c r="Z403" s="160" t="str">
        <f>CONCATENATE(P403,Q403,R403,S403,V403)</f>
        <v>O23011745992024020708016</v>
      </c>
      <c r="AA403" s="160" t="str">
        <f>IFERROR(VLOOKUP(Y403,TD!$K$46:$L$64,2,0)," ")</f>
        <v>PM/0131/0108/45990160207</v>
      </c>
      <c r="AB403" s="53" t="s">
        <v>138</v>
      </c>
      <c r="AC403" s="162" t="s">
        <v>204</v>
      </c>
    </row>
    <row r="404" spans="2:29" s="28" customFormat="1" ht="99" customHeight="1" x14ac:dyDescent="0.35">
      <c r="B404" s="77">
        <v>20250418</v>
      </c>
      <c r="C404" s="50" t="s">
        <v>208</v>
      </c>
      <c r="D404" s="158" t="s">
        <v>166</v>
      </c>
      <c r="E404" s="51" t="s">
        <v>592</v>
      </c>
      <c r="F404" s="158" t="s">
        <v>595</v>
      </c>
      <c r="G404" s="158" t="s">
        <v>156</v>
      </c>
      <c r="H404" s="97" t="s">
        <v>648</v>
      </c>
      <c r="I404" s="159">
        <v>2</v>
      </c>
      <c r="J404" s="159">
        <v>11</v>
      </c>
      <c r="K404" s="52">
        <v>0</v>
      </c>
      <c r="L404" s="153">
        <f>33534424-691144</f>
        <v>32843280</v>
      </c>
      <c r="M404" s="158" t="s">
        <v>473</v>
      </c>
      <c r="N404" s="53" t="s">
        <v>649</v>
      </c>
      <c r="O404" s="51" t="s">
        <v>219</v>
      </c>
      <c r="P404" s="160" t="str">
        <f>IFERROR(VLOOKUP(C404,TD!$B$32:$F$36,2,0)," ")</f>
        <v>O230117</v>
      </c>
      <c r="Q404" s="160" t="str">
        <f>IFERROR(VLOOKUP(C404,TD!$B$32:$F$36,3,0)," ")</f>
        <v>4599</v>
      </c>
      <c r="R404" s="160">
        <f>IFERROR(VLOOKUP(C404,TD!$B$32:$F$36,4,0)," ")</f>
        <v>20240207</v>
      </c>
      <c r="S404" s="51" t="s">
        <v>185</v>
      </c>
      <c r="T404" s="160" t="str">
        <f>IFERROR(VLOOKUP(S404,TD!$J$33:$K$43,2,0)," ")</f>
        <v>Infraestructura física, mantenimiento y dotación (Sedes construidas, mantenidas reforzadas)</v>
      </c>
      <c r="U404" s="161" t="str">
        <f>CONCATENATE(S404,"-",T404)</f>
        <v>08-Infraestructura física, mantenimiento y dotación (Sedes construidas, mantenidas reforzadas)</v>
      </c>
      <c r="V404" s="51" t="s">
        <v>238</v>
      </c>
      <c r="W404" s="160" t="str">
        <f>IFERROR(VLOOKUP(V404,TD!$N$33:$O$45,2,0)," ")</f>
        <v>Sedes mantenidas</v>
      </c>
      <c r="X404" s="161" t="str">
        <f>CONCATENATE(V404,"_",W404)</f>
        <v>016_Sedes mantenidas</v>
      </c>
      <c r="Y404" s="161" t="str">
        <f>CONCATENATE(U404," ",X404)</f>
        <v>08-Infraestructura física, mantenimiento y dotación (Sedes construidas, mantenidas reforzadas) 016_Sedes mantenidas</v>
      </c>
      <c r="Z404" s="160" t="str">
        <f>CONCATENATE(P404,Q404,R404,S404,V404)</f>
        <v>O23011745992024020708016</v>
      </c>
      <c r="AA404" s="160" t="str">
        <f>IFERROR(VLOOKUP(Y404,TD!$K$46:$L$64,2,0)," ")</f>
        <v>PM/0131/0108/45990160207</v>
      </c>
      <c r="AB404" s="53" t="s">
        <v>138</v>
      </c>
      <c r="AC404" s="162" t="s">
        <v>204</v>
      </c>
    </row>
    <row r="405" spans="2:29" s="28" customFormat="1" ht="99" customHeight="1" x14ac:dyDescent="0.35">
      <c r="B405" s="77">
        <v>20250419</v>
      </c>
      <c r="C405" s="50" t="s">
        <v>208</v>
      </c>
      <c r="D405" s="158" t="s">
        <v>166</v>
      </c>
      <c r="E405" s="51" t="s">
        <v>592</v>
      </c>
      <c r="F405" s="158" t="s">
        <v>595</v>
      </c>
      <c r="G405" s="158" t="s">
        <v>156</v>
      </c>
      <c r="H405" s="97" t="s">
        <v>648</v>
      </c>
      <c r="I405" s="159">
        <v>2</v>
      </c>
      <c r="J405" s="159">
        <v>11</v>
      </c>
      <c r="K405" s="52">
        <v>0</v>
      </c>
      <c r="L405" s="153">
        <f>33534424-691144</f>
        <v>32843280</v>
      </c>
      <c r="M405" s="158" t="s">
        <v>473</v>
      </c>
      <c r="N405" s="53" t="s">
        <v>649</v>
      </c>
      <c r="O405" s="51" t="s">
        <v>219</v>
      </c>
      <c r="P405" s="160" t="str">
        <f>IFERROR(VLOOKUP(C405,TD!$B$32:$F$36,2,0)," ")</f>
        <v>O230117</v>
      </c>
      <c r="Q405" s="160" t="str">
        <f>IFERROR(VLOOKUP(C405,TD!$B$32:$F$36,3,0)," ")</f>
        <v>4599</v>
      </c>
      <c r="R405" s="160">
        <f>IFERROR(VLOOKUP(C405,TD!$B$32:$F$36,4,0)," ")</f>
        <v>20240207</v>
      </c>
      <c r="S405" s="51" t="s">
        <v>185</v>
      </c>
      <c r="T405" s="160" t="str">
        <f>IFERROR(VLOOKUP(S405,TD!$J$33:$K$43,2,0)," ")</f>
        <v>Infraestructura física, mantenimiento y dotación (Sedes construidas, mantenidas reforzadas)</v>
      </c>
      <c r="U405" s="161" t="str">
        <f>CONCATENATE(S405,"-",T405)</f>
        <v>08-Infraestructura física, mantenimiento y dotación (Sedes construidas, mantenidas reforzadas)</v>
      </c>
      <c r="V405" s="51" t="s">
        <v>238</v>
      </c>
      <c r="W405" s="160" t="str">
        <f>IFERROR(VLOOKUP(V405,TD!$N$33:$O$45,2,0)," ")</f>
        <v>Sedes mantenidas</v>
      </c>
      <c r="X405" s="161" t="str">
        <f>CONCATENATE(V405,"_",W405)</f>
        <v>016_Sedes mantenidas</v>
      </c>
      <c r="Y405" s="161" t="str">
        <f>CONCATENATE(U405," ",X405)</f>
        <v>08-Infraestructura física, mantenimiento y dotación (Sedes construidas, mantenidas reforzadas) 016_Sedes mantenidas</v>
      </c>
      <c r="Z405" s="160" t="str">
        <f>CONCATENATE(P405,Q405,R405,S405,V405)</f>
        <v>O23011745992024020708016</v>
      </c>
      <c r="AA405" s="160" t="str">
        <f>IFERROR(VLOOKUP(Y405,TD!$K$46:$L$64,2,0)," ")</f>
        <v>PM/0131/0108/45990160207</v>
      </c>
      <c r="AB405" s="53" t="s">
        <v>138</v>
      </c>
      <c r="AC405" s="162" t="s">
        <v>204</v>
      </c>
    </row>
    <row r="406" spans="2:29" s="28" customFormat="1" ht="99" customHeight="1" x14ac:dyDescent="0.35">
      <c r="B406" s="152">
        <v>20250420</v>
      </c>
      <c r="C406" s="164" t="s">
        <v>208</v>
      </c>
      <c r="D406" s="165" t="s">
        <v>166</v>
      </c>
      <c r="E406" s="166" t="s">
        <v>592</v>
      </c>
      <c r="F406" s="165" t="s">
        <v>595</v>
      </c>
      <c r="G406" s="165" t="s">
        <v>156</v>
      </c>
      <c r="H406" s="167" t="s">
        <v>648</v>
      </c>
      <c r="I406" s="163">
        <v>2</v>
      </c>
      <c r="J406" s="163">
        <v>11</v>
      </c>
      <c r="K406" s="151">
        <v>0</v>
      </c>
      <c r="L406" s="154">
        <v>30000000</v>
      </c>
      <c r="M406" s="165" t="s">
        <v>473</v>
      </c>
      <c r="N406" s="150" t="s">
        <v>649</v>
      </c>
      <c r="O406" s="166" t="s">
        <v>219</v>
      </c>
      <c r="P406" s="168" t="str">
        <f>IFERROR(VLOOKUP(C406,TD!$B$32:$F$36,2,0)," ")</f>
        <v>O230117</v>
      </c>
      <c r="Q406" s="168" t="str">
        <f>IFERROR(VLOOKUP(C406,TD!$B$32:$F$36,3,0)," ")</f>
        <v>4599</v>
      </c>
      <c r="R406" s="168">
        <f>IFERROR(VLOOKUP(C406,TD!$B$32:$F$36,4,0)," ")</f>
        <v>20240207</v>
      </c>
      <c r="S406" s="166" t="s">
        <v>185</v>
      </c>
      <c r="T406" s="168" t="str">
        <f>IFERROR(VLOOKUP(S406,TD!$J$33:$K$43,2,0)," ")</f>
        <v>Infraestructura física, mantenimiento y dotación (Sedes construidas, mantenidas reforzadas)</v>
      </c>
      <c r="U406" s="161" t="str">
        <f>CONCATENATE(S406,"-",T406)</f>
        <v>08-Infraestructura física, mantenimiento y dotación (Sedes construidas, mantenidas reforzadas)</v>
      </c>
      <c r="V406" s="166" t="s">
        <v>238</v>
      </c>
      <c r="W406" s="168" t="str">
        <f>IFERROR(VLOOKUP(V406,TD!$N$33:$O$45,2,0)," ")</f>
        <v>Sedes mantenidas</v>
      </c>
      <c r="X406" s="161" t="str">
        <f>CONCATENATE(V406,"_",W406)</f>
        <v>016_Sedes mantenidas</v>
      </c>
      <c r="Y406" s="161" t="str">
        <f>CONCATENATE(U406," ",X406)</f>
        <v>08-Infraestructura física, mantenimiento y dotación (Sedes construidas, mantenidas reforzadas) 016_Sedes mantenidas</v>
      </c>
      <c r="Z406" s="168" t="str">
        <f>CONCATENATE(P406,Q406,R406,S406,V406)</f>
        <v>O23011745992024020708016</v>
      </c>
      <c r="AA406" s="168" t="str">
        <f>IFERROR(VLOOKUP(Y406,TD!$K$46:$L$64,2,0)," ")</f>
        <v>PM/0131/0108/45990160207</v>
      </c>
      <c r="AB406" s="150" t="s">
        <v>138</v>
      </c>
      <c r="AC406" s="169" t="s">
        <v>204</v>
      </c>
    </row>
    <row r="407" spans="2:29" s="28" customFormat="1" ht="99" customHeight="1" x14ac:dyDescent="0.35">
      <c r="B407" s="77">
        <v>20250421</v>
      </c>
      <c r="C407" s="50" t="s">
        <v>208</v>
      </c>
      <c r="D407" s="158" t="s">
        <v>166</v>
      </c>
      <c r="E407" s="51" t="s">
        <v>592</v>
      </c>
      <c r="F407" s="158" t="s">
        <v>595</v>
      </c>
      <c r="G407" s="158" t="s">
        <v>156</v>
      </c>
      <c r="H407" s="97" t="s">
        <v>648</v>
      </c>
      <c r="I407" s="159">
        <v>2</v>
      </c>
      <c r="J407" s="159">
        <v>11</v>
      </c>
      <c r="K407" s="52">
        <v>0</v>
      </c>
      <c r="L407" s="153">
        <f>33534424-3975472</f>
        <v>29558952</v>
      </c>
      <c r="M407" s="158" t="s">
        <v>473</v>
      </c>
      <c r="N407" s="53" t="s">
        <v>649</v>
      </c>
      <c r="O407" s="51" t="s">
        <v>219</v>
      </c>
      <c r="P407" s="160" t="str">
        <f>IFERROR(VLOOKUP(C407,TD!$B$32:$F$36,2,0)," ")</f>
        <v>O230117</v>
      </c>
      <c r="Q407" s="160" t="str">
        <f>IFERROR(VLOOKUP(C407,TD!$B$32:$F$36,3,0)," ")</f>
        <v>4599</v>
      </c>
      <c r="R407" s="160">
        <f>IFERROR(VLOOKUP(C407,TD!$B$32:$F$36,4,0)," ")</f>
        <v>20240207</v>
      </c>
      <c r="S407" s="51" t="s">
        <v>185</v>
      </c>
      <c r="T407" s="160" t="str">
        <f>IFERROR(VLOOKUP(S407,TD!$J$33:$K$43,2,0)," ")</f>
        <v>Infraestructura física, mantenimiento y dotación (Sedes construidas, mantenidas reforzadas)</v>
      </c>
      <c r="U407" s="161" t="str">
        <f>CONCATENATE(S407,"-",T407)</f>
        <v>08-Infraestructura física, mantenimiento y dotación (Sedes construidas, mantenidas reforzadas)</v>
      </c>
      <c r="V407" s="51" t="s">
        <v>238</v>
      </c>
      <c r="W407" s="160" t="str">
        <f>IFERROR(VLOOKUP(V407,TD!$N$33:$O$45,2,0)," ")</f>
        <v>Sedes mantenidas</v>
      </c>
      <c r="X407" s="161" t="str">
        <f>CONCATENATE(V407,"_",W407)</f>
        <v>016_Sedes mantenidas</v>
      </c>
      <c r="Y407" s="161" t="str">
        <f>CONCATENATE(U407," ",X407)</f>
        <v>08-Infraestructura física, mantenimiento y dotación (Sedes construidas, mantenidas reforzadas) 016_Sedes mantenidas</v>
      </c>
      <c r="Z407" s="160" t="str">
        <f>CONCATENATE(P407,Q407,R407,S407,V407)</f>
        <v>O23011745992024020708016</v>
      </c>
      <c r="AA407" s="160" t="str">
        <f>IFERROR(VLOOKUP(Y407,TD!$K$46:$L$64,2,0)," ")</f>
        <v>PM/0131/0108/45990160207</v>
      </c>
      <c r="AB407" s="53" t="s">
        <v>138</v>
      </c>
      <c r="AC407" s="162" t="s">
        <v>204</v>
      </c>
    </row>
    <row r="408" spans="2:29" s="28" customFormat="1" ht="99" customHeight="1" x14ac:dyDescent="0.35">
      <c r="B408" s="77">
        <v>20250422</v>
      </c>
      <c r="C408" s="50" t="s">
        <v>208</v>
      </c>
      <c r="D408" s="158" t="s">
        <v>166</v>
      </c>
      <c r="E408" s="51" t="s">
        <v>592</v>
      </c>
      <c r="F408" s="158" t="s">
        <v>595</v>
      </c>
      <c r="G408" s="158" t="s">
        <v>156</v>
      </c>
      <c r="H408" s="97" t="s">
        <v>648</v>
      </c>
      <c r="I408" s="159">
        <v>2</v>
      </c>
      <c r="J408" s="159">
        <v>11</v>
      </c>
      <c r="K408" s="52">
        <v>0</v>
      </c>
      <c r="L408" s="153">
        <f>33534424-3975472</f>
        <v>29558952</v>
      </c>
      <c r="M408" s="158" t="s">
        <v>473</v>
      </c>
      <c r="N408" s="53" t="s">
        <v>649</v>
      </c>
      <c r="O408" s="51" t="s">
        <v>219</v>
      </c>
      <c r="P408" s="160" t="str">
        <f>IFERROR(VLOOKUP(C408,TD!$B$32:$F$36,2,0)," ")</f>
        <v>O230117</v>
      </c>
      <c r="Q408" s="160" t="str">
        <f>IFERROR(VLOOKUP(C408,TD!$B$32:$F$36,3,0)," ")</f>
        <v>4599</v>
      </c>
      <c r="R408" s="160">
        <f>IFERROR(VLOOKUP(C408,TD!$B$32:$F$36,4,0)," ")</f>
        <v>20240207</v>
      </c>
      <c r="S408" s="51" t="s">
        <v>185</v>
      </c>
      <c r="T408" s="160" t="str">
        <f>IFERROR(VLOOKUP(S408,TD!$J$33:$K$43,2,0)," ")</f>
        <v>Infraestructura física, mantenimiento y dotación (Sedes construidas, mantenidas reforzadas)</v>
      </c>
      <c r="U408" s="161" t="str">
        <f>CONCATENATE(S408,"-",T408)</f>
        <v>08-Infraestructura física, mantenimiento y dotación (Sedes construidas, mantenidas reforzadas)</v>
      </c>
      <c r="V408" s="51" t="s">
        <v>238</v>
      </c>
      <c r="W408" s="160" t="str">
        <f>IFERROR(VLOOKUP(V408,TD!$N$33:$O$45,2,0)," ")</f>
        <v>Sedes mantenidas</v>
      </c>
      <c r="X408" s="161" t="str">
        <f>CONCATENATE(V408,"_",W408)</f>
        <v>016_Sedes mantenidas</v>
      </c>
      <c r="Y408" s="161" t="str">
        <f>CONCATENATE(U408," ",X408)</f>
        <v>08-Infraestructura física, mantenimiento y dotación (Sedes construidas, mantenidas reforzadas) 016_Sedes mantenidas</v>
      </c>
      <c r="Z408" s="160" t="str">
        <f>CONCATENATE(P408,Q408,R408,S408,V408)</f>
        <v>O23011745992024020708016</v>
      </c>
      <c r="AA408" s="160" t="str">
        <f>IFERROR(VLOOKUP(Y408,TD!$K$46:$L$64,2,0)," ")</f>
        <v>PM/0131/0108/45990160207</v>
      </c>
      <c r="AB408" s="53" t="s">
        <v>138</v>
      </c>
      <c r="AC408" s="162" t="s">
        <v>204</v>
      </c>
    </row>
    <row r="409" spans="2:29" s="28" customFormat="1" ht="99" customHeight="1" x14ac:dyDescent="0.35">
      <c r="B409" s="77">
        <v>20250423</v>
      </c>
      <c r="C409" s="50" t="s">
        <v>208</v>
      </c>
      <c r="D409" s="158" t="s">
        <v>166</v>
      </c>
      <c r="E409" s="51" t="s">
        <v>592</v>
      </c>
      <c r="F409" s="158" t="s">
        <v>595</v>
      </c>
      <c r="G409" s="158" t="s">
        <v>156</v>
      </c>
      <c r="H409" s="97" t="s">
        <v>648</v>
      </c>
      <c r="I409" s="159">
        <v>2</v>
      </c>
      <c r="J409" s="159">
        <v>11</v>
      </c>
      <c r="K409" s="52">
        <v>0</v>
      </c>
      <c r="L409" s="153">
        <f>33534424-3975472</f>
        <v>29558952</v>
      </c>
      <c r="M409" s="158" t="s">
        <v>473</v>
      </c>
      <c r="N409" s="53" t="s">
        <v>649</v>
      </c>
      <c r="O409" s="51" t="s">
        <v>219</v>
      </c>
      <c r="P409" s="160" t="str">
        <f>IFERROR(VLOOKUP(C409,TD!$B$32:$F$36,2,0)," ")</f>
        <v>O230117</v>
      </c>
      <c r="Q409" s="160" t="str">
        <f>IFERROR(VLOOKUP(C409,TD!$B$32:$F$36,3,0)," ")</f>
        <v>4599</v>
      </c>
      <c r="R409" s="160">
        <f>IFERROR(VLOOKUP(C409,TD!$B$32:$F$36,4,0)," ")</f>
        <v>20240207</v>
      </c>
      <c r="S409" s="51" t="s">
        <v>185</v>
      </c>
      <c r="T409" s="160" t="str">
        <f>IFERROR(VLOOKUP(S409,TD!$J$33:$K$43,2,0)," ")</f>
        <v>Infraestructura física, mantenimiento y dotación (Sedes construidas, mantenidas reforzadas)</v>
      </c>
      <c r="U409" s="161" t="str">
        <f>CONCATENATE(S409,"-",T409)</f>
        <v>08-Infraestructura física, mantenimiento y dotación (Sedes construidas, mantenidas reforzadas)</v>
      </c>
      <c r="V409" s="51" t="s">
        <v>238</v>
      </c>
      <c r="W409" s="160" t="str">
        <f>IFERROR(VLOOKUP(V409,TD!$N$33:$O$45,2,0)," ")</f>
        <v>Sedes mantenidas</v>
      </c>
      <c r="X409" s="161" t="str">
        <f>CONCATENATE(V409,"_",W409)</f>
        <v>016_Sedes mantenidas</v>
      </c>
      <c r="Y409" s="161" t="str">
        <f>CONCATENATE(U409," ",X409)</f>
        <v>08-Infraestructura física, mantenimiento y dotación (Sedes construidas, mantenidas reforzadas) 016_Sedes mantenidas</v>
      </c>
      <c r="Z409" s="160" t="str">
        <f>CONCATENATE(P409,Q409,R409,S409,V409)</f>
        <v>O23011745992024020708016</v>
      </c>
      <c r="AA409" s="160" t="str">
        <f>IFERROR(VLOOKUP(Y409,TD!$K$46:$L$64,2,0)," ")</f>
        <v>PM/0131/0108/45990160207</v>
      </c>
      <c r="AB409" s="53" t="s">
        <v>138</v>
      </c>
      <c r="AC409" s="162" t="s">
        <v>204</v>
      </c>
    </row>
    <row r="410" spans="2:29" s="28" customFormat="1" ht="99" customHeight="1" x14ac:dyDescent="0.35">
      <c r="B410" s="152">
        <v>20250424</v>
      </c>
      <c r="C410" s="164" t="s">
        <v>208</v>
      </c>
      <c r="D410" s="165" t="s">
        <v>166</v>
      </c>
      <c r="E410" s="166" t="s">
        <v>592</v>
      </c>
      <c r="F410" s="165" t="s">
        <v>597</v>
      </c>
      <c r="G410" s="165" t="s">
        <v>155</v>
      </c>
      <c r="H410" s="167" t="s">
        <v>648</v>
      </c>
      <c r="I410" s="163">
        <v>2</v>
      </c>
      <c r="J410" s="163">
        <v>11</v>
      </c>
      <c r="K410" s="151">
        <v>0</v>
      </c>
      <c r="L410" s="154">
        <v>64000000</v>
      </c>
      <c r="M410" s="165" t="s">
        <v>473</v>
      </c>
      <c r="N410" s="150" t="s">
        <v>649</v>
      </c>
      <c r="O410" s="166" t="s">
        <v>219</v>
      </c>
      <c r="P410" s="168" t="str">
        <f>IFERROR(VLOOKUP(C410,TD!$B$32:$F$36,2,0)," ")</f>
        <v>O230117</v>
      </c>
      <c r="Q410" s="168" t="str">
        <f>IFERROR(VLOOKUP(C410,TD!$B$32:$F$36,3,0)," ")</f>
        <v>4599</v>
      </c>
      <c r="R410" s="168">
        <f>IFERROR(VLOOKUP(C410,TD!$B$32:$F$36,4,0)," ")</f>
        <v>20240207</v>
      </c>
      <c r="S410" s="166" t="s">
        <v>185</v>
      </c>
      <c r="T410" s="168" t="str">
        <f>IFERROR(VLOOKUP(S410,TD!$J$33:$K$43,2,0)," ")</f>
        <v>Infraestructura física, mantenimiento y dotación (Sedes construidas, mantenidas reforzadas)</v>
      </c>
      <c r="U410" s="161" t="str">
        <f>CONCATENATE(S410,"-",T410)</f>
        <v>08-Infraestructura física, mantenimiento y dotación (Sedes construidas, mantenidas reforzadas)</v>
      </c>
      <c r="V410" s="166" t="s">
        <v>238</v>
      </c>
      <c r="W410" s="168" t="str">
        <f>IFERROR(VLOOKUP(V410,TD!$N$33:$O$45,2,0)," ")</f>
        <v>Sedes mantenidas</v>
      </c>
      <c r="X410" s="161" t="str">
        <f>CONCATENATE(V410,"_",W410)</f>
        <v>016_Sedes mantenidas</v>
      </c>
      <c r="Y410" s="161" t="str">
        <f>CONCATENATE(U410," ",X410)</f>
        <v>08-Infraestructura física, mantenimiento y dotación (Sedes construidas, mantenidas reforzadas) 016_Sedes mantenidas</v>
      </c>
      <c r="Z410" s="168" t="str">
        <f>CONCATENATE(P410,Q410,R410,S410,V410)</f>
        <v>O23011745992024020708016</v>
      </c>
      <c r="AA410" s="168" t="str">
        <f>IFERROR(VLOOKUP(Y410,TD!$K$46:$L$64,2,0)," ")</f>
        <v>PM/0131/0108/45990160207</v>
      </c>
      <c r="AB410" s="150" t="s">
        <v>138</v>
      </c>
      <c r="AC410" s="169" t="s">
        <v>204</v>
      </c>
    </row>
    <row r="411" spans="2:29" s="28" customFormat="1" ht="99" customHeight="1" x14ac:dyDescent="0.35">
      <c r="B411" s="77">
        <v>20250425</v>
      </c>
      <c r="C411" s="50" t="s">
        <v>208</v>
      </c>
      <c r="D411" s="158" t="s">
        <v>166</v>
      </c>
      <c r="E411" s="51" t="s">
        <v>592</v>
      </c>
      <c r="F411" s="158" t="s">
        <v>598</v>
      </c>
      <c r="G411" s="158" t="s">
        <v>156</v>
      </c>
      <c r="H411" s="97" t="s">
        <v>648</v>
      </c>
      <c r="I411" s="159">
        <v>2</v>
      </c>
      <c r="J411" s="159">
        <v>11</v>
      </c>
      <c r="K411" s="52">
        <v>0</v>
      </c>
      <c r="L411" s="153">
        <f>33534424-3506279</f>
        <v>30028145</v>
      </c>
      <c r="M411" s="158" t="s">
        <v>473</v>
      </c>
      <c r="N411" s="53" t="s">
        <v>649</v>
      </c>
      <c r="O411" s="51" t="s">
        <v>219</v>
      </c>
      <c r="P411" s="160" t="str">
        <f>IFERROR(VLOOKUP(C411,TD!$B$32:$F$36,2,0)," ")</f>
        <v>O230117</v>
      </c>
      <c r="Q411" s="160" t="str">
        <f>IFERROR(VLOOKUP(C411,TD!$B$32:$F$36,3,0)," ")</f>
        <v>4599</v>
      </c>
      <c r="R411" s="160">
        <f>IFERROR(VLOOKUP(C411,TD!$B$32:$F$36,4,0)," ")</f>
        <v>20240207</v>
      </c>
      <c r="S411" s="51" t="s">
        <v>185</v>
      </c>
      <c r="T411" s="160" t="str">
        <f>IFERROR(VLOOKUP(S411,TD!$J$33:$K$43,2,0)," ")</f>
        <v>Infraestructura física, mantenimiento y dotación (Sedes construidas, mantenidas reforzadas)</v>
      </c>
      <c r="U411" s="161" t="str">
        <f>CONCATENATE(S411,"-",T411)</f>
        <v>08-Infraestructura física, mantenimiento y dotación (Sedes construidas, mantenidas reforzadas)</v>
      </c>
      <c r="V411" s="51" t="s">
        <v>238</v>
      </c>
      <c r="W411" s="160" t="str">
        <f>IFERROR(VLOOKUP(V411,TD!$N$33:$O$45,2,0)," ")</f>
        <v>Sedes mantenidas</v>
      </c>
      <c r="X411" s="161" t="str">
        <f>CONCATENATE(V411,"_",W411)</f>
        <v>016_Sedes mantenidas</v>
      </c>
      <c r="Y411" s="161" t="str">
        <f>CONCATENATE(U411," ",X411)</f>
        <v>08-Infraestructura física, mantenimiento y dotación (Sedes construidas, mantenidas reforzadas) 016_Sedes mantenidas</v>
      </c>
      <c r="Z411" s="160" t="str">
        <f>CONCATENATE(P411,Q411,R411,S411,V411)</f>
        <v>O23011745992024020708016</v>
      </c>
      <c r="AA411" s="160" t="str">
        <f>IFERROR(VLOOKUP(Y411,TD!$K$46:$L$64,2,0)," ")</f>
        <v>PM/0131/0108/45990160207</v>
      </c>
      <c r="AB411" s="53" t="s">
        <v>138</v>
      </c>
      <c r="AC411" s="162" t="s">
        <v>204</v>
      </c>
    </row>
    <row r="412" spans="2:29" s="28" customFormat="1" ht="99" customHeight="1" x14ac:dyDescent="0.35">
      <c r="B412" s="77">
        <v>20250426</v>
      </c>
      <c r="C412" s="50" t="s">
        <v>208</v>
      </c>
      <c r="D412" s="158" t="s">
        <v>166</v>
      </c>
      <c r="E412" s="51" t="s">
        <v>592</v>
      </c>
      <c r="F412" s="158" t="s">
        <v>599</v>
      </c>
      <c r="G412" s="158" t="s">
        <v>155</v>
      </c>
      <c r="H412" s="97" t="s">
        <v>648</v>
      </c>
      <c r="I412" s="159">
        <v>2</v>
      </c>
      <c r="J412" s="159">
        <v>11</v>
      </c>
      <c r="K412" s="52">
        <v>0</v>
      </c>
      <c r="L412" s="153">
        <f>44000000-2711304</f>
        <v>41288696</v>
      </c>
      <c r="M412" s="158" t="s">
        <v>473</v>
      </c>
      <c r="N412" s="53" t="s">
        <v>649</v>
      </c>
      <c r="O412" s="51" t="s">
        <v>219</v>
      </c>
      <c r="P412" s="160" t="str">
        <f>IFERROR(VLOOKUP(C412,TD!$B$32:$F$36,2,0)," ")</f>
        <v>O230117</v>
      </c>
      <c r="Q412" s="160" t="str">
        <f>IFERROR(VLOOKUP(C412,TD!$B$32:$F$36,3,0)," ")</f>
        <v>4599</v>
      </c>
      <c r="R412" s="160">
        <f>IFERROR(VLOOKUP(C412,TD!$B$32:$F$36,4,0)," ")</f>
        <v>20240207</v>
      </c>
      <c r="S412" s="51" t="s">
        <v>185</v>
      </c>
      <c r="T412" s="160" t="str">
        <f>IFERROR(VLOOKUP(S412,TD!$J$33:$K$43,2,0)," ")</f>
        <v>Infraestructura física, mantenimiento y dotación (Sedes construidas, mantenidas reforzadas)</v>
      </c>
      <c r="U412" s="161" t="str">
        <f>CONCATENATE(S412,"-",T412)</f>
        <v>08-Infraestructura física, mantenimiento y dotación (Sedes construidas, mantenidas reforzadas)</v>
      </c>
      <c r="V412" s="51" t="s">
        <v>238</v>
      </c>
      <c r="W412" s="160" t="str">
        <f>IFERROR(VLOOKUP(V412,TD!$N$33:$O$45,2,0)," ")</f>
        <v>Sedes mantenidas</v>
      </c>
      <c r="X412" s="161" t="str">
        <f>CONCATENATE(V412,"_",W412)</f>
        <v>016_Sedes mantenidas</v>
      </c>
      <c r="Y412" s="161" t="str">
        <f>CONCATENATE(U412," ",X412)</f>
        <v>08-Infraestructura física, mantenimiento y dotación (Sedes construidas, mantenidas reforzadas) 016_Sedes mantenidas</v>
      </c>
      <c r="Z412" s="160" t="str">
        <f>CONCATENATE(P412,Q412,R412,S412,V412)</f>
        <v>O23011745992024020708016</v>
      </c>
      <c r="AA412" s="160" t="str">
        <f>IFERROR(VLOOKUP(Y412,TD!$K$46:$L$64,2,0)," ")</f>
        <v>PM/0131/0108/45990160207</v>
      </c>
      <c r="AB412" s="53" t="s">
        <v>138</v>
      </c>
      <c r="AC412" s="162" t="s">
        <v>204</v>
      </c>
    </row>
    <row r="413" spans="2:29" s="28" customFormat="1" ht="99" customHeight="1" x14ac:dyDescent="0.35">
      <c r="B413" s="77">
        <v>20250427</v>
      </c>
      <c r="C413" s="50" t="s">
        <v>208</v>
      </c>
      <c r="D413" s="158" t="s">
        <v>166</v>
      </c>
      <c r="E413" s="51" t="s">
        <v>592</v>
      </c>
      <c r="F413" s="158" t="s">
        <v>600</v>
      </c>
      <c r="G413" s="158" t="s">
        <v>156</v>
      </c>
      <c r="H413" s="97" t="s">
        <v>648</v>
      </c>
      <c r="I413" s="159">
        <v>2</v>
      </c>
      <c r="J413" s="159">
        <v>11</v>
      </c>
      <c r="K413" s="52">
        <v>0</v>
      </c>
      <c r="L413" s="153">
        <f>33534424-3975472</f>
        <v>29558952</v>
      </c>
      <c r="M413" s="158" t="s">
        <v>473</v>
      </c>
      <c r="N413" s="53" t="s">
        <v>649</v>
      </c>
      <c r="O413" s="51" t="s">
        <v>219</v>
      </c>
      <c r="P413" s="160" t="str">
        <f>IFERROR(VLOOKUP(C413,TD!$B$32:$F$36,2,0)," ")</f>
        <v>O230117</v>
      </c>
      <c r="Q413" s="160" t="str">
        <f>IFERROR(VLOOKUP(C413,TD!$B$32:$F$36,3,0)," ")</f>
        <v>4599</v>
      </c>
      <c r="R413" s="160">
        <f>IFERROR(VLOOKUP(C413,TD!$B$32:$F$36,4,0)," ")</f>
        <v>20240207</v>
      </c>
      <c r="S413" s="51" t="s">
        <v>185</v>
      </c>
      <c r="T413" s="160" t="str">
        <f>IFERROR(VLOOKUP(S413,TD!$J$33:$K$43,2,0)," ")</f>
        <v>Infraestructura física, mantenimiento y dotación (Sedes construidas, mantenidas reforzadas)</v>
      </c>
      <c r="U413" s="161" t="str">
        <f>CONCATENATE(S413,"-",T413)</f>
        <v>08-Infraestructura física, mantenimiento y dotación (Sedes construidas, mantenidas reforzadas)</v>
      </c>
      <c r="V413" s="51" t="s">
        <v>238</v>
      </c>
      <c r="W413" s="160" t="str">
        <f>IFERROR(VLOOKUP(V413,TD!$N$33:$O$45,2,0)," ")</f>
        <v>Sedes mantenidas</v>
      </c>
      <c r="X413" s="161" t="str">
        <f>CONCATENATE(V413,"_",W413)</f>
        <v>016_Sedes mantenidas</v>
      </c>
      <c r="Y413" s="161" t="str">
        <f>CONCATENATE(U413," ",X413)</f>
        <v>08-Infraestructura física, mantenimiento y dotación (Sedes construidas, mantenidas reforzadas) 016_Sedes mantenidas</v>
      </c>
      <c r="Z413" s="160" t="str">
        <f>CONCATENATE(P413,Q413,R413,S413,V413)</f>
        <v>O23011745992024020708016</v>
      </c>
      <c r="AA413" s="160" t="str">
        <f>IFERROR(VLOOKUP(Y413,TD!$K$46:$L$64,2,0)," ")</f>
        <v>PM/0131/0108/45990160207</v>
      </c>
      <c r="AB413" s="53" t="s">
        <v>138</v>
      </c>
      <c r="AC413" s="162" t="s">
        <v>204</v>
      </c>
    </row>
    <row r="414" spans="2:29" s="28" customFormat="1" ht="99" customHeight="1" x14ac:dyDescent="0.35">
      <c r="B414" s="77">
        <v>20250428</v>
      </c>
      <c r="C414" s="50" t="s">
        <v>208</v>
      </c>
      <c r="D414" s="158" t="s">
        <v>166</v>
      </c>
      <c r="E414" s="51" t="s">
        <v>592</v>
      </c>
      <c r="F414" s="158" t="s">
        <v>650</v>
      </c>
      <c r="G414" s="158" t="s">
        <v>155</v>
      </c>
      <c r="H414" s="97" t="s">
        <v>648</v>
      </c>
      <c r="I414" s="159">
        <v>2</v>
      </c>
      <c r="J414" s="159">
        <v>11</v>
      </c>
      <c r="K414" s="52">
        <v>0</v>
      </c>
      <c r="L414" s="153">
        <f>84613760-18256931</f>
        <v>66356829</v>
      </c>
      <c r="M414" s="158" t="s">
        <v>473</v>
      </c>
      <c r="N414" s="53" t="s">
        <v>649</v>
      </c>
      <c r="O414" s="51" t="s">
        <v>219</v>
      </c>
      <c r="P414" s="160" t="str">
        <f>IFERROR(VLOOKUP(C414,TD!$B$32:$F$36,2,0)," ")</f>
        <v>O230117</v>
      </c>
      <c r="Q414" s="160" t="str">
        <f>IFERROR(VLOOKUP(C414,TD!$B$32:$F$36,3,0)," ")</f>
        <v>4599</v>
      </c>
      <c r="R414" s="160">
        <f>IFERROR(VLOOKUP(C414,TD!$B$32:$F$36,4,0)," ")</f>
        <v>20240207</v>
      </c>
      <c r="S414" s="51" t="s">
        <v>185</v>
      </c>
      <c r="T414" s="160" t="str">
        <f>IFERROR(VLOOKUP(S414,TD!$J$33:$K$43,2,0)," ")</f>
        <v>Infraestructura física, mantenimiento y dotación (Sedes construidas, mantenidas reforzadas)</v>
      </c>
      <c r="U414" s="161" t="str">
        <f>CONCATENATE(S414,"-",T414)</f>
        <v>08-Infraestructura física, mantenimiento y dotación (Sedes construidas, mantenidas reforzadas)</v>
      </c>
      <c r="V414" s="51" t="s">
        <v>238</v>
      </c>
      <c r="W414" s="160" t="str">
        <f>IFERROR(VLOOKUP(V414,TD!$N$33:$O$45,2,0)," ")</f>
        <v>Sedes mantenidas</v>
      </c>
      <c r="X414" s="161" t="str">
        <f>CONCATENATE(V414,"_",W414)</f>
        <v>016_Sedes mantenidas</v>
      </c>
      <c r="Y414" s="161" t="str">
        <f>CONCATENATE(U414," ",X414)</f>
        <v>08-Infraestructura física, mantenimiento y dotación (Sedes construidas, mantenidas reforzadas) 016_Sedes mantenidas</v>
      </c>
      <c r="Z414" s="160" t="str">
        <f>CONCATENATE(P414,Q414,R414,S414,V414)</f>
        <v>O23011745992024020708016</v>
      </c>
      <c r="AA414" s="160" t="str">
        <f>IFERROR(VLOOKUP(Y414,TD!$K$46:$L$64,2,0)," ")</f>
        <v>PM/0131/0108/45990160207</v>
      </c>
      <c r="AB414" s="53" t="s">
        <v>138</v>
      </c>
      <c r="AC414" s="162" t="s">
        <v>204</v>
      </c>
    </row>
    <row r="415" spans="2:29" s="28" customFormat="1" ht="99" customHeight="1" x14ac:dyDescent="0.35">
      <c r="B415" s="77">
        <v>20250429</v>
      </c>
      <c r="C415" s="50" t="s">
        <v>208</v>
      </c>
      <c r="D415" s="158" t="s">
        <v>166</v>
      </c>
      <c r="E415" s="51" t="s">
        <v>592</v>
      </c>
      <c r="F415" s="158" t="s">
        <v>772</v>
      </c>
      <c r="G415" s="158" t="s">
        <v>155</v>
      </c>
      <c r="H415" s="97" t="s">
        <v>648</v>
      </c>
      <c r="I415" s="159">
        <v>2</v>
      </c>
      <c r="J415" s="159">
        <v>11</v>
      </c>
      <c r="K415" s="52">
        <v>0</v>
      </c>
      <c r="L415" s="153">
        <f>66550000-193171</f>
        <v>66356829</v>
      </c>
      <c r="M415" s="158" t="s">
        <v>473</v>
      </c>
      <c r="N415" s="53" t="s">
        <v>649</v>
      </c>
      <c r="O415" s="51" t="s">
        <v>219</v>
      </c>
      <c r="P415" s="160" t="str">
        <f>IFERROR(VLOOKUP(C415,TD!$B$32:$F$36,2,0)," ")</f>
        <v>O230117</v>
      </c>
      <c r="Q415" s="160" t="str">
        <f>IFERROR(VLOOKUP(C415,TD!$B$32:$F$36,3,0)," ")</f>
        <v>4599</v>
      </c>
      <c r="R415" s="160">
        <f>IFERROR(VLOOKUP(C415,TD!$B$32:$F$36,4,0)," ")</f>
        <v>20240207</v>
      </c>
      <c r="S415" s="51" t="s">
        <v>185</v>
      </c>
      <c r="T415" s="160" t="str">
        <f>IFERROR(VLOOKUP(S415,TD!$J$33:$K$43,2,0)," ")</f>
        <v>Infraestructura física, mantenimiento y dotación (Sedes construidas, mantenidas reforzadas)</v>
      </c>
      <c r="U415" s="161" t="str">
        <f>CONCATENATE(S415,"-",T415)</f>
        <v>08-Infraestructura física, mantenimiento y dotación (Sedes construidas, mantenidas reforzadas)</v>
      </c>
      <c r="V415" s="51" t="s">
        <v>238</v>
      </c>
      <c r="W415" s="160" t="str">
        <f>IFERROR(VLOOKUP(V415,TD!$N$33:$O$45,2,0)," ")</f>
        <v>Sedes mantenidas</v>
      </c>
      <c r="X415" s="161" t="str">
        <f>CONCATENATE(V415,"_",W415)</f>
        <v>016_Sedes mantenidas</v>
      </c>
      <c r="Y415" s="161" t="str">
        <f>CONCATENATE(U415," ",X415)</f>
        <v>08-Infraestructura física, mantenimiento y dotación (Sedes construidas, mantenidas reforzadas) 016_Sedes mantenidas</v>
      </c>
      <c r="Z415" s="160" t="str">
        <f>CONCATENATE(P415,Q415,R415,S415,V415)</f>
        <v>O23011745992024020708016</v>
      </c>
      <c r="AA415" s="160" t="str">
        <f>IFERROR(VLOOKUP(Y415,TD!$K$46:$L$64,2,0)," ")</f>
        <v>PM/0131/0108/45990160207</v>
      </c>
      <c r="AB415" s="53" t="s">
        <v>120</v>
      </c>
      <c r="AC415" s="162" t="s">
        <v>204</v>
      </c>
    </row>
    <row r="416" spans="2:29" s="28" customFormat="1" ht="99" customHeight="1" x14ac:dyDescent="0.35">
      <c r="B416" s="77">
        <v>20250430</v>
      </c>
      <c r="C416" s="50" t="s">
        <v>208</v>
      </c>
      <c r="D416" s="158" t="s">
        <v>166</v>
      </c>
      <c r="E416" s="51" t="s">
        <v>592</v>
      </c>
      <c r="F416" s="158" t="s">
        <v>602</v>
      </c>
      <c r="G416" s="158" t="s">
        <v>156</v>
      </c>
      <c r="H416" s="97" t="s">
        <v>648</v>
      </c>
      <c r="I416" s="159">
        <v>2</v>
      </c>
      <c r="J416" s="159">
        <v>11</v>
      </c>
      <c r="K416" s="52">
        <v>0</v>
      </c>
      <c r="L416" s="153">
        <f>33534424-8198173</f>
        <v>25336251</v>
      </c>
      <c r="M416" s="158" t="s">
        <v>473</v>
      </c>
      <c r="N416" s="53" t="s">
        <v>649</v>
      </c>
      <c r="O416" s="51" t="s">
        <v>219</v>
      </c>
      <c r="P416" s="160" t="str">
        <f>IFERROR(VLOOKUP(C416,TD!$B$32:$F$36,2,0)," ")</f>
        <v>O230117</v>
      </c>
      <c r="Q416" s="160" t="str">
        <f>IFERROR(VLOOKUP(C416,TD!$B$32:$F$36,3,0)," ")</f>
        <v>4599</v>
      </c>
      <c r="R416" s="160">
        <f>IFERROR(VLOOKUP(C416,TD!$B$32:$F$36,4,0)," ")</f>
        <v>20240207</v>
      </c>
      <c r="S416" s="51" t="s">
        <v>185</v>
      </c>
      <c r="T416" s="160" t="str">
        <f>IFERROR(VLOOKUP(S416,TD!$J$33:$K$43,2,0)," ")</f>
        <v>Infraestructura física, mantenimiento y dotación (Sedes construidas, mantenidas reforzadas)</v>
      </c>
      <c r="U416" s="161" t="str">
        <f>CONCATENATE(S416,"-",T416)</f>
        <v>08-Infraestructura física, mantenimiento y dotación (Sedes construidas, mantenidas reforzadas)</v>
      </c>
      <c r="V416" s="51" t="s">
        <v>238</v>
      </c>
      <c r="W416" s="160" t="str">
        <f>IFERROR(VLOOKUP(V416,TD!$N$33:$O$45,2,0)," ")</f>
        <v>Sedes mantenidas</v>
      </c>
      <c r="X416" s="161" t="str">
        <f>CONCATENATE(V416,"_",W416)</f>
        <v>016_Sedes mantenidas</v>
      </c>
      <c r="Y416" s="161" t="str">
        <f>CONCATENATE(U416," ",X416)</f>
        <v>08-Infraestructura física, mantenimiento y dotación (Sedes construidas, mantenidas reforzadas) 016_Sedes mantenidas</v>
      </c>
      <c r="Z416" s="160" t="str">
        <f>CONCATENATE(P416,Q416,R416,S416,V416)</f>
        <v>O23011745992024020708016</v>
      </c>
      <c r="AA416" s="160" t="str">
        <f>IFERROR(VLOOKUP(Y416,TD!$K$46:$L$64,2,0)," ")</f>
        <v>PM/0131/0108/45990160207</v>
      </c>
      <c r="AB416" s="53" t="s">
        <v>138</v>
      </c>
      <c r="AC416" s="162" t="s">
        <v>204</v>
      </c>
    </row>
    <row r="417" spans="2:29" s="28" customFormat="1" ht="99" customHeight="1" x14ac:dyDescent="0.35">
      <c r="B417" s="77">
        <v>20250431</v>
      </c>
      <c r="C417" s="50" t="s">
        <v>208</v>
      </c>
      <c r="D417" s="158" t="s">
        <v>166</v>
      </c>
      <c r="E417" s="51" t="s">
        <v>592</v>
      </c>
      <c r="F417" s="158" t="s">
        <v>602</v>
      </c>
      <c r="G417" s="158" t="s">
        <v>156</v>
      </c>
      <c r="H417" s="97" t="s">
        <v>648</v>
      </c>
      <c r="I417" s="159">
        <v>2</v>
      </c>
      <c r="J417" s="159">
        <v>11</v>
      </c>
      <c r="K417" s="52">
        <v>0</v>
      </c>
      <c r="L417" s="153">
        <f>33534424-8198173</f>
        <v>25336251</v>
      </c>
      <c r="M417" s="158" t="s">
        <v>473</v>
      </c>
      <c r="N417" s="53" t="s">
        <v>649</v>
      </c>
      <c r="O417" s="51" t="s">
        <v>219</v>
      </c>
      <c r="P417" s="160" t="str">
        <f>IFERROR(VLOOKUP(C417,TD!$B$32:$F$36,2,0)," ")</f>
        <v>O230117</v>
      </c>
      <c r="Q417" s="160" t="str">
        <f>IFERROR(VLOOKUP(C417,TD!$B$32:$F$36,3,0)," ")</f>
        <v>4599</v>
      </c>
      <c r="R417" s="160">
        <f>IFERROR(VLOOKUP(C417,TD!$B$32:$F$36,4,0)," ")</f>
        <v>20240207</v>
      </c>
      <c r="S417" s="51" t="s">
        <v>185</v>
      </c>
      <c r="T417" s="160" t="str">
        <f>IFERROR(VLOOKUP(S417,TD!$J$33:$K$43,2,0)," ")</f>
        <v>Infraestructura física, mantenimiento y dotación (Sedes construidas, mantenidas reforzadas)</v>
      </c>
      <c r="U417" s="161" t="str">
        <f>CONCATENATE(S417,"-",T417)</f>
        <v>08-Infraestructura física, mantenimiento y dotación (Sedes construidas, mantenidas reforzadas)</v>
      </c>
      <c r="V417" s="51" t="s">
        <v>238</v>
      </c>
      <c r="W417" s="160" t="str">
        <f>IFERROR(VLOOKUP(V417,TD!$N$33:$O$45,2,0)," ")</f>
        <v>Sedes mantenidas</v>
      </c>
      <c r="X417" s="161" t="str">
        <f>CONCATENATE(V417,"_",W417)</f>
        <v>016_Sedes mantenidas</v>
      </c>
      <c r="Y417" s="161" t="str">
        <f>CONCATENATE(U417," ",X417)</f>
        <v>08-Infraestructura física, mantenimiento y dotación (Sedes construidas, mantenidas reforzadas) 016_Sedes mantenidas</v>
      </c>
      <c r="Z417" s="160" t="str">
        <f>CONCATENATE(P417,Q417,R417,S417,V417)</f>
        <v>O23011745992024020708016</v>
      </c>
      <c r="AA417" s="160" t="str">
        <f>IFERROR(VLOOKUP(Y417,TD!$K$46:$L$64,2,0)," ")</f>
        <v>PM/0131/0108/45990160207</v>
      </c>
      <c r="AB417" s="53" t="s">
        <v>138</v>
      </c>
      <c r="AC417" s="162" t="s">
        <v>204</v>
      </c>
    </row>
    <row r="418" spans="2:29" s="28" customFormat="1" ht="99" customHeight="1" x14ac:dyDescent="0.35">
      <c r="B418" s="77">
        <v>20250432</v>
      </c>
      <c r="C418" s="50" t="s">
        <v>208</v>
      </c>
      <c r="D418" s="158" t="s">
        <v>166</v>
      </c>
      <c r="E418" s="51" t="s">
        <v>592</v>
      </c>
      <c r="F418" s="158" t="s">
        <v>602</v>
      </c>
      <c r="G418" s="158" t="s">
        <v>156</v>
      </c>
      <c r="H418" s="97" t="s">
        <v>648</v>
      </c>
      <c r="I418" s="159">
        <v>2</v>
      </c>
      <c r="J418" s="159">
        <v>11</v>
      </c>
      <c r="K418" s="52">
        <v>0</v>
      </c>
      <c r="L418" s="153">
        <f>33534424-8198173</f>
        <v>25336251</v>
      </c>
      <c r="M418" s="158" t="s">
        <v>473</v>
      </c>
      <c r="N418" s="53" t="s">
        <v>649</v>
      </c>
      <c r="O418" s="51" t="s">
        <v>219</v>
      </c>
      <c r="P418" s="160" t="str">
        <f>IFERROR(VLOOKUP(C418,TD!$B$32:$F$36,2,0)," ")</f>
        <v>O230117</v>
      </c>
      <c r="Q418" s="160" t="str">
        <f>IFERROR(VLOOKUP(C418,TD!$B$32:$F$36,3,0)," ")</f>
        <v>4599</v>
      </c>
      <c r="R418" s="160">
        <f>IFERROR(VLOOKUP(C418,TD!$B$32:$F$36,4,0)," ")</f>
        <v>20240207</v>
      </c>
      <c r="S418" s="51" t="s">
        <v>185</v>
      </c>
      <c r="T418" s="160" t="str">
        <f>IFERROR(VLOOKUP(S418,TD!$J$33:$K$43,2,0)," ")</f>
        <v>Infraestructura física, mantenimiento y dotación (Sedes construidas, mantenidas reforzadas)</v>
      </c>
      <c r="U418" s="161" t="str">
        <f>CONCATENATE(S418,"-",T418)</f>
        <v>08-Infraestructura física, mantenimiento y dotación (Sedes construidas, mantenidas reforzadas)</v>
      </c>
      <c r="V418" s="51" t="s">
        <v>238</v>
      </c>
      <c r="W418" s="160" t="str">
        <f>IFERROR(VLOOKUP(V418,TD!$N$33:$O$45,2,0)," ")</f>
        <v>Sedes mantenidas</v>
      </c>
      <c r="X418" s="161" t="str">
        <f>CONCATENATE(V418,"_",W418)</f>
        <v>016_Sedes mantenidas</v>
      </c>
      <c r="Y418" s="161" t="str">
        <f>CONCATENATE(U418," ",X418)</f>
        <v>08-Infraestructura física, mantenimiento y dotación (Sedes construidas, mantenidas reforzadas) 016_Sedes mantenidas</v>
      </c>
      <c r="Z418" s="160" t="str">
        <f>CONCATENATE(P418,Q418,R418,S418,V418)</f>
        <v>O23011745992024020708016</v>
      </c>
      <c r="AA418" s="160" t="str">
        <f>IFERROR(VLOOKUP(Y418,TD!$K$46:$L$64,2,0)," ")</f>
        <v>PM/0131/0108/45990160207</v>
      </c>
      <c r="AB418" s="53" t="s">
        <v>138</v>
      </c>
      <c r="AC418" s="162" t="s">
        <v>204</v>
      </c>
    </row>
    <row r="419" spans="2:29" s="28" customFormat="1" ht="99" customHeight="1" x14ac:dyDescent="0.35">
      <c r="B419" s="77">
        <v>20250433</v>
      </c>
      <c r="C419" s="50" t="s">
        <v>208</v>
      </c>
      <c r="D419" s="158" t="s">
        <v>166</v>
      </c>
      <c r="E419" s="51" t="s">
        <v>592</v>
      </c>
      <c r="F419" s="158" t="s">
        <v>602</v>
      </c>
      <c r="G419" s="158" t="s">
        <v>156</v>
      </c>
      <c r="H419" s="97" t="s">
        <v>648</v>
      </c>
      <c r="I419" s="159">
        <v>2</v>
      </c>
      <c r="J419" s="159">
        <v>11</v>
      </c>
      <c r="K419" s="52">
        <v>0</v>
      </c>
      <c r="L419" s="153">
        <f>33534424-8198173</f>
        <v>25336251</v>
      </c>
      <c r="M419" s="158" t="s">
        <v>473</v>
      </c>
      <c r="N419" s="53" t="s">
        <v>649</v>
      </c>
      <c r="O419" s="51" t="s">
        <v>219</v>
      </c>
      <c r="P419" s="160" t="str">
        <f>IFERROR(VLOOKUP(C419,TD!$B$32:$F$36,2,0)," ")</f>
        <v>O230117</v>
      </c>
      <c r="Q419" s="160" t="str">
        <f>IFERROR(VLOOKUP(C419,TD!$B$32:$F$36,3,0)," ")</f>
        <v>4599</v>
      </c>
      <c r="R419" s="160">
        <f>IFERROR(VLOOKUP(C419,TD!$B$32:$F$36,4,0)," ")</f>
        <v>20240207</v>
      </c>
      <c r="S419" s="51" t="s">
        <v>185</v>
      </c>
      <c r="T419" s="160" t="str">
        <f>IFERROR(VLOOKUP(S419,TD!$J$33:$K$43,2,0)," ")</f>
        <v>Infraestructura física, mantenimiento y dotación (Sedes construidas, mantenidas reforzadas)</v>
      </c>
      <c r="U419" s="161" t="str">
        <f>CONCATENATE(S419,"-",T419)</f>
        <v>08-Infraestructura física, mantenimiento y dotación (Sedes construidas, mantenidas reforzadas)</v>
      </c>
      <c r="V419" s="51" t="s">
        <v>238</v>
      </c>
      <c r="W419" s="160" t="str">
        <f>IFERROR(VLOOKUP(V419,TD!$N$33:$O$45,2,0)," ")</f>
        <v>Sedes mantenidas</v>
      </c>
      <c r="X419" s="161" t="str">
        <f>CONCATENATE(V419,"_",W419)</f>
        <v>016_Sedes mantenidas</v>
      </c>
      <c r="Y419" s="161" t="str">
        <f>CONCATENATE(U419," ",X419)</f>
        <v>08-Infraestructura física, mantenimiento y dotación (Sedes construidas, mantenidas reforzadas) 016_Sedes mantenidas</v>
      </c>
      <c r="Z419" s="160" t="str">
        <f>CONCATENATE(P419,Q419,R419,S419,V419)</f>
        <v>O23011745992024020708016</v>
      </c>
      <c r="AA419" s="160" t="str">
        <f>IFERROR(VLOOKUP(Y419,TD!$K$46:$L$64,2,0)," ")</f>
        <v>PM/0131/0108/45990160207</v>
      </c>
      <c r="AB419" s="53" t="s">
        <v>138</v>
      </c>
      <c r="AC419" s="162" t="s">
        <v>204</v>
      </c>
    </row>
    <row r="420" spans="2:29" s="28" customFormat="1" ht="99" customHeight="1" x14ac:dyDescent="0.35">
      <c r="B420" s="152">
        <v>20250434</v>
      </c>
      <c r="C420" s="164" t="s">
        <v>208</v>
      </c>
      <c r="D420" s="165" t="s">
        <v>166</v>
      </c>
      <c r="E420" s="166" t="s">
        <v>592</v>
      </c>
      <c r="F420" s="165" t="s">
        <v>617</v>
      </c>
      <c r="G420" s="165" t="s">
        <v>155</v>
      </c>
      <c r="H420" s="167" t="s">
        <v>648</v>
      </c>
      <c r="I420" s="163">
        <v>2</v>
      </c>
      <c r="J420" s="163">
        <v>11</v>
      </c>
      <c r="K420" s="151">
        <v>0</v>
      </c>
      <c r="L420" s="154">
        <v>72000000</v>
      </c>
      <c r="M420" s="165" t="s">
        <v>473</v>
      </c>
      <c r="N420" s="150" t="s">
        <v>649</v>
      </c>
      <c r="O420" s="166" t="s">
        <v>219</v>
      </c>
      <c r="P420" s="168" t="str">
        <f>IFERROR(VLOOKUP(C420,TD!$B$32:$F$36,2,0)," ")</f>
        <v>O230117</v>
      </c>
      <c r="Q420" s="168" t="str">
        <f>IFERROR(VLOOKUP(C420,TD!$B$32:$F$36,3,0)," ")</f>
        <v>4599</v>
      </c>
      <c r="R420" s="168">
        <f>IFERROR(VLOOKUP(C420,TD!$B$32:$F$36,4,0)," ")</f>
        <v>20240207</v>
      </c>
      <c r="S420" s="166" t="s">
        <v>185</v>
      </c>
      <c r="T420" s="168" t="str">
        <f>IFERROR(VLOOKUP(S420,TD!$J$33:$K$43,2,0)," ")</f>
        <v>Infraestructura física, mantenimiento y dotación (Sedes construidas, mantenidas reforzadas)</v>
      </c>
      <c r="U420" s="161" t="str">
        <f>CONCATENATE(S420,"-",T420)</f>
        <v>08-Infraestructura física, mantenimiento y dotación (Sedes construidas, mantenidas reforzadas)</v>
      </c>
      <c r="V420" s="166" t="s">
        <v>238</v>
      </c>
      <c r="W420" s="168" t="str">
        <f>IFERROR(VLOOKUP(V420,TD!$N$33:$O$45,2,0)," ")</f>
        <v>Sedes mantenidas</v>
      </c>
      <c r="X420" s="161" t="str">
        <f>CONCATENATE(V420,"_",W420)</f>
        <v>016_Sedes mantenidas</v>
      </c>
      <c r="Y420" s="161" t="str">
        <f>CONCATENATE(U420," ",X420)</f>
        <v>08-Infraestructura física, mantenimiento y dotación (Sedes construidas, mantenidas reforzadas) 016_Sedes mantenidas</v>
      </c>
      <c r="Z420" s="168" t="str">
        <f>CONCATENATE(P420,Q420,R420,S420,V420)</f>
        <v>O23011745992024020708016</v>
      </c>
      <c r="AA420" s="168" t="str">
        <f>IFERROR(VLOOKUP(Y420,TD!$K$46:$L$64,2,0)," ")</f>
        <v>PM/0131/0108/45990160207</v>
      </c>
      <c r="AB420" s="150" t="s">
        <v>138</v>
      </c>
      <c r="AC420" s="169" t="s">
        <v>204</v>
      </c>
    </row>
    <row r="421" spans="2:29" s="28" customFormat="1" ht="99" customHeight="1" x14ac:dyDescent="0.35">
      <c r="B421" s="152">
        <v>20250436</v>
      </c>
      <c r="C421" s="164" t="s">
        <v>208</v>
      </c>
      <c r="D421" s="165" t="s">
        <v>166</v>
      </c>
      <c r="E421" s="166" t="s">
        <v>592</v>
      </c>
      <c r="F421" s="165" t="s">
        <v>864</v>
      </c>
      <c r="G421" s="165" t="s">
        <v>155</v>
      </c>
      <c r="H421" s="167" t="s">
        <v>648</v>
      </c>
      <c r="I421" s="163">
        <v>2</v>
      </c>
      <c r="J421" s="163">
        <v>11</v>
      </c>
      <c r="K421" s="151">
        <v>0</v>
      </c>
      <c r="L421" s="154">
        <v>59920000</v>
      </c>
      <c r="M421" s="165" t="s">
        <v>473</v>
      </c>
      <c r="N421" s="150" t="s">
        <v>649</v>
      </c>
      <c r="O421" s="166" t="s">
        <v>219</v>
      </c>
      <c r="P421" s="168" t="str">
        <f>IFERROR(VLOOKUP(C421,TD!$B$32:$F$36,2,0)," ")</f>
        <v>O230117</v>
      </c>
      <c r="Q421" s="168" t="str">
        <f>IFERROR(VLOOKUP(C421,TD!$B$32:$F$36,3,0)," ")</f>
        <v>4599</v>
      </c>
      <c r="R421" s="168">
        <f>IFERROR(VLOOKUP(C421,TD!$B$32:$F$36,4,0)," ")</f>
        <v>20240207</v>
      </c>
      <c r="S421" s="166" t="s">
        <v>185</v>
      </c>
      <c r="T421" s="168" t="str">
        <f>IFERROR(VLOOKUP(S421,TD!$J$33:$K$43,2,0)," ")</f>
        <v>Infraestructura física, mantenimiento y dotación (Sedes construidas, mantenidas reforzadas)</v>
      </c>
      <c r="U421" s="161" t="str">
        <f>CONCATENATE(S421,"-",T421)</f>
        <v>08-Infraestructura física, mantenimiento y dotación (Sedes construidas, mantenidas reforzadas)</v>
      </c>
      <c r="V421" s="166" t="s">
        <v>238</v>
      </c>
      <c r="W421" s="168" t="str">
        <f>IFERROR(VLOOKUP(V421,TD!$N$33:$O$45,2,0)," ")</f>
        <v>Sedes mantenidas</v>
      </c>
      <c r="X421" s="161" t="str">
        <f>CONCATENATE(V421,"_",W421)</f>
        <v>016_Sedes mantenidas</v>
      </c>
      <c r="Y421" s="161" t="str">
        <f>CONCATENATE(U421," ",X421)</f>
        <v>08-Infraestructura física, mantenimiento y dotación (Sedes construidas, mantenidas reforzadas) 016_Sedes mantenidas</v>
      </c>
      <c r="Z421" s="168" t="str">
        <f>CONCATENATE(P421,Q421,R421,S421,V421)</f>
        <v>O23011745992024020708016</v>
      </c>
      <c r="AA421" s="168" t="str">
        <f>IFERROR(VLOOKUP(Y421,TD!$K$46:$L$64,2,0)," ")</f>
        <v>PM/0131/0108/45990160207</v>
      </c>
      <c r="AB421" s="150" t="s">
        <v>138</v>
      </c>
      <c r="AC421" s="169" t="s">
        <v>204</v>
      </c>
    </row>
    <row r="422" spans="2:29" s="28" customFormat="1" ht="99" customHeight="1" x14ac:dyDescent="0.35">
      <c r="B422" s="77">
        <v>20250437</v>
      </c>
      <c r="C422" s="50" t="s">
        <v>208</v>
      </c>
      <c r="D422" s="158" t="s">
        <v>166</v>
      </c>
      <c r="E422" s="51" t="s">
        <v>592</v>
      </c>
      <c r="F422" s="158" t="s">
        <v>619</v>
      </c>
      <c r="G422" s="158" t="s">
        <v>155</v>
      </c>
      <c r="H422" s="97" t="s">
        <v>648</v>
      </c>
      <c r="I422" s="159">
        <v>2</v>
      </c>
      <c r="J422" s="159">
        <v>11</v>
      </c>
      <c r="K422" s="52">
        <v>0</v>
      </c>
      <c r="L422" s="153">
        <f>77000000-15469124</f>
        <v>61530876</v>
      </c>
      <c r="M422" s="158" t="s">
        <v>473</v>
      </c>
      <c r="N422" s="53" t="s">
        <v>649</v>
      </c>
      <c r="O422" s="51" t="s">
        <v>219</v>
      </c>
      <c r="P422" s="160" t="str">
        <f>IFERROR(VLOOKUP(C422,TD!$B$32:$F$36,2,0)," ")</f>
        <v>O230117</v>
      </c>
      <c r="Q422" s="160" t="str">
        <f>IFERROR(VLOOKUP(C422,TD!$B$32:$F$36,3,0)," ")</f>
        <v>4599</v>
      </c>
      <c r="R422" s="160">
        <f>IFERROR(VLOOKUP(C422,TD!$B$32:$F$36,4,0)," ")</f>
        <v>20240207</v>
      </c>
      <c r="S422" s="51" t="s">
        <v>185</v>
      </c>
      <c r="T422" s="160" t="str">
        <f>IFERROR(VLOOKUP(S422,TD!$J$33:$K$43,2,0)," ")</f>
        <v>Infraestructura física, mantenimiento y dotación (Sedes construidas, mantenidas reforzadas)</v>
      </c>
      <c r="U422" s="161" t="str">
        <f>CONCATENATE(S422,"-",T422)</f>
        <v>08-Infraestructura física, mantenimiento y dotación (Sedes construidas, mantenidas reforzadas)</v>
      </c>
      <c r="V422" s="51" t="s">
        <v>238</v>
      </c>
      <c r="W422" s="160" t="str">
        <f>IFERROR(VLOOKUP(V422,TD!$N$33:$O$45,2,0)," ")</f>
        <v>Sedes mantenidas</v>
      </c>
      <c r="X422" s="161" t="str">
        <f>CONCATENATE(V422,"_",W422)</f>
        <v>016_Sedes mantenidas</v>
      </c>
      <c r="Y422" s="161" t="str">
        <f>CONCATENATE(U422," ",X422)</f>
        <v>08-Infraestructura física, mantenimiento y dotación (Sedes construidas, mantenidas reforzadas) 016_Sedes mantenidas</v>
      </c>
      <c r="Z422" s="160" t="str">
        <f>CONCATENATE(P422,Q422,R422,S422,V422)</f>
        <v>O23011745992024020708016</v>
      </c>
      <c r="AA422" s="160" t="str">
        <f>IFERROR(VLOOKUP(Y422,TD!$K$46:$L$64,2,0)," ")</f>
        <v>PM/0131/0108/45990160207</v>
      </c>
      <c r="AB422" s="53" t="s">
        <v>138</v>
      </c>
      <c r="AC422" s="162" t="s">
        <v>204</v>
      </c>
    </row>
    <row r="423" spans="2:29" s="28" customFormat="1" ht="99" customHeight="1" x14ac:dyDescent="0.35">
      <c r="B423" s="77">
        <v>20250438</v>
      </c>
      <c r="C423" s="50" t="s">
        <v>208</v>
      </c>
      <c r="D423" s="158" t="s">
        <v>166</v>
      </c>
      <c r="E423" s="51" t="s">
        <v>592</v>
      </c>
      <c r="F423" s="158" t="s">
        <v>620</v>
      </c>
      <c r="G423" s="158" t="s">
        <v>156</v>
      </c>
      <c r="H423" s="97" t="s">
        <v>648</v>
      </c>
      <c r="I423" s="159">
        <v>2</v>
      </c>
      <c r="J423" s="159">
        <v>11</v>
      </c>
      <c r="K423" s="52">
        <v>0</v>
      </c>
      <c r="L423" s="153">
        <f>33534424-8198173</f>
        <v>25336251</v>
      </c>
      <c r="M423" s="158" t="s">
        <v>473</v>
      </c>
      <c r="N423" s="53" t="s">
        <v>649</v>
      </c>
      <c r="O423" s="51" t="s">
        <v>219</v>
      </c>
      <c r="P423" s="160" t="str">
        <f>IFERROR(VLOOKUP(C423,TD!$B$32:$F$36,2,0)," ")</f>
        <v>O230117</v>
      </c>
      <c r="Q423" s="160" t="str">
        <f>IFERROR(VLOOKUP(C423,TD!$B$32:$F$36,3,0)," ")</f>
        <v>4599</v>
      </c>
      <c r="R423" s="160">
        <f>IFERROR(VLOOKUP(C423,TD!$B$32:$F$36,4,0)," ")</f>
        <v>20240207</v>
      </c>
      <c r="S423" s="51" t="s">
        <v>185</v>
      </c>
      <c r="T423" s="160" t="str">
        <f>IFERROR(VLOOKUP(S423,TD!$J$33:$K$43,2,0)," ")</f>
        <v>Infraestructura física, mantenimiento y dotación (Sedes construidas, mantenidas reforzadas)</v>
      </c>
      <c r="U423" s="161" t="str">
        <f>CONCATENATE(S423,"-",T423)</f>
        <v>08-Infraestructura física, mantenimiento y dotación (Sedes construidas, mantenidas reforzadas)</v>
      </c>
      <c r="V423" s="51" t="s">
        <v>238</v>
      </c>
      <c r="W423" s="160" t="str">
        <f>IFERROR(VLOOKUP(V423,TD!$N$33:$O$45,2,0)," ")</f>
        <v>Sedes mantenidas</v>
      </c>
      <c r="X423" s="161" t="str">
        <f>CONCATENATE(V423,"_",W423)</f>
        <v>016_Sedes mantenidas</v>
      </c>
      <c r="Y423" s="161" t="str">
        <f>CONCATENATE(U423," ",X423)</f>
        <v>08-Infraestructura física, mantenimiento y dotación (Sedes construidas, mantenidas reforzadas) 016_Sedes mantenidas</v>
      </c>
      <c r="Z423" s="160" t="str">
        <f>CONCATENATE(P423,Q423,R423,S423,V423)</f>
        <v>O23011745992024020708016</v>
      </c>
      <c r="AA423" s="160" t="str">
        <f>IFERROR(VLOOKUP(Y423,TD!$K$46:$L$64,2,0)," ")</f>
        <v>PM/0131/0108/45990160207</v>
      </c>
      <c r="AB423" s="53" t="s">
        <v>138</v>
      </c>
      <c r="AC423" s="162" t="s">
        <v>204</v>
      </c>
    </row>
    <row r="424" spans="2:29" s="28" customFormat="1" ht="99" customHeight="1" x14ac:dyDescent="0.35">
      <c r="B424" s="152">
        <v>20250439</v>
      </c>
      <c r="C424" s="164" t="s">
        <v>208</v>
      </c>
      <c r="D424" s="165" t="s">
        <v>166</v>
      </c>
      <c r="E424" s="166" t="s">
        <v>592</v>
      </c>
      <c r="F424" s="165" t="s">
        <v>621</v>
      </c>
      <c r="G424" s="165" t="s">
        <v>155</v>
      </c>
      <c r="H424" s="167" t="s">
        <v>648</v>
      </c>
      <c r="I424" s="163">
        <v>2</v>
      </c>
      <c r="J424" s="163">
        <v>11</v>
      </c>
      <c r="K424" s="151">
        <v>0</v>
      </c>
      <c r="L424" s="154">
        <v>67500000</v>
      </c>
      <c r="M424" s="165" t="s">
        <v>473</v>
      </c>
      <c r="N424" s="150" t="s">
        <v>649</v>
      </c>
      <c r="O424" s="166" t="s">
        <v>219</v>
      </c>
      <c r="P424" s="168" t="str">
        <f>IFERROR(VLOOKUP(C424,TD!$B$32:$F$36,2,0)," ")</f>
        <v>O230117</v>
      </c>
      <c r="Q424" s="168" t="str">
        <f>IFERROR(VLOOKUP(C424,TD!$B$32:$F$36,3,0)," ")</f>
        <v>4599</v>
      </c>
      <c r="R424" s="168">
        <f>IFERROR(VLOOKUP(C424,TD!$B$32:$F$36,4,0)," ")</f>
        <v>20240207</v>
      </c>
      <c r="S424" s="166" t="s">
        <v>185</v>
      </c>
      <c r="T424" s="168" t="str">
        <f>IFERROR(VLOOKUP(S424,TD!$J$33:$K$43,2,0)," ")</f>
        <v>Infraestructura física, mantenimiento y dotación (Sedes construidas, mantenidas reforzadas)</v>
      </c>
      <c r="U424" s="161" t="str">
        <f>CONCATENATE(S424,"-",T424)</f>
        <v>08-Infraestructura física, mantenimiento y dotación (Sedes construidas, mantenidas reforzadas)</v>
      </c>
      <c r="V424" s="166" t="s">
        <v>238</v>
      </c>
      <c r="W424" s="168" t="str">
        <f>IFERROR(VLOOKUP(V424,TD!$N$33:$O$45,2,0)," ")</f>
        <v>Sedes mantenidas</v>
      </c>
      <c r="X424" s="161" t="str">
        <f>CONCATENATE(V424,"_",W424)</f>
        <v>016_Sedes mantenidas</v>
      </c>
      <c r="Y424" s="161" t="str">
        <f>CONCATENATE(U424," ",X424)</f>
        <v>08-Infraestructura física, mantenimiento y dotación (Sedes construidas, mantenidas reforzadas) 016_Sedes mantenidas</v>
      </c>
      <c r="Z424" s="168" t="str">
        <f>CONCATENATE(P424,Q424,R424,S424,V424)</f>
        <v>O23011745992024020708016</v>
      </c>
      <c r="AA424" s="168" t="str">
        <f>IFERROR(VLOOKUP(Y424,TD!$K$46:$L$64,2,0)," ")</f>
        <v>PM/0131/0108/45990160207</v>
      </c>
      <c r="AB424" s="150" t="s">
        <v>138</v>
      </c>
      <c r="AC424" s="169" t="s">
        <v>204</v>
      </c>
    </row>
    <row r="425" spans="2:29" s="28" customFormat="1" ht="99" customHeight="1" x14ac:dyDescent="0.35">
      <c r="B425" s="77">
        <v>20250440</v>
      </c>
      <c r="C425" s="50" t="s">
        <v>208</v>
      </c>
      <c r="D425" s="158" t="s">
        <v>166</v>
      </c>
      <c r="E425" s="51" t="s">
        <v>592</v>
      </c>
      <c r="F425" s="158" t="s">
        <v>622</v>
      </c>
      <c r="G425" s="158" t="s">
        <v>156</v>
      </c>
      <c r="H425" s="97" t="s">
        <v>648</v>
      </c>
      <c r="I425" s="159">
        <v>2</v>
      </c>
      <c r="J425" s="159">
        <v>11</v>
      </c>
      <c r="K425" s="52">
        <v>0</v>
      </c>
      <c r="L425" s="153">
        <v>33178419</v>
      </c>
      <c r="M425" s="158" t="s">
        <v>473</v>
      </c>
      <c r="N425" s="53" t="s">
        <v>649</v>
      </c>
      <c r="O425" s="51" t="s">
        <v>219</v>
      </c>
      <c r="P425" s="160" t="str">
        <f>IFERROR(VLOOKUP(C425,TD!$B$32:$F$36,2,0)," ")</f>
        <v>O230117</v>
      </c>
      <c r="Q425" s="160" t="str">
        <f>IFERROR(VLOOKUP(C425,TD!$B$32:$F$36,3,0)," ")</f>
        <v>4599</v>
      </c>
      <c r="R425" s="160">
        <f>IFERROR(VLOOKUP(C425,TD!$B$32:$F$36,4,0)," ")</f>
        <v>20240207</v>
      </c>
      <c r="S425" s="51" t="s">
        <v>185</v>
      </c>
      <c r="T425" s="160" t="str">
        <f>IFERROR(VLOOKUP(S425,TD!$J$33:$K$43,2,0)," ")</f>
        <v>Infraestructura física, mantenimiento y dotación (Sedes construidas, mantenidas reforzadas)</v>
      </c>
      <c r="U425" s="161" t="str">
        <f>CONCATENATE(S425,"-",T425)</f>
        <v>08-Infraestructura física, mantenimiento y dotación (Sedes construidas, mantenidas reforzadas)</v>
      </c>
      <c r="V425" s="51" t="s">
        <v>238</v>
      </c>
      <c r="W425" s="160" t="str">
        <f>IFERROR(VLOOKUP(V425,TD!$N$33:$O$45,2,0)," ")</f>
        <v>Sedes mantenidas</v>
      </c>
      <c r="X425" s="161" t="str">
        <f>CONCATENATE(V425,"_",W425)</f>
        <v>016_Sedes mantenidas</v>
      </c>
      <c r="Y425" s="161" t="str">
        <f>CONCATENATE(U425," ",X425)</f>
        <v>08-Infraestructura física, mantenimiento y dotación (Sedes construidas, mantenidas reforzadas) 016_Sedes mantenidas</v>
      </c>
      <c r="Z425" s="160" t="str">
        <f>CONCATENATE(P425,Q425,R425,S425,V425)</f>
        <v>O23011745992024020708016</v>
      </c>
      <c r="AA425" s="160" t="str">
        <f>IFERROR(VLOOKUP(Y425,TD!$K$46:$L$64,2,0)," ")</f>
        <v>PM/0131/0108/45990160207</v>
      </c>
      <c r="AB425" s="53" t="s">
        <v>138</v>
      </c>
      <c r="AC425" s="162" t="s">
        <v>204</v>
      </c>
    </row>
    <row r="426" spans="2:29" s="28" customFormat="1" ht="99" customHeight="1" x14ac:dyDescent="0.35">
      <c r="B426" s="77">
        <v>20250441</v>
      </c>
      <c r="C426" s="50" t="s">
        <v>208</v>
      </c>
      <c r="D426" s="158" t="s">
        <v>166</v>
      </c>
      <c r="E426" s="51" t="s">
        <v>592</v>
      </c>
      <c r="F426" s="158" t="s">
        <v>623</v>
      </c>
      <c r="G426" s="158" t="s">
        <v>156</v>
      </c>
      <c r="H426" s="97" t="s">
        <v>648</v>
      </c>
      <c r="I426" s="159">
        <v>2</v>
      </c>
      <c r="J426" s="159">
        <v>11</v>
      </c>
      <c r="K426" s="52">
        <v>0</v>
      </c>
      <c r="L426" s="153">
        <v>25336251</v>
      </c>
      <c r="M426" s="158" t="s">
        <v>473</v>
      </c>
      <c r="N426" s="53" t="s">
        <v>649</v>
      </c>
      <c r="O426" s="51" t="s">
        <v>219</v>
      </c>
      <c r="P426" s="160" t="str">
        <f>IFERROR(VLOOKUP(C426,TD!$B$32:$F$36,2,0)," ")</f>
        <v>O230117</v>
      </c>
      <c r="Q426" s="160" t="str">
        <f>IFERROR(VLOOKUP(C426,TD!$B$32:$F$36,3,0)," ")</f>
        <v>4599</v>
      </c>
      <c r="R426" s="160">
        <f>IFERROR(VLOOKUP(C426,TD!$B$32:$F$36,4,0)," ")</f>
        <v>20240207</v>
      </c>
      <c r="S426" s="51" t="s">
        <v>185</v>
      </c>
      <c r="T426" s="160" t="str">
        <f>IFERROR(VLOOKUP(S426,TD!$J$33:$K$43,2,0)," ")</f>
        <v>Infraestructura física, mantenimiento y dotación (Sedes construidas, mantenidas reforzadas)</v>
      </c>
      <c r="U426" s="161" t="str">
        <f>CONCATENATE(S426,"-",T426)</f>
        <v>08-Infraestructura física, mantenimiento y dotación (Sedes construidas, mantenidas reforzadas)</v>
      </c>
      <c r="V426" s="51" t="s">
        <v>238</v>
      </c>
      <c r="W426" s="160" t="str">
        <f>IFERROR(VLOOKUP(V426,TD!$N$33:$O$45,2,0)," ")</f>
        <v>Sedes mantenidas</v>
      </c>
      <c r="X426" s="161" t="str">
        <f>CONCATENATE(V426,"_",W426)</f>
        <v>016_Sedes mantenidas</v>
      </c>
      <c r="Y426" s="161" t="str">
        <f>CONCATENATE(U426," ",X426)</f>
        <v>08-Infraestructura física, mantenimiento y dotación (Sedes construidas, mantenidas reforzadas) 016_Sedes mantenidas</v>
      </c>
      <c r="Z426" s="160" t="str">
        <f>CONCATENATE(P426,Q426,R426,S426,V426)</f>
        <v>O23011745992024020708016</v>
      </c>
      <c r="AA426" s="160" t="str">
        <f>IFERROR(VLOOKUP(Y426,TD!$K$46:$L$64,2,0)," ")</f>
        <v>PM/0131/0108/45990160207</v>
      </c>
      <c r="AB426" s="53" t="s">
        <v>138</v>
      </c>
      <c r="AC426" s="162" t="s">
        <v>204</v>
      </c>
    </row>
    <row r="427" spans="2:29" s="28" customFormat="1" ht="99" customHeight="1" x14ac:dyDescent="0.35">
      <c r="B427" s="77">
        <v>20250442</v>
      </c>
      <c r="C427" s="50" t="s">
        <v>208</v>
      </c>
      <c r="D427" s="158" t="s">
        <v>166</v>
      </c>
      <c r="E427" s="51" t="s">
        <v>592</v>
      </c>
      <c r="F427" s="158" t="s">
        <v>622</v>
      </c>
      <c r="G427" s="158" t="s">
        <v>156</v>
      </c>
      <c r="H427" s="97" t="s">
        <v>648</v>
      </c>
      <c r="I427" s="98">
        <v>2</v>
      </c>
      <c r="J427" s="159">
        <v>11</v>
      </c>
      <c r="K427" s="52">
        <v>0</v>
      </c>
      <c r="L427" s="153">
        <v>19705973</v>
      </c>
      <c r="M427" s="158" t="s">
        <v>473</v>
      </c>
      <c r="N427" s="53" t="s">
        <v>649</v>
      </c>
      <c r="O427" s="51" t="s">
        <v>219</v>
      </c>
      <c r="P427" s="160" t="str">
        <f>IFERROR(VLOOKUP(C427,TD!$B$32:$F$36,2,0)," ")</f>
        <v>O230117</v>
      </c>
      <c r="Q427" s="160" t="str">
        <f>IFERROR(VLOOKUP(C427,TD!$B$32:$F$36,3,0)," ")</f>
        <v>4599</v>
      </c>
      <c r="R427" s="160">
        <f>IFERROR(VLOOKUP(C427,TD!$B$32:$F$36,4,0)," ")</f>
        <v>20240207</v>
      </c>
      <c r="S427" s="51" t="s">
        <v>185</v>
      </c>
      <c r="T427" s="160" t="str">
        <f>IFERROR(VLOOKUP(S427,TD!$J$33:$K$43,2,0)," ")</f>
        <v>Infraestructura física, mantenimiento y dotación (Sedes construidas, mantenidas reforzadas)</v>
      </c>
      <c r="U427" s="161" t="str">
        <f>CONCATENATE(S427,"-",T427)</f>
        <v>08-Infraestructura física, mantenimiento y dotación (Sedes construidas, mantenidas reforzadas)</v>
      </c>
      <c r="V427" s="51" t="s">
        <v>238</v>
      </c>
      <c r="W427" s="160" t="str">
        <f>IFERROR(VLOOKUP(V427,TD!$N$33:$O$45,2,0)," ")</f>
        <v>Sedes mantenidas</v>
      </c>
      <c r="X427" s="161" t="str">
        <f>CONCATENATE(V427,"_",W427)</f>
        <v>016_Sedes mantenidas</v>
      </c>
      <c r="Y427" s="161" t="str">
        <f>CONCATENATE(U427," ",X427)</f>
        <v>08-Infraestructura física, mantenimiento y dotación (Sedes construidas, mantenidas reforzadas) 016_Sedes mantenidas</v>
      </c>
      <c r="Z427" s="160" t="str">
        <f>CONCATENATE(P427,Q427,R427,S427,V427)</f>
        <v>O23011745992024020708016</v>
      </c>
      <c r="AA427" s="160" t="str">
        <f>IFERROR(VLOOKUP(Y427,TD!$K$46:$L$64,2,0)," ")</f>
        <v>PM/0131/0108/45990160207</v>
      </c>
      <c r="AB427" s="53" t="s">
        <v>138</v>
      </c>
      <c r="AC427" s="162" t="s">
        <v>204</v>
      </c>
    </row>
    <row r="428" spans="2:29" s="28" customFormat="1" ht="99" customHeight="1" x14ac:dyDescent="0.35">
      <c r="B428" s="152">
        <v>20250443</v>
      </c>
      <c r="C428" s="164" t="s">
        <v>208</v>
      </c>
      <c r="D428" s="165" t="s">
        <v>166</v>
      </c>
      <c r="E428" s="166" t="s">
        <v>592</v>
      </c>
      <c r="F428" s="165" t="s">
        <v>622</v>
      </c>
      <c r="G428" s="165" t="s">
        <v>156</v>
      </c>
      <c r="H428" s="167" t="s">
        <v>648</v>
      </c>
      <c r="I428" s="170">
        <v>2</v>
      </c>
      <c r="J428" s="163">
        <v>11</v>
      </c>
      <c r="K428" s="151">
        <v>0</v>
      </c>
      <c r="L428" s="154">
        <v>24800000</v>
      </c>
      <c r="M428" s="165" t="s">
        <v>473</v>
      </c>
      <c r="N428" s="150" t="s">
        <v>649</v>
      </c>
      <c r="O428" s="166" t="s">
        <v>219</v>
      </c>
      <c r="P428" s="168" t="str">
        <f>IFERROR(VLOOKUP(C428,TD!$B$32:$F$36,2,0)," ")</f>
        <v>O230117</v>
      </c>
      <c r="Q428" s="168" t="str">
        <f>IFERROR(VLOOKUP(C428,TD!$B$32:$F$36,3,0)," ")</f>
        <v>4599</v>
      </c>
      <c r="R428" s="168">
        <f>IFERROR(VLOOKUP(C428,TD!$B$32:$F$36,4,0)," ")</f>
        <v>20240207</v>
      </c>
      <c r="S428" s="166" t="s">
        <v>185</v>
      </c>
      <c r="T428" s="168" t="str">
        <f>IFERROR(VLOOKUP(S428,TD!$J$33:$K$43,2,0)," ")</f>
        <v>Infraestructura física, mantenimiento y dotación (Sedes construidas, mantenidas reforzadas)</v>
      </c>
      <c r="U428" s="161" t="str">
        <f>CONCATENATE(S428,"-",T428)</f>
        <v>08-Infraestructura física, mantenimiento y dotación (Sedes construidas, mantenidas reforzadas)</v>
      </c>
      <c r="V428" s="166" t="s">
        <v>238</v>
      </c>
      <c r="W428" s="168" t="str">
        <f>IFERROR(VLOOKUP(V428,TD!$N$33:$O$45,2,0)," ")</f>
        <v>Sedes mantenidas</v>
      </c>
      <c r="X428" s="161" t="str">
        <f>CONCATENATE(V428,"_",W428)</f>
        <v>016_Sedes mantenidas</v>
      </c>
      <c r="Y428" s="161" t="str">
        <f>CONCATENATE(U428," ",X428)</f>
        <v>08-Infraestructura física, mantenimiento y dotación (Sedes construidas, mantenidas reforzadas) 016_Sedes mantenidas</v>
      </c>
      <c r="Z428" s="168" t="str">
        <f>CONCATENATE(P428,Q428,R428,S428,V428)</f>
        <v>O23011745992024020708016</v>
      </c>
      <c r="AA428" s="168" t="str">
        <f>IFERROR(VLOOKUP(Y428,TD!$K$46:$L$64,2,0)," ")</f>
        <v>PM/0131/0108/45990160207</v>
      </c>
      <c r="AB428" s="150" t="s">
        <v>138</v>
      </c>
      <c r="AC428" s="169" t="s">
        <v>204</v>
      </c>
    </row>
    <row r="429" spans="2:29" s="28" customFormat="1" ht="99" customHeight="1" x14ac:dyDescent="0.35">
      <c r="B429" s="77">
        <v>20250444</v>
      </c>
      <c r="C429" s="50" t="s">
        <v>208</v>
      </c>
      <c r="D429" s="158" t="s">
        <v>166</v>
      </c>
      <c r="E429" s="51" t="s">
        <v>592</v>
      </c>
      <c r="F429" s="158" t="s">
        <v>773</v>
      </c>
      <c r="G429" s="158" t="s">
        <v>155</v>
      </c>
      <c r="H429" s="97" t="s">
        <v>648</v>
      </c>
      <c r="I429" s="159">
        <v>2</v>
      </c>
      <c r="J429" s="159">
        <v>11</v>
      </c>
      <c r="K429" s="52">
        <v>0</v>
      </c>
      <c r="L429" s="153">
        <v>46449783</v>
      </c>
      <c r="M429" s="158" t="s">
        <v>473</v>
      </c>
      <c r="N429" s="53" t="s">
        <v>649</v>
      </c>
      <c r="O429" s="51" t="s">
        <v>219</v>
      </c>
      <c r="P429" s="160" t="str">
        <f>IFERROR(VLOOKUP(C429,TD!$B$32:$F$36,2,0)," ")</f>
        <v>O230117</v>
      </c>
      <c r="Q429" s="160" t="str">
        <f>IFERROR(VLOOKUP(C429,TD!$B$32:$F$36,3,0)," ")</f>
        <v>4599</v>
      </c>
      <c r="R429" s="160">
        <f>IFERROR(VLOOKUP(C429,TD!$B$32:$F$36,4,0)," ")</f>
        <v>20240207</v>
      </c>
      <c r="S429" s="51" t="s">
        <v>185</v>
      </c>
      <c r="T429" s="160" t="str">
        <f>IFERROR(VLOOKUP(S429,TD!$J$33:$K$43,2,0)," ")</f>
        <v>Infraestructura física, mantenimiento y dotación (Sedes construidas, mantenidas reforzadas)</v>
      </c>
      <c r="U429" s="161" t="str">
        <f>CONCATENATE(S429,"-",T429)</f>
        <v>08-Infraestructura física, mantenimiento y dotación (Sedes construidas, mantenidas reforzadas)</v>
      </c>
      <c r="V429" s="51" t="s">
        <v>238</v>
      </c>
      <c r="W429" s="160" t="str">
        <f>IFERROR(VLOOKUP(V429,TD!$N$33:$O$45,2,0)," ")</f>
        <v>Sedes mantenidas</v>
      </c>
      <c r="X429" s="161" t="str">
        <f>CONCATENATE(V429,"_",W429)</f>
        <v>016_Sedes mantenidas</v>
      </c>
      <c r="Y429" s="161" t="str">
        <f>CONCATENATE(U429," ",X429)</f>
        <v>08-Infraestructura física, mantenimiento y dotación (Sedes construidas, mantenidas reforzadas) 016_Sedes mantenidas</v>
      </c>
      <c r="Z429" s="160" t="str">
        <f>CONCATENATE(P429,Q429,R429,S429,V429)</f>
        <v>O23011745992024020708016</v>
      </c>
      <c r="AA429" s="160" t="str">
        <f>IFERROR(VLOOKUP(Y429,TD!$K$46:$L$64,2,0)," ")</f>
        <v>PM/0131/0108/45990160207</v>
      </c>
      <c r="AB429" s="53" t="s">
        <v>138</v>
      </c>
      <c r="AC429" s="162" t="s">
        <v>204</v>
      </c>
    </row>
    <row r="430" spans="2:29" s="28" customFormat="1" ht="99" customHeight="1" x14ac:dyDescent="0.35">
      <c r="B430" s="77">
        <v>20250445</v>
      </c>
      <c r="C430" s="50" t="s">
        <v>208</v>
      </c>
      <c r="D430" s="158" t="s">
        <v>166</v>
      </c>
      <c r="E430" s="51" t="s">
        <v>592</v>
      </c>
      <c r="F430" s="158" t="s">
        <v>774</v>
      </c>
      <c r="G430" s="158" t="s">
        <v>155</v>
      </c>
      <c r="H430" s="97" t="s">
        <v>648</v>
      </c>
      <c r="I430" s="159">
        <v>2</v>
      </c>
      <c r="J430" s="159">
        <v>11</v>
      </c>
      <c r="K430" s="52">
        <v>0</v>
      </c>
      <c r="L430" s="153">
        <v>46449783</v>
      </c>
      <c r="M430" s="158" t="s">
        <v>473</v>
      </c>
      <c r="N430" s="53" t="s">
        <v>649</v>
      </c>
      <c r="O430" s="51" t="s">
        <v>219</v>
      </c>
      <c r="P430" s="160" t="str">
        <f>IFERROR(VLOOKUP(C430,TD!$B$32:$F$36,2,0)," ")</f>
        <v>O230117</v>
      </c>
      <c r="Q430" s="160" t="str">
        <f>IFERROR(VLOOKUP(C430,TD!$B$32:$F$36,3,0)," ")</f>
        <v>4599</v>
      </c>
      <c r="R430" s="160">
        <f>IFERROR(VLOOKUP(C430,TD!$B$32:$F$36,4,0)," ")</f>
        <v>20240207</v>
      </c>
      <c r="S430" s="51" t="s">
        <v>185</v>
      </c>
      <c r="T430" s="160" t="str">
        <f>IFERROR(VLOOKUP(S430,TD!$J$33:$K$43,2,0)," ")</f>
        <v>Infraestructura física, mantenimiento y dotación (Sedes construidas, mantenidas reforzadas)</v>
      </c>
      <c r="U430" s="161" t="str">
        <f>CONCATENATE(S430,"-",T430)</f>
        <v>08-Infraestructura física, mantenimiento y dotación (Sedes construidas, mantenidas reforzadas)</v>
      </c>
      <c r="V430" s="51" t="s">
        <v>238</v>
      </c>
      <c r="W430" s="160" t="str">
        <f>IFERROR(VLOOKUP(V430,TD!$N$33:$O$45,2,0)," ")</f>
        <v>Sedes mantenidas</v>
      </c>
      <c r="X430" s="161" t="str">
        <f>CONCATENATE(V430,"_",W430)</f>
        <v>016_Sedes mantenidas</v>
      </c>
      <c r="Y430" s="161" t="str">
        <f>CONCATENATE(U430," ",X430)</f>
        <v>08-Infraestructura física, mantenimiento y dotación (Sedes construidas, mantenidas reforzadas) 016_Sedes mantenidas</v>
      </c>
      <c r="Z430" s="160" t="str">
        <f>CONCATENATE(P430,Q430,R430,S430,V430)</f>
        <v>O23011745992024020708016</v>
      </c>
      <c r="AA430" s="160" t="str">
        <f>IFERROR(VLOOKUP(Y430,TD!$K$46:$L$64,2,0)," ")</f>
        <v>PM/0131/0108/45990160207</v>
      </c>
      <c r="AB430" s="53" t="s">
        <v>138</v>
      </c>
      <c r="AC430" s="162" t="s">
        <v>204</v>
      </c>
    </row>
    <row r="431" spans="2:29" s="28" customFormat="1" ht="99" customHeight="1" x14ac:dyDescent="0.35">
      <c r="B431" s="77">
        <v>20250446</v>
      </c>
      <c r="C431" s="50" t="s">
        <v>208</v>
      </c>
      <c r="D431" s="158" t="s">
        <v>166</v>
      </c>
      <c r="E431" s="51" t="s">
        <v>592</v>
      </c>
      <c r="F431" s="158" t="s">
        <v>775</v>
      </c>
      <c r="G431" s="158" t="s">
        <v>155</v>
      </c>
      <c r="H431" s="97" t="s">
        <v>648</v>
      </c>
      <c r="I431" s="159">
        <v>2</v>
      </c>
      <c r="J431" s="159">
        <v>11</v>
      </c>
      <c r="K431" s="52">
        <v>0</v>
      </c>
      <c r="L431" s="153">
        <v>46449783</v>
      </c>
      <c r="M431" s="158" t="s">
        <v>473</v>
      </c>
      <c r="N431" s="53" t="s">
        <v>649</v>
      </c>
      <c r="O431" s="51" t="s">
        <v>219</v>
      </c>
      <c r="P431" s="160" t="str">
        <f>IFERROR(VLOOKUP(C431,TD!$B$32:$F$36,2,0)," ")</f>
        <v>O230117</v>
      </c>
      <c r="Q431" s="160" t="str">
        <f>IFERROR(VLOOKUP(C431,TD!$B$32:$F$36,3,0)," ")</f>
        <v>4599</v>
      </c>
      <c r="R431" s="160">
        <f>IFERROR(VLOOKUP(C431,TD!$B$32:$F$36,4,0)," ")</f>
        <v>20240207</v>
      </c>
      <c r="S431" s="51" t="s">
        <v>185</v>
      </c>
      <c r="T431" s="160" t="str">
        <f>IFERROR(VLOOKUP(S431,TD!$J$33:$K$43,2,0)," ")</f>
        <v>Infraestructura física, mantenimiento y dotación (Sedes construidas, mantenidas reforzadas)</v>
      </c>
      <c r="U431" s="161" t="str">
        <f>CONCATENATE(S431,"-",T431)</f>
        <v>08-Infraestructura física, mantenimiento y dotación (Sedes construidas, mantenidas reforzadas)</v>
      </c>
      <c r="V431" s="51" t="s">
        <v>238</v>
      </c>
      <c r="W431" s="160" t="str">
        <f>IFERROR(VLOOKUP(V431,TD!$N$33:$O$45,2,0)," ")</f>
        <v>Sedes mantenidas</v>
      </c>
      <c r="X431" s="161" t="str">
        <f>CONCATENATE(V431,"_",W431)</f>
        <v>016_Sedes mantenidas</v>
      </c>
      <c r="Y431" s="161" t="str">
        <f>CONCATENATE(U431," ",X431)</f>
        <v>08-Infraestructura física, mantenimiento y dotación (Sedes construidas, mantenidas reforzadas) 016_Sedes mantenidas</v>
      </c>
      <c r="Z431" s="160" t="str">
        <f>CONCATENATE(P431,Q431,R431,S431,V431)</f>
        <v>O23011745992024020708016</v>
      </c>
      <c r="AA431" s="160" t="str">
        <f>IFERROR(VLOOKUP(Y431,TD!$K$46:$L$64,2,0)," ")</f>
        <v>PM/0131/0108/45990160207</v>
      </c>
      <c r="AB431" s="53" t="s">
        <v>138</v>
      </c>
      <c r="AC431" s="162" t="s">
        <v>204</v>
      </c>
    </row>
    <row r="432" spans="2:29" s="28" customFormat="1" ht="99" customHeight="1" x14ac:dyDescent="0.35">
      <c r="B432" s="152">
        <v>20250447</v>
      </c>
      <c r="C432" s="164" t="s">
        <v>208</v>
      </c>
      <c r="D432" s="165" t="s">
        <v>166</v>
      </c>
      <c r="E432" s="166" t="s">
        <v>592</v>
      </c>
      <c r="F432" s="165" t="s">
        <v>624</v>
      </c>
      <c r="G432" s="165" t="s">
        <v>155</v>
      </c>
      <c r="H432" s="167" t="s">
        <v>648</v>
      </c>
      <c r="I432" s="163">
        <v>2</v>
      </c>
      <c r="J432" s="163">
        <v>11</v>
      </c>
      <c r="K432" s="151">
        <v>0</v>
      </c>
      <c r="L432" s="154">
        <v>61530876</v>
      </c>
      <c r="M432" s="165" t="s">
        <v>473</v>
      </c>
      <c r="N432" s="150" t="s">
        <v>649</v>
      </c>
      <c r="O432" s="166" t="s">
        <v>219</v>
      </c>
      <c r="P432" s="168" t="str">
        <f>IFERROR(VLOOKUP(C432,TD!$B$32:$F$36,2,0)," ")</f>
        <v>O230117</v>
      </c>
      <c r="Q432" s="168" t="str">
        <f>IFERROR(VLOOKUP(C432,TD!$B$32:$F$36,3,0)," ")</f>
        <v>4599</v>
      </c>
      <c r="R432" s="168">
        <f>IFERROR(VLOOKUP(C432,TD!$B$32:$F$36,4,0)," ")</f>
        <v>20240207</v>
      </c>
      <c r="S432" s="166" t="s">
        <v>185</v>
      </c>
      <c r="T432" s="168" t="str">
        <f>IFERROR(VLOOKUP(S432,TD!$J$33:$K$43,2,0)," ")</f>
        <v>Infraestructura física, mantenimiento y dotación (Sedes construidas, mantenidas reforzadas)</v>
      </c>
      <c r="U432" s="161" t="str">
        <f>CONCATENATE(S432,"-",T432)</f>
        <v>08-Infraestructura física, mantenimiento y dotación (Sedes construidas, mantenidas reforzadas)</v>
      </c>
      <c r="V432" s="166" t="s">
        <v>238</v>
      </c>
      <c r="W432" s="168" t="str">
        <f>IFERROR(VLOOKUP(V432,TD!$N$33:$O$45,2,0)," ")</f>
        <v>Sedes mantenidas</v>
      </c>
      <c r="X432" s="161" t="str">
        <f>CONCATENATE(V432,"_",W432)</f>
        <v>016_Sedes mantenidas</v>
      </c>
      <c r="Y432" s="161" t="str">
        <f>CONCATENATE(U432," ",X432)</f>
        <v>08-Infraestructura física, mantenimiento y dotación (Sedes construidas, mantenidas reforzadas) 016_Sedes mantenidas</v>
      </c>
      <c r="Z432" s="168" t="str">
        <f>CONCATENATE(P432,Q432,R432,S432,V432)</f>
        <v>O23011745992024020708016</v>
      </c>
      <c r="AA432" s="168" t="str">
        <f>IFERROR(VLOOKUP(Y432,TD!$K$46:$L$64,2,0)," ")</f>
        <v>PM/0131/0108/45990160207</v>
      </c>
      <c r="AB432" s="150" t="s">
        <v>138</v>
      </c>
      <c r="AC432" s="169" t="s">
        <v>204</v>
      </c>
    </row>
    <row r="433" spans="2:29" s="28" customFormat="1" ht="99" customHeight="1" x14ac:dyDescent="0.35">
      <c r="B433" s="152">
        <v>20250448</v>
      </c>
      <c r="C433" s="50" t="s">
        <v>208</v>
      </c>
      <c r="D433" s="158" t="s">
        <v>166</v>
      </c>
      <c r="E433" s="51" t="s">
        <v>592</v>
      </c>
      <c r="F433" s="158" t="s">
        <v>601</v>
      </c>
      <c r="G433" s="158" t="s">
        <v>156</v>
      </c>
      <c r="H433" s="97" t="s">
        <v>648</v>
      </c>
      <c r="I433" s="159">
        <v>2</v>
      </c>
      <c r="J433" s="159">
        <v>11</v>
      </c>
      <c r="K433" s="52">
        <v>0</v>
      </c>
      <c r="L433" s="153">
        <v>34600000</v>
      </c>
      <c r="M433" s="158" t="s">
        <v>473</v>
      </c>
      <c r="N433" s="53" t="s">
        <v>649</v>
      </c>
      <c r="O433" s="51" t="s">
        <v>219</v>
      </c>
      <c r="P433" s="160" t="str">
        <f>IFERROR(VLOOKUP(C433,TD!$B$32:$F$36,2,0)," ")</f>
        <v>O230117</v>
      </c>
      <c r="Q433" s="160" t="str">
        <f>IFERROR(VLOOKUP(C433,TD!$B$32:$F$36,3,0)," ")</f>
        <v>4599</v>
      </c>
      <c r="R433" s="160">
        <f>IFERROR(VLOOKUP(C433,TD!$B$32:$F$36,4,0)," ")</f>
        <v>20240207</v>
      </c>
      <c r="S433" s="51" t="s">
        <v>185</v>
      </c>
      <c r="T433" s="160" t="str">
        <f>IFERROR(VLOOKUP(S433,TD!$J$33:$K$43,2,0)," ")</f>
        <v>Infraestructura física, mantenimiento y dotación (Sedes construidas, mantenidas reforzadas)</v>
      </c>
      <c r="U433" s="161" t="str">
        <f>CONCATENATE(S433,"-",T433)</f>
        <v>08-Infraestructura física, mantenimiento y dotación (Sedes construidas, mantenidas reforzadas)</v>
      </c>
      <c r="V433" s="51" t="s">
        <v>238</v>
      </c>
      <c r="W433" s="160" t="str">
        <f>IFERROR(VLOOKUP(V433,TD!$N$33:$O$45,2,0)," ")</f>
        <v>Sedes mantenidas</v>
      </c>
      <c r="X433" s="161" t="str">
        <f>CONCATENATE(V433,"_",W433)</f>
        <v>016_Sedes mantenidas</v>
      </c>
      <c r="Y433" s="161" t="str">
        <f>CONCATENATE(U433," ",X433)</f>
        <v>08-Infraestructura física, mantenimiento y dotación (Sedes construidas, mantenidas reforzadas) 016_Sedes mantenidas</v>
      </c>
      <c r="Z433" s="160" t="str">
        <f>CONCATENATE(P433,Q433,R433,S433,V433)</f>
        <v>O23011745992024020708016</v>
      </c>
      <c r="AA433" s="160" t="str">
        <f>IFERROR(VLOOKUP(Y433,TD!$K$46:$L$64,2,0)," ")</f>
        <v>PM/0131/0108/45990160207</v>
      </c>
      <c r="AB433" s="53" t="s">
        <v>138</v>
      </c>
      <c r="AC433" s="162" t="s">
        <v>204</v>
      </c>
    </row>
    <row r="434" spans="2:29" s="28" customFormat="1" ht="99" customHeight="1" x14ac:dyDescent="0.35">
      <c r="B434" s="152">
        <v>20250449</v>
      </c>
      <c r="C434" s="50" t="s">
        <v>208</v>
      </c>
      <c r="D434" s="158" t="s">
        <v>166</v>
      </c>
      <c r="E434" s="51" t="s">
        <v>592</v>
      </c>
      <c r="F434" s="158" t="s">
        <v>603</v>
      </c>
      <c r="G434" s="158" t="s">
        <v>156</v>
      </c>
      <c r="H434" s="97" t="s">
        <v>648</v>
      </c>
      <c r="I434" s="159">
        <v>2</v>
      </c>
      <c r="J434" s="159">
        <v>11</v>
      </c>
      <c r="K434" s="52">
        <v>0</v>
      </c>
      <c r="L434" s="153">
        <v>33178419</v>
      </c>
      <c r="M434" s="158" t="s">
        <v>473</v>
      </c>
      <c r="N434" s="53" t="s">
        <v>649</v>
      </c>
      <c r="O434" s="51" t="s">
        <v>219</v>
      </c>
      <c r="P434" s="160" t="str">
        <f>IFERROR(VLOOKUP(C434,TD!$B$32:$F$36,2,0)," ")</f>
        <v>O230117</v>
      </c>
      <c r="Q434" s="160" t="str">
        <f>IFERROR(VLOOKUP(C434,TD!$B$32:$F$36,3,0)," ")</f>
        <v>4599</v>
      </c>
      <c r="R434" s="160">
        <f>IFERROR(VLOOKUP(C434,TD!$B$32:$F$36,4,0)," ")</f>
        <v>20240207</v>
      </c>
      <c r="S434" s="51" t="s">
        <v>185</v>
      </c>
      <c r="T434" s="160" t="str">
        <f>IFERROR(VLOOKUP(S434,TD!$J$33:$K$43,2,0)," ")</f>
        <v>Infraestructura física, mantenimiento y dotación (Sedes construidas, mantenidas reforzadas)</v>
      </c>
      <c r="U434" s="161" t="str">
        <f>CONCATENATE(S434,"-",T434)</f>
        <v>08-Infraestructura física, mantenimiento y dotación (Sedes construidas, mantenidas reforzadas)</v>
      </c>
      <c r="V434" s="51" t="s">
        <v>238</v>
      </c>
      <c r="W434" s="160" t="str">
        <f>IFERROR(VLOOKUP(V434,TD!$N$33:$O$45,2,0)," ")</f>
        <v>Sedes mantenidas</v>
      </c>
      <c r="X434" s="161" t="str">
        <f>CONCATENATE(V434,"_",W434)</f>
        <v>016_Sedes mantenidas</v>
      </c>
      <c r="Y434" s="161" t="str">
        <f>CONCATENATE(U434," ",X434)</f>
        <v>08-Infraestructura física, mantenimiento y dotación (Sedes construidas, mantenidas reforzadas) 016_Sedes mantenidas</v>
      </c>
      <c r="Z434" s="160" t="str">
        <f>CONCATENATE(P434,Q434,R434,S434,V434)</f>
        <v>O23011745992024020708016</v>
      </c>
      <c r="AA434" s="160" t="str">
        <f>IFERROR(VLOOKUP(Y434,TD!$K$46:$L$64,2,0)," ")</f>
        <v>PM/0131/0108/45990160207</v>
      </c>
      <c r="AB434" s="53" t="s">
        <v>138</v>
      </c>
      <c r="AC434" s="162" t="s">
        <v>204</v>
      </c>
    </row>
    <row r="435" spans="2:29" s="28" customFormat="1" ht="99" customHeight="1" x14ac:dyDescent="0.35">
      <c r="B435" s="152">
        <v>20250450</v>
      </c>
      <c r="C435" s="164" t="s">
        <v>208</v>
      </c>
      <c r="D435" s="165" t="s">
        <v>166</v>
      </c>
      <c r="E435" s="166" t="s">
        <v>592</v>
      </c>
      <c r="F435" s="165" t="s">
        <v>604</v>
      </c>
      <c r="G435" s="165" t="s">
        <v>155</v>
      </c>
      <c r="H435" s="167" t="s">
        <v>648</v>
      </c>
      <c r="I435" s="163">
        <v>2</v>
      </c>
      <c r="J435" s="163">
        <v>11</v>
      </c>
      <c r="K435" s="151">
        <v>0</v>
      </c>
      <c r="L435" s="154">
        <v>61530876</v>
      </c>
      <c r="M435" s="165" t="s">
        <v>473</v>
      </c>
      <c r="N435" s="150" t="s">
        <v>649</v>
      </c>
      <c r="O435" s="166" t="s">
        <v>219</v>
      </c>
      <c r="P435" s="168" t="str">
        <f>IFERROR(VLOOKUP(C435,TD!$B$32:$F$36,2,0)," ")</f>
        <v>O230117</v>
      </c>
      <c r="Q435" s="168" t="str">
        <f>IFERROR(VLOOKUP(C435,TD!$B$32:$F$36,3,0)," ")</f>
        <v>4599</v>
      </c>
      <c r="R435" s="168">
        <f>IFERROR(VLOOKUP(C435,TD!$B$32:$F$36,4,0)," ")</f>
        <v>20240207</v>
      </c>
      <c r="S435" s="166" t="s">
        <v>185</v>
      </c>
      <c r="T435" s="168" t="str">
        <f>IFERROR(VLOOKUP(S435,TD!$J$33:$K$43,2,0)," ")</f>
        <v>Infraestructura física, mantenimiento y dotación (Sedes construidas, mantenidas reforzadas)</v>
      </c>
      <c r="U435" s="161" t="str">
        <f>CONCATENATE(S435,"-",T435)</f>
        <v>08-Infraestructura física, mantenimiento y dotación (Sedes construidas, mantenidas reforzadas)</v>
      </c>
      <c r="V435" s="166" t="s">
        <v>238</v>
      </c>
      <c r="W435" s="168" t="str">
        <f>IFERROR(VLOOKUP(V435,TD!$N$33:$O$45,2,0)," ")</f>
        <v>Sedes mantenidas</v>
      </c>
      <c r="X435" s="161" t="str">
        <f>CONCATENATE(V435,"_",W435)</f>
        <v>016_Sedes mantenidas</v>
      </c>
      <c r="Y435" s="161" t="str">
        <f>CONCATENATE(U435," ",X435)</f>
        <v>08-Infraestructura física, mantenimiento y dotación (Sedes construidas, mantenidas reforzadas) 016_Sedes mantenidas</v>
      </c>
      <c r="Z435" s="168" t="str">
        <f>CONCATENATE(P435,Q435,R435,S435,V435)</f>
        <v>O23011745992024020708016</v>
      </c>
      <c r="AA435" s="168" t="str">
        <f>IFERROR(VLOOKUP(Y435,TD!$K$46:$L$64,2,0)," ")</f>
        <v>PM/0131/0108/45990160207</v>
      </c>
      <c r="AB435" s="150" t="s">
        <v>138</v>
      </c>
      <c r="AC435" s="169" t="s">
        <v>204</v>
      </c>
    </row>
    <row r="436" spans="2:29" s="28" customFormat="1" ht="99" customHeight="1" x14ac:dyDescent="0.35">
      <c r="B436" s="152">
        <v>20250451</v>
      </c>
      <c r="C436" s="50" t="s">
        <v>208</v>
      </c>
      <c r="D436" s="158" t="s">
        <v>166</v>
      </c>
      <c r="E436" s="51" t="s">
        <v>592</v>
      </c>
      <c r="F436" s="158" t="s">
        <v>605</v>
      </c>
      <c r="G436" s="158" t="s">
        <v>155</v>
      </c>
      <c r="H436" s="97" t="s">
        <v>648</v>
      </c>
      <c r="I436" s="159">
        <v>2</v>
      </c>
      <c r="J436" s="163">
        <v>11</v>
      </c>
      <c r="K436" s="151">
        <v>0</v>
      </c>
      <c r="L436" s="153">
        <v>46449783</v>
      </c>
      <c r="M436" s="158" t="s">
        <v>473</v>
      </c>
      <c r="N436" s="53" t="s">
        <v>649</v>
      </c>
      <c r="O436" s="51" t="s">
        <v>219</v>
      </c>
      <c r="P436" s="160" t="str">
        <f>IFERROR(VLOOKUP(C436,TD!$B$32:$F$36,2,0)," ")</f>
        <v>O230117</v>
      </c>
      <c r="Q436" s="160" t="str">
        <f>IFERROR(VLOOKUP(C436,TD!$B$32:$F$36,3,0)," ")</f>
        <v>4599</v>
      </c>
      <c r="R436" s="160">
        <f>IFERROR(VLOOKUP(C436,TD!$B$32:$F$36,4,0)," ")</f>
        <v>20240207</v>
      </c>
      <c r="S436" s="51" t="s">
        <v>185</v>
      </c>
      <c r="T436" s="160" t="str">
        <f>IFERROR(VLOOKUP(S436,TD!$J$33:$K$43,2,0)," ")</f>
        <v>Infraestructura física, mantenimiento y dotación (Sedes construidas, mantenidas reforzadas)</v>
      </c>
      <c r="U436" s="161" t="str">
        <f>CONCATENATE(S436,"-",T436)</f>
        <v>08-Infraestructura física, mantenimiento y dotación (Sedes construidas, mantenidas reforzadas)</v>
      </c>
      <c r="V436" s="51" t="s">
        <v>238</v>
      </c>
      <c r="W436" s="160" t="str">
        <f>IFERROR(VLOOKUP(V436,TD!$N$33:$O$45,2,0)," ")</f>
        <v>Sedes mantenidas</v>
      </c>
      <c r="X436" s="161" t="str">
        <f>CONCATENATE(V436,"_",W436)</f>
        <v>016_Sedes mantenidas</v>
      </c>
      <c r="Y436" s="161" t="str">
        <f>CONCATENATE(U436," ",X436)</f>
        <v>08-Infraestructura física, mantenimiento y dotación (Sedes construidas, mantenidas reforzadas) 016_Sedes mantenidas</v>
      </c>
      <c r="Z436" s="160" t="str">
        <f>CONCATENATE(P436,Q436,R436,S436,V436)</f>
        <v>O23011745992024020708016</v>
      </c>
      <c r="AA436" s="160" t="str">
        <f>IFERROR(VLOOKUP(Y436,TD!$K$46:$L$64,2,0)," ")</f>
        <v>PM/0131/0108/45990160207</v>
      </c>
      <c r="AB436" s="53" t="s">
        <v>120</v>
      </c>
      <c r="AC436" s="162" t="s">
        <v>204</v>
      </c>
    </row>
    <row r="437" spans="2:29" s="28" customFormat="1" ht="99" customHeight="1" x14ac:dyDescent="0.35">
      <c r="B437" s="77">
        <v>20250452</v>
      </c>
      <c r="C437" s="50" t="s">
        <v>208</v>
      </c>
      <c r="D437" s="158" t="s">
        <v>166</v>
      </c>
      <c r="E437" s="51" t="s">
        <v>592</v>
      </c>
      <c r="F437" s="158" t="s">
        <v>627</v>
      </c>
      <c r="G437" s="158" t="s">
        <v>146</v>
      </c>
      <c r="H437" s="97" t="s">
        <v>777</v>
      </c>
      <c r="I437" s="159">
        <v>3</v>
      </c>
      <c r="J437" s="159">
        <v>8</v>
      </c>
      <c r="K437" s="52">
        <v>0</v>
      </c>
      <c r="L437" s="153">
        <v>60000000</v>
      </c>
      <c r="M437" s="158" t="s">
        <v>473</v>
      </c>
      <c r="N437" s="53" t="s">
        <v>651</v>
      </c>
      <c r="O437" s="51" t="s">
        <v>218</v>
      </c>
      <c r="P437" s="160" t="str">
        <f>IFERROR(VLOOKUP(C437,TD!$B$32:$F$36,2,0)," ")</f>
        <v>O230117</v>
      </c>
      <c r="Q437" s="160" t="str">
        <f>IFERROR(VLOOKUP(C437,TD!$B$32:$F$36,3,0)," ")</f>
        <v>4599</v>
      </c>
      <c r="R437" s="160">
        <f>IFERROR(VLOOKUP(C437,TD!$B$32:$F$36,4,0)," ")</f>
        <v>20240207</v>
      </c>
      <c r="S437" s="51" t="s">
        <v>185</v>
      </c>
      <c r="T437" s="160" t="str">
        <f>IFERROR(VLOOKUP(S437,TD!$J$33:$K$43,2,0)," ")</f>
        <v>Infraestructura física, mantenimiento y dotación (Sedes construidas, mantenidas reforzadas)</v>
      </c>
      <c r="U437" s="161" t="str">
        <f>CONCATENATE(S437,"-",T437)</f>
        <v>08-Infraestructura física, mantenimiento y dotación (Sedes construidas, mantenidas reforzadas)</v>
      </c>
      <c r="V437" s="51" t="s">
        <v>238</v>
      </c>
      <c r="W437" s="160" t="str">
        <f>IFERROR(VLOOKUP(V437,TD!$N$33:$O$45,2,0)," ")</f>
        <v>Sedes mantenidas</v>
      </c>
      <c r="X437" s="161" t="str">
        <f>CONCATENATE(V437,"_",W437)</f>
        <v>016_Sedes mantenidas</v>
      </c>
      <c r="Y437" s="161" t="str">
        <f>CONCATENATE(U437," ",X437)</f>
        <v>08-Infraestructura física, mantenimiento y dotación (Sedes construidas, mantenidas reforzadas) 016_Sedes mantenidas</v>
      </c>
      <c r="Z437" s="160" t="str">
        <f>CONCATENATE(P437,Q437,R437,S437,V437)</f>
        <v>O23011745992024020708016</v>
      </c>
      <c r="AA437" s="160" t="str">
        <f>IFERROR(VLOOKUP(Y437,TD!$K$46:$L$64,2,0)," ")</f>
        <v>PM/0131/0108/45990160207</v>
      </c>
      <c r="AB437" s="53" t="s">
        <v>714</v>
      </c>
      <c r="AC437" s="162" t="s">
        <v>204</v>
      </c>
    </row>
    <row r="438" spans="2:29" s="28" customFormat="1" ht="99" customHeight="1" x14ac:dyDescent="0.35">
      <c r="B438" s="152">
        <v>20250453</v>
      </c>
      <c r="C438" s="164" t="s">
        <v>208</v>
      </c>
      <c r="D438" s="165" t="s">
        <v>166</v>
      </c>
      <c r="E438" s="166" t="s">
        <v>592</v>
      </c>
      <c r="F438" s="165" t="s">
        <v>628</v>
      </c>
      <c r="G438" s="165" t="s">
        <v>146</v>
      </c>
      <c r="H438" s="167" t="s">
        <v>776</v>
      </c>
      <c r="I438" s="163">
        <v>4</v>
      </c>
      <c r="J438" s="163">
        <v>8</v>
      </c>
      <c r="K438" s="151">
        <v>0</v>
      </c>
      <c r="L438" s="154">
        <v>46000000</v>
      </c>
      <c r="M438" s="165" t="s">
        <v>473</v>
      </c>
      <c r="N438" s="150" t="s">
        <v>651</v>
      </c>
      <c r="O438" s="166" t="s">
        <v>218</v>
      </c>
      <c r="P438" s="168" t="str">
        <f>IFERROR(VLOOKUP(C438,TD!$B$32:$F$36,2,0)," ")</f>
        <v>O230117</v>
      </c>
      <c r="Q438" s="168" t="str">
        <f>IFERROR(VLOOKUP(C438,TD!$B$32:$F$36,3,0)," ")</f>
        <v>4599</v>
      </c>
      <c r="R438" s="168">
        <f>IFERROR(VLOOKUP(C438,TD!$B$32:$F$36,4,0)," ")</f>
        <v>20240207</v>
      </c>
      <c r="S438" s="166" t="s">
        <v>185</v>
      </c>
      <c r="T438" s="168" t="str">
        <f>IFERROR(VLOOKUP(S438,TD!$J$33:$K$43,2,0)," ")</f>
        <v>Infraestructura física, mantenimiento y dotación (Sedes construidas, mantenidas reforzadas)</v>
      </c>
      <c r="U438" s="161" t="str">
        <f>CONCATENATE(S438,"-",T438)</f>
        <v>08-Infraestructura física, mantenimiento y dotación (Sedes construidas, mantenidas reforzadas)</v>
      </c>
      <c r="V438" s="166" t="s">
        <v>238</v>
      </c>
      <c r="W438" s="168" t="str">
        <f>IFERROR(VLOOKUP(V438,TD!$N$33:$O$45,2,0)," ")</f>
        <v>Sedes mantenidas</v>
      </c>
      <c r="X438" s="161" t="str">
        <f>CONCATENATE(V438,"_",W438)</f>
        <v>016_Sedes mantenidas</v>
      </c>
      <c r="Y438" s="161" t="str">
        <f>CONCATENATE(U438," ",X438)</f>
        <v>08-Infraestructura física, mantenimiento y dotación (Sedes construidas, mantenidas reforzadas) 016_Sedes mantenidas</v>
      </c>
      <c r="Z438" s="168" t="str">
        <f>CONCATENATE(P438,Q438,R438,S438,V438)</f>
        <v>O23011745992024020708016</v>
      </c>
      <c r="AA438" s="168" t="str">
        <f>IFERROR(VLOOKUP(Y438,TD!$K$46:$L$64,2,0)," ")</f>
        <v>PM/0131/0108/45990160207</v>
      </c>
      <c r="AB438" s="150" t="s">
        <v>714</v>
      </c>
      <c r="AC438" s="166" t="s">
        <v>204</v>
      </c>
    </row>
    <row r="439" spans="2:29" s="28" customFormat="1" ht="99" customHeight="1" x14ac:dyDescent="0.35">
      <c r="B439" s="152">
        <v>20250454</v>
      </c>
      <c r="C439" s="164" t="s">
        <v>208</v>
      </c>
      <c r="D439" s="165" t="s">
        <v>166</v>
      </c>
      <c r="E439" s="166" t="s">
        <v>592</v>
      </c>
      <c r="F439" s="165" t="s">
        <v>922</v>
      </c>
      <c r="G439" s="165" t="s">
        <v>146</v>
      </c>
      <c r="H439" s="167" t="s">
        <v>923</v>
      </c>
      <c r="I439" s="163">
        <v>3</v>
      </c>
      <c r="J439" s="163">
        <v>0</v>
      </c>
      <c r="K439" s="151">
        <v>0</v>
      </c>
      <c r="L439" s="154">
        <v>26000000</v>
      </c>
      <c r="M439" s="165" t="s">
        <v>473</v>
      </c>
      <c r="N439" s="150" t="s">
        <v>100</v>
      </c>
      <c r="O439" s="166" t="s">
        <v>218</v>
      </c>
      <c r="P439" s="168" t="str">
        <f>IFERROR(VLOOKUP(C439,TD!$B$32:$F$36,2,0)," ")</f>
        <v>O230117</v>
      </c>
      <c r="Q439" s="168" t="str">
        <f>IFERROR(VLOOKUP(C439,TD!$B$32:$F$36,3,0)," ")</f>
        <v>4599</v>
      </c>
      <c r="R439" s="168">
        <f>IFERROR(VLOOKUP(C439,TD!$B$32:$F$36,4,0)," ")</f>
        <v>20240207</v>
      </c>
      <c r="S439" s="166" t="s">
        <v>185</v>
      </c>
      <c r="T439" s="168" t="str">
        <f>IFERROR(VLOOKUP(S439,TD!$J$33:$K$43,2,0)," ")</f>
        <v>Infraestructura física, mantenimiento y dotación (Sedes construidas, mantenidas reforzadas)</v>
      </c>
      <c r="U439" s="161" t="str">
        <f>CONCATENATE(S439,"-",T439)</f>
        <v>08-Infraestructura física, mantenimiento y dotación (Sedes construidas, mantenidas reforzadas)</v>
      </c>
      <c r="V439" s="166" t="s">
        <v>238</v>
      </c>
      <c r="W439" s="168" t="str">
        <f>IFERROR(VLOOKUP(V439,TD!$N$33:$O$45,2,0)," ")</f>
        <v>Sedes mantenidas</v>
      </c>
      <c r="X439" s="161" t="str">
        <f>CONCATENATE(V439,"_",W439)</f>
        <v>016_Sedes mantenidas</v>
      </c>
      <c r="Y439" s="161" t="str">
        <f>CONCATENATE(U439," ",X439)</f>
        <v>08-Infraestructura física, mantenimiento y dotación (Sedes construidas, mantenidas reforzadas) 016_Sedes mantenidas</v>
      </c>
      <c r="Z439" s="168" t="str">
        <f>CONCATENATE(P439,Q439,R439,S439,V439)</f>
        <v>O23011745992024020708016</v>
      </c>
      <c r="AA439" s="168" t="str">
        <f>IFERROR(VLOOKUP(Y439,TD!$K$46:$L$64,2,0)," ")</f>
        <v>PM/0131/0108/45990160207</v>
      </c>
      <c r="AB439" s="150" t="s">
        <v>714</v>
      </c>
      <c r="AC439" s="169" t="s">
        <v>205</v>
      </c>
    </row>
    <row r="440" spans="2:29" s="28" customFormat="1" ht="99" customHeight="1" x14ac:dyDescent="0.35">
      <c r="B440" s="186">
        <v>20250455</v>
      </c>
      <c r="C440" s="187" t="s">
        <v>208</v>
      </c>
      <c r="D440" s="188" t="s">
        <v>166</v>
      </c>
      <c r="E440" s="189" t="s">
        <v>592</v>
      </c>
      <c r="F440" s="188" t="s">
        <v>945</v>
      </c>
      <c r="G440" s="188" t="s">
        <v>146</v>
      </c>
      <c r="H440" s="190" t="s">
        <v>946</v>
      </c>
      <c r="I440" s="191">
        <v>8</v>
      </c>
      <c r="J440" s="191">
        <v>8</v>
      </c>
      <c r="K440" s="192">
        <v>0</v>
      </c>
      <c r="L440" s="193">
        <f>80000000+50000000-10000000</f>
        <v>120000000</v>
      </c>
      <c r="M440" s="188" t="s">
        <v>473</v>
      </c>
      <c r="N440" s="194" t="s">
        <v>90</v>
      </c>
      <c r="O440" s="189" t="s">
        <v>218</v>
      </c>
      <c r="P440" s="195" t="str">
        <f>IFERROR(VLOOKUP(C440,TD!$B$32:$F$36,2,0)," ")</f>
        <v>O230117</v>
      </c>
      <c r="Q440" s="195" t="str">
        <f>IFERROR(VLOOKUP(C440,TD!$B$32:$F$36,3,0)," ")</f>
        <v>4599</v>
      </c>
      <c r="R440" s="195">
        <f>IFERROR(VLOOKUP(C440,TD!$B$32:$F$36,4,0)," ")</f>
        <v>20240207</v>
      </c>
      <c r="S440" s="189" t="s">
        <v>185</v>
      </c>
      <c r="T440" s="195" t="str">
        <f>IFERROR(VLOOKUP(S440,TD!$J$33:$K$43,2,0)," ")</f>
        <v>Infraestructura física, mantenimiento y dotación (Sedes construidas, mantenidas reforzadas)</v>
      </c>
      <c r="U440" s="161" t="str">
        <f>CONCATENATE(S440,"-",T440)</f>
        <v>08-Infraestructura física, mantenimiento y dotación (Sedes construidas, mantenidas reforzadas)</v>
      </c>
      <c r="V440" s="189" t="s">
        <v>238</v>
      </c>
      <c r="W440" s="195" t="str">
        <f>IFERROR(VLOOKUP(V440,TD!$N$33:$O$45,2,0)," ")</f>
        <v>Sedes mantenidas</v>
      </c>
      <c r="X440" s="161" t="str">
        <f>CONCATENATE(V440,"_",W440)</f>
        <v>016_Sedes mantenidas</v>
      </c>
      <c r="Y440" s="161" t="str">
        <f>CONCATENATE(U440," ",X440)</f>
        <v>08-Infraestructura física, mantenimiento y dotación (Sedes construidas, mantenidas reforzadas) 016_Sedes mantenidas</v>
      </c>
      <c r="Z440" s="195" t="str">
        <f>CONCATENATE(P440,Q440,R440,S440,V440)</f>
        <v>O23011745992024020708016</v>
      </c>
      <c r="AA440" s="195" t="str">
        <f>IFERROR(VLOOKUP(Y440,TD!$K$46:$L$64,2,0)," ")</f>
        <v>PM/0131/0108/45990160207</v>
      </c>
      <c r="AB440" s="194" t="s">
        <v>714</v>
      </c>
      <c r="AC440" s="196" t="s">
        <v>204</v>
      </c>
    </row>
    <row r="441" spans="2:29" s="28" customFormat="1" ht="99" customHeight="1" x14ac:dyDescent="0.35">
      <c r="B441" s="152">
        <v>20250456</v>
      </c>
      <c r="C441" s="164" t="s">
        <v>208</v>
      </c>
      <c r="D441" s="165" t="s">
        <v>166</v>
      </c>
      <c r="E441" s="166" t="s">
        <v>592</v>
      </c>
      <c r="F441" s="165" t="s">
        <v>924</v>
      </c>
      <c r="G441" s="165" t="s">
        <v>146</v>
      </c>
      <c r="H441" s="167" t="s">
        <v>652</v>
      </c>
      <c r="I441" s="163">
        <v>4</v>
      </c>
      <c r="J441" s="163">
        <v>10</v>
      </c>
      <c r="K441" s="151">
        <v>0</v>
      </c>
      <c r="L441" s="154">
        <v>70000000</v>
      </c>
      <c r="M441" s="165" t="s">
        <v>473</v>
      </c>
      <c r="N441" s="150" t="s">
        <v>90</v>
      </c>
      <c r="O441" s="166" t="s">
        <v>218</v>
      </c>
      <c r="P441" s="168" t="str">
        <f>IFERROR(VLOOKUP(C441,TD!$B$32:$F$36,2,0)," ")</f>
        <v>O230117</v>
      </c>
      <c r="Q441" s="168" t="str">
        <f>IFERROR(VLOOKUP(C441,TD!$B$32:$F$36,3,0)," ")</f>
        <v>4599</v>
      </c>
      <c r="R441" s="168">
        <f>IFERROR(VLOOKUP(C441,TD!$B$32:$F$36,4,0)," ")</f>
        <v>20240207</v>
      </c>
      <c r="S441" s="166" t="s">
        <v>185</v>
      </c>
      <c r="T441" s="168" t="str">
        <f>IFERROR(VLOOKUP(S441,TD!$J$33:$K$43,2,0)," ")</f>
        <v>Infraestructura física, mantenimiento y dotación (Sedes construidas, mantenidas reforzadas)</v>
      </c>
      <c r="U441" s="161" t="str">
        <f>CONCATENATE(S441,"-",T441)</f>
        <v>08-Infraestructura física, mantenimiento y dotación (Sedes construidas, mantenidas reforzadas)</v>
      </c>
      <c r="V441" s="166" t="s">
        <v>238</v>
      </c>
      <c r="W441" s="168" t="str">
        <f>IFERROR(VLOOKUP(V441,TD!$N$33:$O$45,2,0)," ")</f>
        <v>Sedes mantenidas</v>
      </c>
      <c r="X441" s="161" t="str">
        <f>CONCATENATE(V441,"_",W441)</f>
        <v>016_Sedes mantenidas</v>
      </c>
      <c r="Y441" s="161" t="str">
        <f>CONCATENATE(U441," ",X441)</f>
        <v>08-Infraestructura física, mantenimiento y dotación (Sedes construidas, mantenidas reforzadas) 016_Sedes mantenidas</v>
      </c>
      <c r="Z441" s="168" t="str">
        <f>CONCATENATE(P441,Q441,R441,S441,V441)</f>
        <v>O23011745992024020708016</v>
      </c>
      <c r="AA441" s="168" t="str">
        <f>IFERROR(VLOOKUP(Y441,TD!$K$46:$L$64,2,0)," ")</f>
        <v>PM/0131/0108/45990160207</v>
      </c>
      <c r="AB441" s="150" t="s">
        <v>714</v>
      </c>
      <c r="AC441" s="169" t="s">
        <v>204</v>
      </c>
    </row>
    <row r="442" spans="2:29" s="28" customFormat="1" ht="99" customHeight="1" x14ac:dyDescent="0.35">
      <c r="B442" s="77">
        <v>20250457</v>
      </c>
      <c r="C442" s="50" t="s">
        <v>208</v>
      </c>
      <c r="D442" s="158" t="s">
        <v>166</v>
      </c>
      <c r="E442" s="51" t="s">
        <v>592</v>
      </c>
      <c r="F442" s="158" t="s">
        <v>653</v>
      </c>
      <c r="G442" s="158" t="s">
        <v>146</v>
      </c>
      <c r="H442" s="97" t="s">
        <v>654</v>
      </c>
      <c r="I442" s="159">
        <v>1</v>
      </c>
      <c r="J442" s="159">
        <v>9</v>
      </c>
      <c r="K442" s="52">
        <v>0</v>
      </c>
      <c r="L442" s="153">
        <v>100000000</v>
      </c>
      <c r="M442" s="158" t="s">
        <v>473</v>
      </c>
      <c r="N442" s="53" t="s">
        <v>90</v>
      </c>
      <c r="O442" s="51" t="s">
        <v>218</v>
      </c>
      <c r="P442" s="160" t="str">
        <f>IFERROR(VLOOKUP(C442,TD!$B$32:$F$36,2,0)," ")</f>
        <v>O230117</v>
      </c>
      <c r="Q442" s="160" t="str">
        <f>IFERROR(VLOOKUP(C442,TD!$B$32:$F$36,3,0)," ")</f>
        <v>4599</v>
      </c>
      <c r="R442" s="160">
        <f>IFERROR(VLOOKUP(C442,TD!$B$32:$F$36,4,0)," ")</f>
        <v>20240207</v>
      </c>
      <c r="S442" s="51" t="s">
        <v>185</v>
      </c>
      <c r="T442" s="160" t="str">
        <f>IFERROR(VLOOKUP(S442,TD!$J$33:$K$43,2,0)," ")</f>
        <v>Infraestructura física, mantenimiento y dotación (Sedes construidas, mantenidas reforzadas)</v>
      </c>
      <c r="U442" s="161" t="str">
        <f>CONCATENATE(S442,"-",T442)</f>
        <v>08-Infraestructura física, mantenimiento y dotación (Sedes construidas, mantenidas reforzadas)</v>
      </c>
      <c r="V442" s="51" t="s">
        <v>238</v>
      </c>
      <c r="W442" s="160" t="str">
        <f>IFERROR(VLOOKUP(V442,TD!$N$33:$O$45,2,0)," ")</f>
        <v>Sedes mantenidas</v>
      </c>
      <c r="X442" s="161" t="str">
        <f>CONCATENATE(V442,"_",W442)</f>
        <v>016_Sedes mantenidas</v>
      </c>
      <c r="Y442" s="161" t="str">
        <f>CONCATENATE(U442," ",X442)</f>
        <v>08-Infraestructura física, mantenimiento y dotación (Sedes construidas, mantenidas reforzadas) 016_Sedes mantenidas</v>
      </c>
      <c r="Z442" s="160" t="str">
        <f>CONCATENATE(P442,Q442,R442,S442,V442)</f>
        <v>O23011745992024020708016</v>
      </c>
      <c r="AA442" s="160" t="str">
        <f>IFERROR(VLOOKUP(Y442,TD!$K$46:$L$64,2,0)," ")</f>
        <v>PM/0131/0108/45990160207</v>
      </c>
      <c r="AB442" s="53" t="s">
        <v>714</v>
      </c>
      <c r="AC442" s="162" t="s">
        <v>204</v>
      </c>
    </row>
    <row r="443" spans="2:29" s="28" customFormat="1" ht="99" customHeight="1" x14ac:dyDescent="0.35">
      <c r="B443" s="77">
        <v>20250458</v>
      </c>
      <c r="C443" s="50" t="s">
        <v>208</v>
      </c>
      <c r="D443" s="158" t="s">
        <v>166</v>
      </c>
      <c r="E443" s="51" t="s">
        <v>592</v>
      </c>
      <c r="F443" s="158" t="s">
        <v>655</v>
      </c>
      <c r="G443" s="158" t="s">
        <v>155</v>
      </c>
      <c r="H443" s="97" t="s">
        <v>648</v>
      </c>
      <c r="I443" s="159">
        <v>2</v>
      </c>
      <c r="J443" s="159">
        <v>11</v>
      </c>
      <c r="K443" s="52">
        <v>0</v>
      </c>
      <c r="L443" s="153">
        <v>3798996</v>
      </c>
      <c r="M443" s="158" t="s">
        <v>473</v>
      </c>
      <c r="N443" s="53" t="s">
        <v>649</v>
      </c>
      <c r="O443" s="51" t="s">
        <v>218</v>
      </c>
      <c r="P443" s="160" t="str">
        <f>IFERROR(VLOOKUP(C443,TD!$B$32:$F$36,2,0)," ")</f>
        <v>O230117</v>
      </c>
      <c r="Q443" s="160" t="str">
        <f>IFERROR(VLOOKUP(C443,TD!$B$32:$F$36,3,0)," ")</f>
        <v>4599</v>
      </c>
      <c r="R443" s="160">
        <f>IFERROR(VLOOKUP(C443,TD!$B$32:$F$36,4,0)," ")</f>
        <v>20240207</v>
      </c>
      <c r="S443" s="51" t="s">
        <v>185</v>
      </c>
      <c r="T443" s="160" t="str">
        <f>IFERROR(VLOOKUP(S443,TD!$J$33:$K$43,2,0)," ")</f>
        <v>Infraestructura física, mantenimiento y dotación (Sedes construidas, mantenidas reforzadas)</v>
      </c>
      <c r="U443" s="161" t="str">
        <f>CONCATENATE(S443,"-",T443)</f>
        <v>08-Infraestructura física, mantenimiento y dotación (Sedes construidas, mantenidas reforzadas)</v>
      </c>
      <c r="V443" s="51" t="s">
        <v>238</v>
      </c>
      <c r="W443" s="160" t="str">
        <f>IFERROR(VLOOKUP(V443,TD!$N$33:$O$45,2,0)," ")</f>
        <v>Sedes mantenidas</v>
      </c>
      <c r="X443" s="161" t="str">
        <f>CONCATENATE(V443,"_",W443)</f>
        <v>016_Sedes mantenidas</v>
      </c>
      <c r="Y443" s="161" t="str">
        <f>CONCATENATE(U443," ",X443)</f>
        <v>08-Infraestructura física, mantenimiento y dotación (Sedes construidas, mantenidas reforzadas) 016_Sedes mantenidas</v>
      </c>
      <c r="Z443" s="160" t="str">
        <f>CONCATENATE(P443,Q443,R443,S443,V443)</f>
        <v>O23011745992024020708016</v>
      </c>
      <c r="AA443" s="160" t="str">
        <f>IFERROR(VLOOKUP(Y443,TD!$K$46:$L$64,2,0)," ")</f>
        <v>PM/0131/0108/45990160207</v>
      </c>
      <c r="AB443" s="53" t="s">
        <v>138</v>
      </c>
      <c r="AC443" s="162" t="s">
        <v>204</v>
      </c>
    </row>
    <row r="444" spans="2:29" s="28" customFormat="1" ht="99" customHeight="1" x14ac:dyDescent="0.35">
      <c r="B444" s="77">
        <v>20250459</v>
      </c>
      <c r="C444" s="50" t="s">
        <v>209</v>
      </c>
      <c r="D444" s="158" t="s">
        <v>166</v>
      </c>
      <c r="E444" s="51" t="s">
        <v>592</v>
      </c>
      <c r="F444" s="158" t="s">
        <v>778</v>
      </c>
      <c r="G444" s="158" t="s">
        <v>155</v>
      </c>
      <c r="H444" s="97" t="s">
        <v>648</v>
      </c>
      <c r="I444" s="159">
        <v>2</v>
      </c>
      <c r="J444" s="159">
        <v>11</v>
      </c>
      <c r="K444" s="52">
        <v>0</v>
      </c>
      <c r="L444" s="153">
        <v>93075136</v>
      </c>
      <c r="M444" s="158" t="s">
        <v>473</v>
      </c>
      <c r="N444" s="53" t="s">
        <v>649</v>
      </c>
      <c r="O444" s="51" t="s">
        <v>227</v>
      </c>
      <c r="P444" s="160" t="str">
        <f>IFERROR(VLOOKUP(C444,TD!$B$32:$F$36,2,0)," ")</f>
        <v>O230117</v>
      </c>
      <c r="Q444" s="160" t="str">
        <f>IFERROR(VLOOKUP(C444,TD!$B$32:$F$36,3,0)," ")</f>
        <v>4503</v>
      </c>
      <c r="R444" s="160">
        <f>IFERROR(VLOOKUP(C444,TD!$B$32:$F$36,4,0)," ")</f>
        <v>20240255</v>
      </c>
      <c r="S444" s="51" t="s">
        <v>185</v>
      </c>
      <c r="T444" s="160" t="str">
        <f>IFERROR(VLOOKUP(S444,TD!$J$33:$K$43,2,0)," ")</f>
        <v>Infraestructura física, mantenimiento y dotación (Sedes construidas, mantenidas reforzadas)</v>
      </c>
      <c r="U444" s="161" t="str">
        <f>CONCATENATE(S444,"-",T444)</f>
        <v>08-Infraestructura física, mantenimiento y dotación (Sedes construidas, mantenidas reforzadas)</v>
      </c>
      <c r="V444" s="51" t="s">
        <v>236</v>
      </c>
      <c r="W444" s="160" t="str">
        <f>IFERROR(VLOOKUP(V444,TD!$N$33:$O$45,2,0)," ")</f>
        <v>Estaciones de bomberos adecuadas</v>
      </c>
      <c r="X444" s="161" t="str">
        <f>CONCATENATE(V444,"_",W444)</f>
        <v>014_Estaciones de bomberos adecuadas</v>
      </c>
      <c r="Y444" s="161" t="str">
        <f>CONCATENATE(U444," ",X444)</f>
        <v>08-Infraestructura física, mantenimiento y dotación (Sedes construidas, mantenidas reforzadas) 014_Estaciones de bomberos adecuadas</v>
      </c>
      <c r="Z444" s="160" t="str">
        <f>CONCATENATE(P444,Q444,R444,S444,V444)</f>
        <v>O23011745032024025508014</v>
      </c>
      <c r="AA444" s="160" t="str">
        <f>IFERROR(VLOOKUP(Y444,TD!$K$46:$L$64,2,0)," ")</f>
        <v>PM/0131/0108/45030140255</v>
      </c>
      <c r="AB444" s="53" t="s">
        <v>713</v>
      </c>
      <c r="AC444" s="162" t="s">
        <v>204</v>
      </c>
    </row>
    <row r="445" spans="2:29" s="28" customFormat="1" ht="99" customHeight="1" x14ac:dyDescent="0.35">
      <c r="B445" s="77">
        <v>20250460</v>
      </c>
      <c r="C445" s="50" t="s">
        <v>209</v>
      </c>
      <c r="D445" s="158" t="s">
        <v>166</v>
      </c>
      <c r="E445" s="51" t="s">
        <v>592</v>
      </c>
      <c r="F445" s="158" t="s">
        <v>779</v>
      </c>
      <c r="G445" s="158" t="s">
        <v>155</v>
      </c>
      <c r="H445" s="97" t="s">
        <v>648</v>
      </c>
      <c r="I445" s="159">
        <v>2</v>
      </c>
      <c r="J445" s="159">
        <v>11</v>
      </c>
      <c r="K445" s="52">
        <v>0</v>
      </c>
      <c r="L445" s="153">
        <v>99918896</v>
      </c>
      <c r="M445" s="158" t="s">
        <v>473</v>
      </c>
      <c r="N445" s="53" t="s">
        <v>649</v>
      </c>
      <c r="O445" s="51" t="s">
        <v>227</v>
      </c>
      <c r="P445" s="160" t="str">
        <f>IFERROR(VLOOKUP(C445,TD!$B$32:$F$36,2,0)," ")</f>
        <v>O230117</v>
      </c>
      <c r="Q445" s="160" t="str">
        <f>IFERROR(VLOOKUP(C445,TD!$B$32:$F$36,3,0)," ")</f>
        <v>4503</v>
      </c>
      <c r="R445" s="160">
        <f>IFERROR(VLOOKUP(C445,TD!$B$32:$F$36,4,0)," ")</f>
        <v>20240255</v>
      </c>
      <c r="S445" s="51" t="s">
        <v>185</v>
      </c>
      <c r="T445" s="160" t="str">
        <f>IFERROR(VLOOKUP(S445,TD!$J$33:$K$43,2,0)," ")</f>
        <v>Infraestructura física, mantenimiento y dotación (Sedes construidas, mantenidas reforzadas)</v>
      </c>
      <c r="U445" s="161" t="str">
        <f>CONCATENATE(S445,"-",T445)</f>
        <v>08-Infraestructura física, mantenimiento y dotación (Sedes construidas, mantenidas reforzadas)</v>
      </c>
      <c r="V445" s="51" t="s">
        <v>236</v>
      </c>
      <c r="W445" s="160" t="str">
        <f>IFERROR(VLOOKUP(V445,TD!$N$33:$O$45,2,0)," ")</f>
        <v>Estaciones de bomberos adecuadas</v>
      </c>
      <c r="X445" s="161" t="str">
        <f>CONCATENATE(V445,"_",W445)</f>
        <v>014_Estaciones de bomberos adecuadas</v>
      </c>
      <c r="Y445" s="161" t="str">
        <f>CONCATENATE(U445," ",X445)</f>
        <v>08-Infraestructura física, mantenimiento y dotación (Sedes construidas, mantenidas reforzadas) 014_Estaciones de bomberos adecuadas</v>
      </c>
      <c r="Z445" s="160" t="str">
        <f>CONCATENATE(P445,Q445,R445,S445,V445)</f>
        <v>O23011745032024025508014</v>
      </c>
      <c r="AA445" s="160" t="str">
        <f>IFERROR(VLOOKUP(Y445,TD!$K$46:$L$64,2,0)," ")</f>
        <v>PM/0131/0108/45030140255</v>
      </c>
      <c r="AB445" s="53" t="s">
        <v>713</v>
      </c>
      <c r="AC445" s="162" t="s">
        <v>204</v>
      </c>
    </row>
    <row r="446" spans="2:29" s="28" customFormat="1" ht="99" customHeight="1" x14ac:dyDescent="0.35">
      <c r="B446" s="77">
        <v>20250461</v>
      </c>
      <c r="C446" s="50" t="s">
        <v>209</v>
      </c>
      <c r="D446" s="158" t="s">
        <v>166</v>
      </c>
      <c r="E446" s="51" t="s">
        <v>592</v>
      </c>
      <c r="F446" s="158" t="s">
        <v>779</v>
      </c>
      <c r="G446" s="158" t="s">
        <v>155</v>
      </c>
      <c r="H446" s="97" t="s">
        <v>648</v>
      </c>
      <c r="I446" s="159">
        <v>2</v>
      </c>
      <c r="J446" s="159">
        <v>11</v>
      </c>
      <c r="K446" s="52">
        <v>0</v>
      </c>
      <c r="L446" s="153">
        <v>93075136</v>
      </c>
      <c r="M446" s="158" t="s">
        <v>473</v>
      </c>
      <c r="N446" s="53" t="s">
        <v>649</v>
      </c>
      <c r="O446" s="51" t="s">
        <v>227</v>
      </c>
      <c r="P446" s="160" t="str">
        <f>IFERROR(VLOOKUP(C446,TD!$B$32:$F$36,2,0)," ")</f>
        <v>O230117</v>
      </c>
      <c r="Q446" s="160" t="str">
        <f>IFERROR(VLOOKUP(C446,TD!$B$32:$F$36,3,0)," ")</f>
        <v>4503</v>
      </c>
      <c r="R446" s="160">
        <f>IFERROR(VLOOKUP(C446,TD!$B$32:$F$36,4,0)," ")</f>
        <v>20240255</v>
      </c>
      <c r="S446" s="51" t="s">
        <v>185</v>
      </c>
      <c r="T446" s="160" t="str">
        <f>IFERROR(VLOOKUP(S446,TD!$J$33:$K$43,2,0)," ")</f>
        <v>Infraestructura física, mantenimiento y dotación (Sedes construidas, mantenidas reforzadas)</v>
      </c>
      <c r="U446" s="161" t="str">
        <f>CONCATENATE(S446,"-",T446)</f>
        <v>08-Infraestructura física, mantenimiento y dotación (Sedes construidas, mantenidas reforzadas)</v>
      </c>
      <c r="V446" s="51" t="s">
        <v>236</v>
      </c>
      <c r="W446" s="160" t="str">
        <f>IFERROR(VLOOKUP(V446,TD!$N$33:$O$45,2,0)," ")</f>
        <v>Estaciones de bomberos adecuadas</v>
      </c>
      <c r="X446" s="161" t="str">
        <f>CONCATENATE(V446,"_",W446)</f>
        <v>014_Estaciones de bomberos adecuadas</v>
      </c>
      <c r="Y446" s="161" t="str">
        <f>CONCATENATE(U446," ",X446)</f>
        <v>08-Infraestructura física, mantenimiento y dotación (Sedes construidas, mantenidas reforzadas) 014_Estaciones de bomberos adecuadas</v>
      </c>
      <c r="Z446" s="160" t="str">
        <f>CONCATENATE(P446,Q446,R446,S446,V446)</f>
        <v>O23011745032024025508014</v>
      </c>
      <c r="AA446" s="160" t="str">
        <f>IFERROR(VLOOKUP(Y446,TD!$K$46:$L$64,2,0)," ")</f>
        <v>PM/0131/0108/45030140255</v>
      </c>
      <c r="AB446" s="53" t="s">
        <v>713</v>
      </c>
      <c r="AC446" s="162" t="s">
        <v>204</v>
      </c>
    </row>
    <row r="447" spans="2:29" s="28" customFormat="1" ht="99" customHeight="1" x14ac:dyDescent="0.35">
      <c r="B447" s="152">
        <v>20250462</v>
      </c>
      <c r="C447" s="164" t="s">
        <v>208</v>
      </c>
      <c r="D447" s="165" t="s">
        <v>166</v>
      </c>
      <c r="E447" s="166" t="s">
        <v>592</v>
      </c>
      <c r="F447" s="165" t="s">
        <v>606</v>
      </c>
      <c r="G447" s="165" t="s">
        <v>155</v>
      </c>
      <c r="H447" s="167" t="s">
        <v>648</v>
      </c>
      <c r="I447" s="163">
        <v>2</v>
      </c>
      <c r="J447" s="163">
        <v>11</v>
      </c>
      <c r="K447" s="151">
        <v>0</v>
      </c>
      <c r="L447" s="154">
        <v>66356829</v>
      </c>
      <c r="M447" s="165" t="s">
        <v>473</v>
      </c>
      <c r="N447" s="150" t="s">
        <v>649</v>
      </c>
      <c r="O447" s="166" t="s">
        <v>218</v>
      </c>
      <c r="P447" s="168" t="str">
        <f>IFERROR(VLOOKUP(C447,TD!$B$32:$F$36,2,0)," ")</f>
        <v>O230117</v>
      </c>
      <c r="Q447" s="168" t="str">
        <f>IFERROR(VLOOKUP(C447,TD!$B$32:$F$36,3,0)," ")</f>
        <v>4599</v>
      </c>
      <c r="R447" s="168">
        <f>IFERROR(VLOOKUP(C447,TD!$B$32:$F$36,4,0)," ")</f>
        <v>20240207</v>
      </c>
      <c r="S447" s="166" t="s">
        <v>185</v>
      </c>
      <c r="T447" s="168" t="str">
        <f>IFERROR(VLOOKUP(S447,TD!$J$33:$K$43,2,0)," ")</f>
        <v>Infraestructura física, mantenimiento y dotación (Sedes construidas, mantenidas reforzadas)</v>
      </c>
      <c r="U447" s="161" t="str">
        <f>CONCATENATE(S447,"-",T447)</f>
        <v>08-Infraestructura física, mantenimiento y dotación (Sedes construidas, mantenidas reforzadas)</v>
      </c>
      <c r="V447" s="166" t="s">
        <v>238</v>
      </c>
      <c r="W447" s="168" t="str">
        <f>IFERROR(VLOOKUP(V447,TD!$N$33:$O$45,2,0)," ")</f>
        <v>Sedes mantenidas</v>
      </c>
      <c r="X447" s="161" t="str">
        <f>CONCATENATE(V447,"_",W447)</f>
        <v>016_Sedes mantenidas</v>
      </c>
      <c r="Y447" s="161" t="str">
        <f>CONCATENATE(U447," ",X447)</f>
        <v>08-Infraestructura física, mantenimiento y dotación (Sedes construidas, mantenidas reforzadas) 016_Sedes mantenidas</v>
      </c>
      <c r="Z447" s="168" t="str">
        <f>CONCATENATE(P447,Q447,R447,S447,V447)</f>
        <v>O23011745992024020708016</v>
      </c>
      <c r="AA447" s="168" t="str">
        <f>IFERROR(VLOOKUP(Y447,TD!$K$46:$L$64,2,0)," ")</f>
        <v>PM/0131/0108/45990160207</v>
      </c>
      <c r="AB447" s="150" t="s">
        <v>138</v>
      </c>
      <c r="AC447" s="169" t="s">
        <v>204</v>
      </c>
    </row>
    <row r="448" spans="2:29" s="28" customFormat="1" ht="99" customHeight="1" x14ac:dyDescent="0.35">
      <c r="B448" s="152">
        <v>20250463</v>
      </c>
      <c r="C448" s="164" t="s">
        <v>208</v>
      </c>
      <c r="D448" s="165" t="s">
        <v>166</v>
      </c>
      <c r="E448" s="166" t="s">
        <v>592</v>
      </c>
      <c r="F448" s="165" t="s">
        <v>656</v>
      </c>
      <c r="G448" s="165" t="s">
        <v>155</v>
      </c>
      <c r="H448" s="167" t="s">
        <v>648</v>
      </c>
      <c r="I448" s="163">
        <v>2</v>
      </c>
      <c r="J448" s="163">
        <v>11</v>
      </c>
      <c r="K448" s="151">
        <v>0</v>
      </c>
      <c r="L448" s="154">
        <v>81000000</v>
      </c>
      <c r="M448" s="165" t="s">
        <v>473</v>
      </c>
      <c r="N448" s="150" t="s">
        <v>649</v>
      </c>
      <c r="O448" s="166" t="s">
        <v>218</v>
      </c>
      <c r="P448" s="168" t="str">
        <f>IFERROR(VLOOKUP(C448,TD!$B$32:$F$36,2,0)," ")</f>
        <v>O230117</v>
      </c>
      <c r="Q448" s="168" t="str">
        <f>IFERROR(VLOOKUP(C448,TD!$B$32:$F$36,3,0)," ")</f>
        <v>4599</v>
      </c>
      <c r="R448" s="168">
        <f>IFERROR(VLOOKUP(C448,TD!$B$32:$F$36,4,0)," ")</f>
        <v>20240207</v>
      </c>
      <c r="S448" s="166" t="s">
        <v>185</v>
      </c>
      <c r="T448" s="168" t="str">
        <f>IFERROR(VLOOKUP(S448,TD!$J$33:$K$43,2,0)," ")</f>
        <v>Infraestructura física, mantenimiento y dotación (Sedes construidas, mantenidas reforzadas)</v>
      </c>
      <c r="U448" s="161" t="str">
        <f>CONCATENATE(S448,"-",T448)</f>
        <v>08-Infraestructura física, mantenimiento y dotación (Sedes construidas, mantenidas reforzadas)</v>
      </c>
      <c r="V448" s="166" t="s">
        <v>238</v>
      </c>
      <c r="W448" s="168" t="str">
        <f>IFERROR(VLOOKUP(V448,TD!$N$33:$O$45,2,0)," ")</f>
        <v>Sedes mantenidas</v>
      </c>
      <c r="X448" s="161" t="str">
        <f>CONCATENATE(V448,"_",W448)</f>
        <v>016_Sedes mantenidas</v>
      </c>
      <c r="Y448" s="161" t="str">
        <f>CONCATENATE(U448," ",X448)</f>
        <v>08-Infraestructura física, mantenimiento y dotación (Sedes construidas, mantenidas reforzadas) 016_Sedes mantenidas</v>
      </c>
      <c r="Z448" s="168" t="str">
        <f>CONCATENATE(P448,Q448,R448,S448,V448)</f>
        <v>O23011745992024020708016</v>
      </c>
      <c r="AA448" s="168" t="str">
        <f>IFERROR(VLOOKUP(Y448,TD!$K$46:$L$64,2,0)," ")</f>
        <v>PM/0131/0108/45990160207</v>
      </c>
      <c r="AB448" s="150" t="s">
        <v>138</v>
      </c>
      <c r="AC448" s="169" t="s">
        <v>204</v>
      </c>
    </row>
    <row r="449" spans="2:29" s="28" customFormat="1" ht="99" customHeight="1" x14ac:dyDescent="0.35">
      <c r="B449" s="152">
        <v>20250464</v>
      </c>
      <c r="C449" s="164" t="s">
        <v>208</v>
      </c>
      <c r="D449" s="165" t="s">
        <v>166</v>
      </c>
      <c r="E449" s="166" t="s">
        <v>592</v>
      </c>
      <c r="F449" s="165" t="s">
        <v>607</v>
      </c>
      <c r="G449" s="165" t="s">
        <v>155</v>
      </c>
      <c r="H449" s="167" t="s">
        <v>648</v>
      </c>
      <c r="I449" s="163">
        <v>2</v>
      </c>
      <c r="J449" s="163">
        <v>11</v>
      </c>
      <c r="K449" s="151">
        <v>0</v>
      </c>
      <c r="L449" s="154">
        <v>83482560</v>
      </c>
      <c r="M449" s="165" t="s">
        <v>473</v>
      </c>
      <c r="N449" s="150" t="s">
        <v>649</v>
      </c>
      <c r="O449" s="166" t="s">
        <v>218</v>
      </c>
      <c r="P449" s="168" t="str">
        <f>IFERROR(VLOOKUP(C449,TD!$B$32:$F$36,2,0)," ")</f>
        <v>O230117</v>
      </c>
      <c r="Q449" s="168" t="str">
        <f>IFERROR(VLOOKUP(C449,TD!$B$32:$F$36,3,0)," ")</f>
        <v>4599</v>
      </c>
      <c r="R449" s="168">
        <f>IFERROR(VLOOKUP(C449,TD!$B$32:$F$36,4,0)," ")</f>
        <v>20240207</v>
      </c>
      <c r="S449" s="166" t="s">
        <v>185</v>
      </c>
      <c r="T449" s="168" t="str">
        <f>IFERROR(VLOOKUP(S449,TD!$J$33:$K$43,2,0)," ")</f>
        <v>Infraestructura física, mantenimiento y dotación (Sedes construidas, mantenidas reforzadas)</v>
      </c>
      <c r="U449" s="161" t="str">
        <f>CONCATENATE(S449,"-",T449)</f>
        <v>08-Infraestructura física, mantenimiento y dotación (Sedes construidas, mantenidas reforzadas)</v>
      </c>
      <c r="V449" s="166" t="s">
        <v>238</v>
      </c>
      <c r="W449" s="168" t="str">
        <f>IFERROR(VLOOKUP(V449,TD!$N$33:$O$45,2,0)," ")</f>
        <v>Sedes mantenidas</v>
      </c>
      <c r="X449" s="161" t="str">
        <f>CONCATENATE(V449,"_",W449)</f>
        <v>016_Sedes mantenidas</v>
      </c>
      <c r="Y449" s="161" t="str">
        <f>CONCATENATE(U449," ",X449)</f>
        <v>08-Infraestructura física, mantenimiento y dotación (Sedes construidas, mantenidas reforzadas) 016_Sedes mantenidas</v>
      </c>
      <c r="Z449" s="168" t="str">
        <f>CONCATENATE(P449,Q449,R449,S449,V449)</f>
        <v>O23011745992024020708016</v>
      </c>
      <c r="AA449" s="168" t="str">
        <f>IFERROR(VLOOKUP(Y449,TD!$K$46:$L$64,2,0)," ")</f>
        <v>PM/0131/0108/45990160207</v>
      </c>
      <c r="AB449" s="150" t="s">
        <v>138</v>
      </c>
      <c r="AC449" s="169" t="s">
        <v>204</v>
      </c>
    </row>
    <row r="450" spans="2:29" s="28" customFormat="1" ht="99" customHeight="1" x14ac:dyDescent="0.35">
      <c r="B450" s="77">
        <v>20250465</v>
      </c>
      <c r="C450" s="50" t="s">
        <v>209</v>
      </c>
      <c r="D450" s="158" t="s">
        <v>166</v>
      </c>
      <c r="E450" s="51" t="s">
        <v>592</v>
      </c>
      <c r="F450" s="158" t="s">
        <v>772</v>
      </c>
      <c r="G450" s="158" t="s">
        <v>155</v>
      </c>
      <c r="H450" s="97" t="s">
        <v>648</v>
      </c>
      <c r="I450" s="159">
        <v>2</v>
      </c>
      <c r="J450" s="159">
        <v>11</v>
      </c>
      <c r="K450" s="52">
        <v>0</v>
      </c>
      <c r="L450" s="153">
        <v>72600000</v>
      </c>
      <c r="M450" s="158" t="s">
        <v>473</v>
      </c>
      <c r="N450" s="53" t="s">
        <v>649</v>
      </c>
      <c r="O450" s="51" t="s">
        <v>227</v>
      </c>
      <c r="P450" s="160" t="str">
        <f>IFERROR(VLOOKUP(C450,TD!$B$32:$F$36,2,0)," ")</f>
        <v>O230117</v>
      </c>
      <c r="Q450" s="160" t="str">
        <f>IFERROR(VLOOKUP(C450,TD!$B$32:$F$36,3,0)," ")</f>
        <v>4503</v>
      </c>
      <c r="R450" s="160">
        <f>IFERROR(VLOOKUP(C450,TD!$B$32:$F$36,4,0)," ")</f>
        <v>20240255</v>
      </c>
      <c r="S450" s="51" t="s">
        <v>185</v>
      </c>
      <c r="T450" s="160" t="str">
        <f>IFERROR(VLOOKUP(S450,TD!$J$33:$K$43,2,0)," ")</f>
        <v>Infraestructura física, mantenimiento y dotación (Sedes construidas, mantenidas reforzadas)</v>
      </c>
      <c r="U450" s="161" t="str">
        <f>CONCATENATE(S450,"-",T450)</f>
        <v>08-Infraestructura física, mantenimiento y dotación (Sedes construidas, mantenidas reforzadas)</v>
      </c>
      <c r="V450" s="51" t="s">
        <v>236</v>
      </c>
      <c r="W450" s="160" t="str">
        <f>IFERROR(VLOOKUP(V450,TD!$N$33:$O$45,2,0)," ")</f>
        <v>Estaciones de bomberos adecuadas</v>
      </c>
      <c r="X450" s="161" t="str">
        <f>CONCATENATE(V450,"_",W450)</f>
        <v>014_Estaciones de bomberos adecuadas</v>
      </c>
      <c r="Y450" s="161" t="str">
        <f>CONCATENATE(U450," ",X450)</f>
        <v>08-Infraestructura física, mantenimiento y dotación (Sedes construidas, mantenidas reforzadas) 014_Estaciones de bomberos adecuadas</v>
      </c>
      <c r="Z450" s="160" t="str">
        <f>CONCATENATE(P450,Q450,R450,S450,V450)</f>
        <v>O23011745032024025508014</v>
      </c>
      <c r="AA450" s="160" t="str">
        <f>IFERROR(VLOOKUP(Y450,TD!$K$46:$L$64,2,0)," ")</f>
        <v>PM/0131/0108/45030140255</v>
      </c>
      <c r="AB450" s="53" t="s">
        <v>120</v>
      </c>
      <c r="AC450" s="162" t="s">
        <v>204</v>
      </c>
    </row>
    <row r="451" spans="2:29" s="28" customFormat="1" ht="99" customHeight="1" x14ac:dyDescent="0.35">
      <c r="B451" s="152">
        <v>20250466</v>
      </c>
      <c r="C451" s="164" t="s">
        <v>208</v>
      </c>
      <c r="D451" s="165" t="s">
        <v>166</v>
      </c>
      <c r="E451" s="166" t="s">
        <v>592</v>
      </c>
      <c r="F451" s="165" t="s">
        <v>608</v>
      </c>
      <c r="G451" s="165" t="s">
        <v>155</v>
      </c>
      <c r="H451" s="167" t="s">
        <v>648</v>
      </c>
      <c r="I451" s="163">
        <v>2</v>
      </c>
      <c r="J451" s="163">
        <v>11</v>
      </c>
      <c r="K451" s="151">
        <v>0</v>
      </c>
      <c r="L451" s="154">
        <v>61530876</v>
      </c>
      <c r="M451" s="165" t="s">
        <v>473</v>
      </c>
      <c r="N451" s="150" t="s">
        <v>649</v>
      </c>
      <c r="O451" s="166" t="s">
        <v>218</v>
      </c>
      <c r="P451" s="168" t="str">
        <f>IFERROR(VLOOKUP(C451,TD!$B$32:$F$36,2,0)," ")</f>
        <v>O230117</v>
      </c>
      <c r="Q451" s="168" t="str">
        <f>IFERROR(VLOOKUP(C451,TD!$B$32:$F$36,3,0)," ")</f>
        <v>4599</v>
      </c>
      <c r="R451" s="168">
        <f>IFERROR(VLOOKUP(C451,TD!$B$32:$F$36,4,0)," ")</f>
        <v>20240207</v>
      </c>
      <c r="S451" s="166" t="s">
        <v>185</v>
      </c>
      <c r="T451" s="168" t="str">
        <f>IFERROR(VLOOKUP(S451,TD!$J$33:$K$43,2,0)," ")</f>
        <v>Infraestructura física, mantenimiento y dotación (Sedes construidas, mantenidas reforzadas)</v>
      </c>
      <c r="U451" s="161" t="str">
        <f>CONCATENATE(S451,"-",T451)</f>
        <v>08-Infraestructura física, mantenimiento y dotación (Sedes construidas, mantenidas reforzadas)</v>
      </c>
      <c r="V451" s="166" t="s">
        <v>238</v>
      </c>
      <c r="W451" s="168" t="str">
        <f>IFERROR(VLOOKUP(V451,TD!$N$33:$O$45,2,0)," ")</f>
        <v>Sedes mantenidas</v>
      </c>
      <c r="X451" s="161" t="str">
        <f>CONCATENATE(V451,"_",W451)</f>
        <v>016_Sedes mantenidas</v>
      </c>
      <c r="Y451" s="161" t="str">
        <f>CONCATENATE(U451," ",X451)</f>
        <v>08-Infraestructura física, mantenimiento y dotación (Sedes construidas, mantenidas reforzadas) 016_Sedes mantenidas</v>
      </c>
      <c r="Z451" s="168" t="str">
        <f>CONCATENATE(P451,Q451,R451,S451,V451)</f>
        <v>O23011745992024020708016</v>
      </c>
      <c r="AA451" s="168" t="str">
        <f>IFERROR(VLOOKUP(Y451,TD!$K$46:$L$64,2,0)," ")</f>
        <v>PM/0131/0108/45990160207</v>
      </c>
      <c r="AB451" s="150" t="s">
        <v>138</v>
      </c>
      <c r="AC451" s="169" t="s">
        <v>204</v>
      </c>
    </row>
    <row r="452" spans="2:29" s="28" customFormat="1" ht="99" customHeight="1" x14ac:dyDescent="0.35">
      <c r="B452" s="77">
        <v>20250467</v>
      </c>
      <c r="C452" s="50" t="s">
        <v>208</v>
      </c>
      <c r="D452" s="158" t="s">
        <v>166</v>
      </c>
      <c r="E452" s="51" t="s">
        <v>592</v>
      </c>
      <c r="F452" s="158" t="s">
        <v>609</v>
      </c>
      <c r="G452" s="158" t="s">
        <v>155</v>
      </c>
      <c r="H452" s="97" t="s">
        <v>648</v>
      </c>
      <c r="I452" s="159">
        <v>2</v>
      </c>
      <c r="J452" s="159">
        <v>11</v>
      </c>
      <c r="K452" s="52">
        <v>0</v>
      </c>
      <c r="L452" s="153">
        <v>82280000</v>
      </c>
      <c r="M452" s="158" t="s">
        <v>473</v>
      </c>
      <c r="N452" s="53" t="s">
        <v>649</v>
      </c>
      <c r="O452" s="51" t="s">
        <v>218</v>
      </c>
      <c r="P452" s="160" t="str">
        <f>IFERROR(VLOOKUP(C452,TD!$B$32:$F$36,2,0)," ")</f>
        <v>O230117</v>
      </c>
      <c r="Q452" s="160" t="str">
        <f>IFERROR(VLOOKUP(C452,TD!$B$32:$F$36,3,0)," ")</f>
        <v>4599</v>
      </c>
      <c r="R452" s="160">
        <f>IFERROR(VLOOKUP(C452,TD!$B$32:$F$36,4,0)," ")</f>
        <v>20240207</v>
      </c>
      <c r="S452" s="51" t="s">
        <v>185</v>
      </c>
      <c r="T452" s="160" t="str">
        <f>IFERROR(VLOOKUP(S452,TD!$J$33:$K$43,2,0)," ")</f>
        <v>Infraestructura física, mantenimiento y dotación (Sedes construidas, mantenidas reforzadas)</v>
      </c>
      <c r="U452" s="161" t="str">
        <f>CONCATENATE(S452,"-",T452)</f>
        <v>08-Infraestructura física, mantenimiento y dotación (Sedes construidas, mantenidas reforzadas)</v>
      </c>
      <c r="V452" s="51" t="s">
        <v>238</v>
      </c>
      <c r="W452" s="160" t="str">
        <f>IFERROR(VLOOKUP(V452,TD!$N$33:$O$45,2,0)," ")</f>
        <v>Sedes mantenidas</v>
      </c>
      <c r="X452" s="161" t="str">
        <f>CONCATENATE(V452,"_",W452)</f>
        <v>016_Sedes mantenidas</v>
      </c>
      <c r="Y452" s="161" t="str">
        <f>CONCATENATE(U452," ",X452)</f>
        <v>08-Infraestructura física, mantenimiento y dotación (Sedes construidas, mantenidas reforzadas) 016_Sedes mantenidas</v>
      </c>
      <c r="Z452" s="160" t="str">
        <f>CONCATENATE(P452,Q452,R452,S452,V452)</f>
        <v>O23011745992024020708016</v>
      </c>
      <c r="AA452" s="160" t="str">
        <f>IFERROR(VLOOKUP(Y452,TD!$K$46:$L$64,2,0)," ")</f>
        <v>PM/0131/0108/45990160207</v>
      </c>
      <c r="AB452" s="53" t="s">
        <v>138</v>
      </c>
      <c r="AC452" s="162" t="s">
        <v>204</v>
      </c>
    </row>
    <row r="453" spans="2:29" s="28" customFormat="1" ht="99" customHeight="1" x14ac:dyDescent="0.35">
      <c r="B453" s="77">
        <v>20250468</v>
      </c>
      <c r="C453" s="50" t="s">
        <v>208</v>
      </c>
      <c r="D453" s="158" t="s">
        <v>166</v>
      </c>
      <c r="E453" s="51" t="s">
        <v>592</v>
      </c>
      <c r="F453" s="158" t="s">
        <v>625</v>
      </c>
      <c r="G453" s="158" t="s">
        <v>155</v>
      </c>
      <c r="H453" s="97" t="s">
        <v>648</v>
      </c>
      <c r="I453" s="159">
        <v>2</v>
      </c>
      <c r="J453" s="159">
        <v>11</v>
      </c>
      <c r="K453" s="52">
        <v>0</v>
      </c>
      <c r="L453" s="153">
        <v>75281360</v>
      </c>
      <c r="M453" s="158" t="s">
        <v>473</v>
      </c>
      <c r="N453" s="53" t="s">
        <v>649</v>
      </c>
      <c r="O453" s="51" t="s">
        <v>218</v>
      </c>
      <c r="P453" s="160" t="str">
        <f>IFERROR(VLOOKUP(C453,TD!$B$32:$F$36,2,0)," ")</f>
        <v>O230117</v>
      </c>
      <c r="Q453" s="160" t="str">
        <f>IFERROR(VLOOKUP(C453,TD!$B$32:$F$36,3,0)," ")</f>
        <v>4599</v>
      </c>
      <c r="R453" s="160">
        <f>IFERROR(VLOOKUP(C453,TD!$B$32:$F$36,4,0)," ")</f>
        <v>20240207</v>
      </c>
      <c r="S453" s="51" t="s">
        <v>185</v>
      </c>
      <c r="T453" s="160" t="str">
        <f>IFERROR(VLOOKUP(S453,TD!$J$33:$K$43,2,0)," ")</f>
        <v>Infraestructura física, mantenimiento y dotación (Sedes construidas, mantenidas reforzadas)</v>
      </c>
      <c r="U453" s="161" t="str">
        <f>CONCATENATE(S453,"-",T453)</f>
        <v>08-Infraestructura física, mantenimiento y dotación (Sedes construidas, mantenidas reforzadas)</v>
      </c>
      <c r="V453" s="51" t="s">
        <v>238</v>
      </c>
      <c r="W453" s="160" t="str">
        <f>IFERROR(VLOOKUP(V453,TD!$N$33:$O$45,2,0)," ")</f>
        <v>Sedes mantenidas</v>
      </c>
      <c r="X453" s="161" t="str">
        <f>CONCATENATE(V453,"_",W453)</f>
        <v>016_Sedes mantenidas</v>
      </c>
      <c r="Y453" s="161" t="str">
        <f>CONCATENATE(U453," ",X453)</f>
        <v>08-Infraestructura física, mantenimiento y dotación (Sedes construidas, mantenidas reforzadas) 016_Sedes mantenidas</v>
      </c>
      <c r="Z453" s="160" t="str">
        <f>CONCATENATE(P453,Q453,R453,S453,V453)</f>
        <v>O23011745992024020708016</v>
      </c>
      <c r="AA453" s="160" t="str">
        <f>IFERROR(VLOOKUP(Y453,TD!$K$46:$L$64,2,0)," ")</f>
        <v>PM/0131/0108/45990160207</v>
      </c>
      <c r="AB453" s="53" t="s">
        <v>138</v>
      </c>
      <c r="AC453" s="162" t="s">
        <v>204</v>
      </c>
    </row>
    <row r="454" spans="2:29" s="28" customFormat="1" ht="99" customHeight="1" x14ac:dyDescent="0.35">
      <c r="B454" s="77">
        <v>20250469</v>
      </c>
      <c r="C454" s="50" t="s">
        <v>208</v>
      </c>
      <c r="D454" s="158" t="s">
        <v>166</v>
      </c>
      <c r="E454" s="51" t="s">
        <v>592</v>
      </c>
      <c r="F454" s="158" t="s">
        <v>780</v>
      </c>
      <c r="G454" s="158" t="s">
        <v>155</v>
      </c>
      <c r="H454" s="97" t="s">
        <v>648</v>
      </c>
      <c r="I454" s="159">
        <v>2</v>
      </c>
      <c r="J454" s="159">
        <v>11</v>
      </c>
      <c r="K454" s="52">
        <v>0</v>
      </c>
      <c r="L454" s="153">
        <v>112237664</v>
      </c>
      <c r="M454" s="158" t="s">
        <v>473</v>
      </c>
      <c r="N454" s="53" t="s">
        <v>649</v>
      </c>
      <c r="O454" s="51" t="s">
        <v>218</v>
      </c>
      <c r="P454" s="160" t="str">
        <f>IFERROR(VLOOKUP(C454,TD!$B$32:$F$36,2,0)," ")</f>
        <v>O230117</v>
      </c>
      <c r="Q454" s="160" t="str">
        <f>IFERROR(VLOOKUP(C454,TD!$B$32:$F$36,3,0)," ")</f>
        <v>4599</v>
      </c>
      <c r="R454" s="160">
        <f>IFERROR(VLOOKUP(C454,TD!$B$32:$F$36,4,0)," ")</f>
        <v>20240207</v>
      </c>
      <c r="S454" s="51" t="s">
        <v>185</v>
      </c>
      <c r="T454" s="160" t="str">
        <f>IFERROR(VLOOKUP(S454,TD!$J$33:$K$43,2,0)," ")</f>
        <v>Infraestructura física, mantenimiento y dotación (Sedes construidas, mantenidas reforzadas)</v>
      </c>
      <c r="U454" s="161" t="str">
        <f>CONCATENATE(S454,"-",T454)</f>
        <v>08-Infraestructura física, mantenimiento y dotación (Sedes construidas, mantenidas reforzadas)</v>
      </c>
      <c r="V454" s="51" t="s">
        <v>238</v>
      </c>
      <c r="W454" s="160" t="str">
        <f>IFERROR(VLOOKUP(V454,TD!$N$33:$O$45,2,0)," ")</f>
        <v>Sedes mantenidas</v>
      </c>
      <c r="X454" s="161" t="str">
        <f>CONCATENATE(V454,"_",W454)</f>
        <v>016_Sedes mantenidas</v>
      </c>
      <c r="Y454" s="161" t="str">
        <f>CONCATENATE(U454," ",X454)</f>
        <v>08-Infraestructura física, mantenimiento y dotación (Sedes construidas, mantenidas reforzadas) 016_Sedes mantenidas</v>
      </c>
      <c r="Z454" s="160" t="str">
        <f>CONCATENATE(P454,Q454,R454,S454,V454)</f>
        <v>O23011745992024020708016</v>
      </c>
      <c r="AA454" s="160" t="str">
        <f>IFERROR(VLOOKUP(Y454,TD!$K$46:$L$64,2,0)," ")</f>
        <v>PM/0131/0108/45990160207</v>
      </c>
      <c r="AB454" s="53" t="s">
        <v>120</v>
      </c>
      <c r="AC454" s="162" t="s">
        <v>204</v>
      </c>
    </row>
    <row r="455" spans="2:29" s="28" customFormat="1" ht="99" customHeight="1" x14ac:dyDescent="0.35">
      <c r="B455" s="77">
        <v>20250470</v>
      </c>
      <c r="C455" s="50" t="s">
        <v>208</v>
      </c>
      <c r="D455" s="158" t="s">
        <v>166</v>
      </c>
      <c r="E455" s="51" t="s">
        <v>592</v>
      </c>
      <c r="F455" s="158" t="s">
        <v>655</v>
      </c>
      <c r="G455" s="158" t="s">
        <v>155</v>
      </c>
      <c r="H455" s="97" t="s">
        <v>648</v>
      </c>
      <c r="I455" s="159">
        <v>2</v>
      </c>
      <c r="J455" s="159">
        <v>11</v>
      </c>
      <c r="K455" s="52">
        <v>0</v>
      </c>
      <c r="L455" s="153">
        <v>84700000</v>
      </c>
      <c r="M455" s="158" t="s">
        <v>473</v>
      </c>
      <c r="N455" s="53" t="s">
        <v>649</v>
      </c>
      <c r="O455" s="51" t="s">
        <v>218</v>
      </c>
      <c r="P455" s="160" t="str">
        <f>IFERROR(VLOOKUP(C455,TD!$B$32:$F$36,2,0)," ")</f>
        <v>O230117</v>
      </c>
      <c r="Q455" s="160" t="str">
        <f>IFERROR(VLOOKUP(C455,TD!$B$32:$F$36,3,0)," ")</f>
        <v>4599</v>
      </c>
      <c r="R455" s="160">
        <f>IFERROR(VLOOKUP(C455,TD!$B$32:$F$36,4,0)," ")</f>
        <v>20240207</v>
      </c>
      <c r="S455" s="51" t="s">
        <v>185</v>
      </c>
      <c r="T455" s="160" t="str">
        <f>IFERROR(VLOOKUP(S455,TD!$J$33:$K$43,2,0)," ")</f>
        <v>Infraestructura física, mantenimiento y dotación (Sedes construidas, mantenidas reforzadas)</v>
      </c>
      <c r="U455" s="161" t="str">
        <f>CONCATENATE(S455,"-",T455)</f>
        <v>08-Infraestructura física, mantenimiento y dotación (Sedes construidas, mantenidas reforzadas)</v>
      </c>
      <c r="V455" s="51" t="s">
        <v>238</v>
      </c>
      <c r="W455" s="160" t="str">
        <f>IFERROR(VLOOKUP(V455,TD!$N$33:$O$45,2,0)," ")</f>
        <v>Sedes mantenidas</v>
      </c>
      <c r="X455" s="161" t="str">
        <f>CONCATENATE(V455,"_",W455)</f>
        <v>016_Sedes mantenidas</v>
      </c>
      <c r="Y455" s="161" t="str">
        <f>CONCATENATE(U455," ",X455)</f>
        <v>08-Infraestructura física, mantenimiento y dotación (Sedes construidas, mantenidas reforzadas) 016_Sedes mantenidas</v>
      </c>
      <c r="Z455" s="160" t="str">
        <f>CONCATENATE(P455,Q455,R455,S455,V455)</f>
        <v>O23011745992024020708016</v>
      </c>
      <c r="AA455" s="160" t="str">
        <f>IFERROR(VLOOKUP(Y455,TD!$K$46:$L$64,2,0)," ")</f>
        <v>PM/0131/0108/45990160207</v>
      </c>
      <c r="AB455" s="53" t="s">
        <v>138</v>
      </c>
      <c r="AC455" s="162" t="s">
        <v>204</v>
      </c>
    </row>
    <row r="456" spans="2:29" s="28" customFormat="1" ht="99" customHeight="1" x14ac:dyDescent="0.35">
      <c r="B456" s="77">
        <v>20250471</v>
      </c>
      <c r="C456" s="50" t="s">
        <v>208</v>
      </c>
      <c r="D456" s="158" t="s">
        <v>166</v>
      </c>
      <c r="E456" s="51" t="s">
        <v>592</v>
      </c>
      <c r="F456" s="158" t="s">
        <v>612</v>
      </c>
      <c r="G456" s="158" t="s">
        <v>155</v>
      </c>
      <c r="H456" s="97" t="s">
        <v>648</v>
      </c>
      <c r="I456" s="159">
        <v>2</v>
      </c>
      <c r="J456" s="159">
        <v>11</v>
      </c>
      <c r="K456" s="52">
        <v>0</v>
      </c>
      <c r="L456" s="153">
        <v>58261500</v>
      </c>
      <c r="M456" s="158" t="s">
        <v>473</v>
      </c>
      <c r="N456" s="53" t="s">
        <v>649</v>
      </c>
      <c r="O456" s="51" t="s">
        <v>218</v>
      </c>
      <c r="P456" s="160" t="str">
        <f>IFERROR(VLOOKUP(C456,TD!$B$32:$F$36,2,0)," ")</f>
        <v>O230117</v>
      </c>
      <c r="Q456" s="160" t="str">
        <f>IFERROR(VLOOKUP(C456,TD!$B$32:$F$36,3,0)," ")</f>
        <v>4599</v>
      </c>
      <c r="R456" s="160">
        <f>IFERROR(VLOOKUP(C456,TD!$B$32:$F$36,4,0)," ")</f>
        <v>20240207</v>
      </c>
      <c r="S456" s="51" t="s">
        <v>185</v>
      </c>
      <c r="T456" s="160" t="str">
        <f>IFERROR(VLOOKUP(S456,TD!$J$33:$K$43,2,0)," ")</f>
        <v>Infraestructura física, mantenimiento y dotación (Sedes construidas, mantenidas reforzadas)</v>
      </c>
      <c r="U456" s="161" t="str">
        <f>CONCATENATE(S456,"-",T456)</f>
        <v>08-Infraestructura física, mantenimiento y dotación (Sedes construidas, mantenidas reforzadas)</v>
      </c>
      <c r="V456" s="51" t="s">
        <v>238</v>
      </c>
      <c r="W456" s="160" t="str">
        <f>IFERROR(VLOOKUP(V456,TD!$N$33:$O$45,2,0)," ")</f>
        <v>Sedes mantenidas</v>
      </c>
      <c r="X456" s="161" t="str">
        <f>CONCATENATE(V456,"_",W456)</f>
        <v>016_Sedes mantenidas</v>
      </c>
      <c r="Y456" s="161" t="str">
        <f>CONCATENATE(U456," ",X456)</f>
        <v>08-Infraestructura física, mantenimiento y dotación (Sedes construidas, mantenidas reforzadas) 016_Sedes mantenidas</v>
      </c>
      <c r="Z456" s="160" t="str">
        <f>CONCATENATE(P456,Q456,R456,S456,V456)</f>
        <v>O23011745992024020708016</v>
      </c>
      <c r="AA456" s="160" t="str">
        <f>IFERROR(VLOOKUP(Y456,TD!$K$46:$L$64,2,0)," ")</f>
        <v>PM/0131/0108/45990160207</v>
      </c>
      <c r="AB456" s="53" t="s">
        <v>138</v>
      </c>
      <c r="AC456" s="162" t="s">
        <v>204</v>
      </c>
    </row>
    <row r="457" spans="2:29" s="28" customFormat="1" ht="99" customHeight="1" x14ac:dyDescent="0.35">
      <c r="B457" s="77">
        <v>20250472</v>
      </c>
      <c r="C457" s="50" t="s">
        <v>208</v>
      </c>
      <c r="D457" s="158" t="s">
        <v>166</v>
      </c>
      <c r="E457" s="51" t="s">
        <v>592</v>
      </c>
      <c r="F457" s="158" t="s">
        <v>601</v>
      </c>
      <c r="G457" s="158" t="s">
        <v>156</v>
      </c>
      <c r="H457" s="97" t="s">
        <v>648</v>
      </c>
      <c r="I457" s="159">
        <v>2</v>
      </c>
      <c r="J457" s="159">
        <v>11</v>
      </c>
      <c r="K457" s="52">
        <v>0</v>
      </c>
      <c r="L457" s="153">
        <v>38325056</v>
      </c>
      <c r="M457" s="158" t="s">
        <v>473</v>
      </c>
      <c r="N457" s="53" t="s">
        <v>649</v>
      </c>
      <c r="O457" s="51" t="s">
        <v>218</v>
      </c>
      <c r="P457" s="160" t="str">
        <f>IFERROR(VLOOKUP(C457,TD!$B$32:$F$36,2,0)," ")</f>
        <v>O230117</v>
      </c>
      <c r="Q457" s="160" t="str">
        <f>IFERROR(VLOOKUP(C457,TD!$B$32:$F$36,3,0)," ")</f>
        <v>4599</v>
      </c>
      <c r="R457" s="160">
        <f>IFERROR(VLOOKUP(C457,TD!$B$32:$F$36,4,0)," ")</f>
        <v>20240207</v>
      </c>
      <c r="S457" s="51" t="s">
        <v>185</v>
      </c>
      <c r="T457" s="160" t="str">
        <f>IFERROR(VLOOKUP(S457,TD!$J$33:$K$43,2,0)," ")</f>
        <v>Infraestructura física, mantenimiento y dotación (Sedes construidas, mantenidas reforzadas)</v>
      </c>
      <c r="U457" s="161" t="str">
        <f>CONCATENATE(S457,"-",T457)</f>
        <v>08-Infraestructura física, mantenimiento y dotación (Sedes construidas, mantenidas reforzadas)</v>
      </c>
      <c r="V457" s="51" t="s">
        <v>238</v>
      </c>
      <c r="W457" s="160" t="str">
        <f>IFERROR(VLOOKUP(V457,TD!$N$33:$O$45,2,0)," ")</f>
        <v>Sedes mantenidas</v>
      </c>
      <c r="X457" s="161" t="str">
        <f>CONCATENATE(V457,"_",W457)</f>
        <v>016_Sedes mantenidas</v>
      </c>
      <c r="Y457" s="161" t="str">
        <f>CONCATENATE(U457," ",X457)</f>
        <v>08-Infraestructura física, mantenimiento y dotación (Sedes construidas, mantenidas reforzadas) 016_Sedes mantenidas</v>
      </c>
      <c r="Z457" s="160" t="str">
        <f>CONCATENATE(P457,Q457,R457,S457,V457)</f>
        <v>O23011745992024020708016</v>
      </c>
      <c r="AA457" s="160" t="str">
        <f>IFERROR(VLOOKUP(Y457,TD!$K$46:$L$64,2,0)," ")</f>
        <v>PM/0131/0108/45990160207</v>
      </c>
      <c r="AB457" s="53" t="s">
        <v>138</v>
      </c>
      <c r="AC457" s="162" t="s">
        <v>204</v>
      </c>
    </row>
    <row r="458" spans="2:29" s="28" customFormat="1" ht="99" customHeight="1" x14ac:dyDescent="0.35">
      <c r="B458" s="77">
        <v>20250473</v>
      </c>
      <c r="C458" s="50" t="s">
        <v>208</v>
      </c>
      <c r="D458" s="158" t="s">
        <v>166</v>
      </c>
      <c r="E458" s="51" t="s">
        <v>592</v>
      </c>
      <c r="F458" s="158" t="s">
        <v>613</v>
      </c>
      <c r="G458" s="158" t="s">
        <v>156</v>
      </c>
      <c r="H458" s="97" t="s">
        <v>648</v>
      </c>
      <c r="I458" s="159">
        <v>2</v>
      </c>
      <c r="J458" s="159">
        <v>0</v>
      </c>
      <c r="K458" s="52">
        <v>11</v>
      </c>
      <c r="L458" s="153">
        <v>33534424</v>
      </c>
      <c r="M458" s="158" t="s">
        <v>473</v>
      </c>
      <c r="N458" s="53" t="s">
        <v>649</v>
      </c>
      <c r="O458" s="51" t="s">
        <v>218</v>
      </c>
      <c r="P458" s="160" t="str">
        <f>IFERROR(VLOOKUP(C458,TD!$B$32:$F$36,2,0)," ")</f>
        <v>O230117</v>
      </c>
      <c r="Q458" s="160" t="str">
        <f>IFERROR(VLOOKUP(C458,TD!$B$32:$F$36,3,0)," ")</f>
        <v>4599</v>
      </c>
      <c r="R458" s="160">
        <f>IFERROR(VLOOKUP(C458,TD!$B$32:$F$36,4,0)," ")</f>
        <v>20240207</v>
      </c>
      <c r="S458" s="51" t="s">
        <v>185</v>
      </c>
      <c r="T458" s="160" t="str">
        <f>IFERROR(VLOOKUP(S458,TD!$J$33:$K$43,2,0)," ")</f>
        <v>Infraestructura física, mantenimiento y dotación (Sedes construidas, mantenidas reforzadas)</v>
      </c>
      <c r="U458" s="161" t="str">
        <f>CONCATENATE(S458,"-",T458)</f>
        <v>08-Infraestructura física, mantenimiento y dotación (Sedes construidas, mantenidas reforzadas)</v>
      </c>
      <c r="V458" s="51" t="s">
        <v>238</v>
      </c>
      <c r="W458" s="160" t="str">
        <f>IFERROR(VLOOKUP(V458,TD!$N$33:$O$45,2,0)," ")</f>
        <v>Sedes mantenidas</v>
      </c>
      <c r="X458" s="161" t="str">
        <f>CONCATENATE(V458,"_",W458)</f>
        <v>016_Sedes mantenidas</v>
      </c>
      <c r="Y458" s="161" t="str">
        <f>CONCATENATE(U458," ",X458)</f>
        <v>08-Infraestructura física, mantenimiento y dotación (Sedes construidas, mantenidas reforzadas) 016_Sedes mantenidas</v>
      </c>
      <c r="Z458" s="160" t="str">
        <f>CONCATENATE(P458,Q458,R458,S458,V458)</f>
        <v>O23011745992024020708016</v>
      </c>
      <c r="AA458" s="160" t="str">
        <f>IFERROR(VLOOKUP(Y458,TD!$K$46:$L$64,2,0)," ")</f>
        <v>PM/0131/0108/45990160207</v>
      </c>
      <c r="AB458" s="53" t="s">
        <v>138</v>
      </c>
      <c r="AC458" s="162" t="s">
        <v>204</v>
      </c>
    </row>
    <row r="459" spans="2:29" s="28" customFormat="1" ht="99" customHeight="1" x14ac:dyDescent="0.35">
      <c r="B459" s="77">
        <v>20250474</v>
      </c>
      <c r="C459" s="50" t="s">
        <v>208</v>
      </c>
      <c r="D459" s="158" t="s">
        <v>166</v>
      </c>
      <c r="E459" s="51" t="s">
        <v>592</v>
      </c>
      <c r="F459" s="158" t="s">
        <v>613</v>
      </c>
      <c r="G459" s="158" t="s">
        <v>156</v>
      </c>
      <c r="H459" s="97" t="s">
        <v>648</v>
      </c>
      <c r="I459" s="159">
        <v>2</v>
      </c>
      <c r="J459" s="159">
        <v>11</v>
      </c>
      <c r="K459" s="52">
        <v>0</v>
      </c>
      <c r="L459" s="153">
        <v>33534424</v>
      </c>
      <c r="M459" s="158" t="s">
        <v>473</v>
      </c>
      <c r="N459" s="53" t="s">
        <v>649</v>
      </c>
      <c r="O459" s="51" t="s">
        <v>218</v>
      </c>
      <c r="P459" s="160" t="str">
        <f>IFERROR(VLOOKUP(C459,TD!$B$32:$F$36,2,0)," ")</f>
        <v>O230117</v>
      </c>
      <c r="Q459" s="160" t="str">
        <f>IFERROR(VLOOKUP(C459,TD!$B$32:$F$36,3,0)," ")</f>
        <v>4599</v>
      </c>
      <c r="R459" s="160">
        <f>IFERROR(VLOOKUP(C459,TD!$B$32:$F$36,4,0)," ")</f>
        <v>20240207</v>
      </c>
      <c r="S459" s="51" t="s">
        <v>185</v>
      </c>
      <c r="T459" s="160" t="str">
        <f>IFERROR(VLOOKUP(S459,TD!$J$33:$K$43,2,0)," ")</f>
        <v>Infraestructura física, mantenimiento y dotación (Sedes construidas, mantenidas reforzadas)</v>
      </c>
      <c r="U459" s="161" t="str">
        <f>CONCATENATE(S459,"-",T459)</f>
        <v>08-Infraestructura física, mantenimiento y dotación (Sedes construidas, mantenidas reforzadas)</v>
      </c>
      <c r="V459" s="51" t="s">
        <v>238</v>
      </c>
      <c r="W459" s="160" t="str">
        <f>IFERROR(VLOOKUP(V459,TD!$N$33:$O$45,2,0)," ")</f>
        <v>Sedes mantenidas</v>
      </c>
      <c r="X459" s="161" t="str">
        <f>CONCATENATE(V459,"_",W459)</f>
        <v>016_Sedes mantenidas</v>
      </c>
      <c r="Y459" s="161" t="str">
        <f>CONCATENATE(U459," ",X459)</f>
        <v>08-Infraestructura física, mantenimiento y dotación (Sedes construidas, mantenidas reforzadas) 016_Sedes mantenidas</v>
      </c>
      <c r="Z459" s="160" t="str">
        <f>CONCATENATE(P459,Q459,R459,S459,V459)</f>
        <v>O23011745992024020708016</v>
      </c>
      <c r="AA459" s="160" t="str">
        <f>IFERROR(VLOOKUP(Y459,TD!$K$46:$L$64,2,0)," ")</f>
        <v>PM/0131/0108/45990160207</v>
      </c>
      <c r="AB459" s="53" t="s">
        <v>138</v>
      </c>
      <c r="AC459" s="162" t="s">
        <v>204</v>
      </c>
    </row>
    <row r="460" spans="2:29" s="28" customFormat="1" ht="99" customHeight="1" x14ac:dyDescent="0.35">
      <c r="B460" s="77">
        <v>20250475</v>
      </c>
      <c r="C460" s="50" t="s">
        <v>208</v>
      </c>
      <c r="D460" s="158" t="s">
        <v>166</v>
      </c>
      <c r="E460" s="51" t="s">
        <v>592</v>
      </c>
      <c r="F460" s="158" t="s">
        <v>613</v>
      </c>
      <c r="G460" s="158" t="s">
        <v>156</v>
      </c>
      <c r="H460" s="97" t="s">
        <v>648</v>
      </c>
      <c r="I460" s="159">
        <v>2</v>
      </c>
      <c r="J460" s="159">
        <v>11</v>
      </c>
      <c r="K460" s="52">
        <v>0</v>
      </c>
      <c r="L460" s="153">
        <v>33534424</v>
      </c>
      <c r="M460" s="158" t="s">
        <v>473</v>
      </c>
      <c r="N460" s="53" t="s">
        <v>649</v>
      </c>
      <c r="O460" s="51" t="s">
        <v>218</v>
      </c>
      <c r="P460" s="160" t="str">
        <f>IFERROR(VLOOKUP(C460,TD!$B$32:$F$36,2,0)," ")</f>
        <v>O230117</v>
      </c>
      <c r="Q460" s="160" t="str">
        <f>IFERROR(VLOOKUP(C460,TD!$B$32:$F$36,3,0)," ")</f>
        <v>4599</v>
      </c>
      <c r="R460" s="160">
        <f>IFERROR(VLOOKUP(C460,TD!$B$32:$F$36,4,0)," ")</f>
        <v>20240207</v>
      </c>
      <c r="S460" s="51" t="s">
        <v>185</v>
      </c>
      <c r="T460" s="160" t="str">
        <f>IFERROR(VLOOKUP(S460,TD!$J$33:$K$43,2,0)," ")</f>
        <v>Infraestructura física, mantenimiento y dotación (Sedes construidas, mantenidas reforzadas)</v>
      </c>
      <c r="U460" s="161" t="str">
        <f>CONCATENATE(S460,"-",T460)</f>
        <v>08-Infraestructura física, mantenimiento y dotación (Sedes construidas, mantenidas reforzadas)</v>
      </c>
      <c r="V460" s="51" t="s">
        <v>238</v>
      </c>
      <c r="W460" s="160" t="str">
        <f>IFERROR(VLOOKUP(V460,TD!$N$33:$O$45,2,0)," ")</f>
        <v>Sedes mantenidas</v>
      </c>
      <c r="X460" s="161" t="str">
        <f>CONCATENATE(V460,"_",W460)</f>
        <v>016_Sedes mantenidas</v>
      </c>
      <c r="Y460" s="161" t="str">
        <f>CONCATENATE(U460," ",X460)</f>
        <v>08-Infraestructura física, mantenimiento y dotación (Sedes construidas, mantenidas reforzadas) 016_Sedes mantenidas</v>
      </c>
      <c r="Z460" s="160" t="str">
        <f>CONCATENATE(P460,Q460,R460,S460,V460)</f>
        <v>O23011745992024020708016</v>
      </c>
      <c r="AA460" s="160" t="str">
        <f>IFERROR(VLOOKUP(Y460,TD!$K$46:$L$64,2,0)," ")</f>
        <v>PM/0131/0108/45990160207</v>
      </c>
      <c r="AB460" s="53" t="s">
        <v>138</v>
      </c>
      <c r="AC460" s="162" t="s">
        <v>204</v>
      </c>
    </row>
    <row r="461" spans="2:29" s="28" customFormat="1" ht="99" customHeight="1" x14ac:dyDescent="0.35">
      <c r="B461" s="77">
        <v>20250476</v>
      </c>
      <c r="C461" s="50" t="s">
        <v>208</v>
      </c>
      <c r="D461" s="158" t="s">
        <v>166</v>
      </c>
      <c r="E461" s="51" t="s">
        <v>592</v>
      </c>
      <c r="F461" s="158" t="s">
        <v>614</v>
      </c>
      <c r="G461" s="158" t="s">
        <v>155</v>
      </c>
      <c r="H461" s="97" t="s">
        <v>648</v>
      </c>
      <c r="I461" s="159">
        <v>2</v>
      </c>
      <c r="J461" s="159">
        <v>11</v>
      </c>
      <c r="K461" s="52">
        <v>0</v>
      </c>
      <c r="L461" s="153">
        <v>60500000</v>
      </c>
      <c r="M461" s="158" t="s">
        <v>473</v>
      </c>
      <c r="N461" s="53" t="s">
        <v>649</v>
      </c>
      <c r="O461" s="51" t="s">
        <v>218</v>
      </c>
      <c r="P461" s="160" t="str">
        <f>IFERROR(VLOOKUP(C461,TD!$B$32:$F$36,2,0)," ")</f>
        <v>O230117</v>
      </c>
      <c r="Q461" s="160" t="str">
        <f>IFERROR(VLOOKUP(C461,TD!$B$32:$F$36,3,0)," ")</f>
        <v>4599</v>
      </c>
      <c r="R461" s="160">
        <f>IFERROR(VLOOKUP(C461,TD!$B$32:$F$36,4,0)," ")</f>
        <v>20240207</v>
      </c>
      <c r="S461" s="51" t="s">
        <v>185</v>
      </c>
      <c r="T461" s="160" t="str">
        <f>IFERROR(VLOOKUP(S461,TD!$J$33:$K$43,2,0)," ")</f>
        <v>Infraestructura física, mantenimiento y dotación (Sedes construidas, mantenidas reforzadas)</v>
      </c>
      <c r="U461" s="161" t="str">
        <f>CONCATENATE(S461,"-",T461)</f>
        <v>08-Infraestructura física, mantenimiento y dotación (Sedes construidas, mantenidas reforzadas)</v>
      </c>
      <c r="V461" s="51" t="s">
        <v>238</v>
      </c>
      <c r="W461" s="160" t="str">
        <f>IFERROR(VLOOKUP(V461,TD!$N$33:$O$45,2,0)," ")</f>
        <v>Sedes mantenidas</v>
      </c>
      <c r="X461" s="161" t="str">
        <f>CONCATENATE(V461,"_",W461)</f>
        <v>016_Sedes mantenidas</v>
      </c>
      <c r="Y461" s="161" t="str">
        <f>CONCATENATE(U461," ",X461)</f>
        <v>08-Infraestructura física, mantenimiento y dotación (Sedes construidas, mantenidas reforzadas) 016_Sedes mantenidas</v>
      </c>
      <c r="Z461" s="160" t="str">
        <f>CONCATENATE(P461,Q461,R461,S461,V461)</f>
        <v>O23011745992024020708016</v>
      </c>
      <c r="AA461" s="160" t="str">
        <f>IFERROR(VLOOKUP(Y461,TD!$K$46:$L$64,2,0)," ")</f>
        <v>PM/0131/0108/45990160207</v>
      </c>
      <c r="AB461" s="53" t="s">
        <v>138</v>
      </c>
      <c r="AC461" s="162" t="s">
        <v>204</v>
      </c>
    </row>
    <row r="462" spans="2:29" s="28" customFormat="1" ht="99" customHeight="1" x14ac:dyDescent="0.35">
      <c r="B462" s="152">
        <v>20250477</v>
      </c>
      <c r="C462" s="164" t="s">
        <v>208</v>
      </c>
      <c r="D462" s="165" t="s">
        <v>166</v>
      </c>
      <c r="E462" s="166" t="s">
        <v>592</v>
      </c>
      <c r="F462" s="165" t="s">
        <v>613</v>
      </c>
      <c r="G462" s="165" t="s">
        <v>156</v>
      </c>
      <c r="H462" s="167" t="s">
        <v>648</v>
      </c>
      <c r="I462" s="163">
        <v>2</v>
      </c>
      <c r="J462" s="163">
        <v>11</v>
      </c>
      <c r="K462" s="151">
        <v>0</v>
      </c>
      <c r="L462" s="154">
        <v>29558952</v>
      </c>
      <c r="M462" s="165" t="s">
        <v>473</v>
      </c>
      <c r="N462" s="150" t="s">
        <v>649</v>
      </c>
      <c r="O462" s="166" t="s">
        <v>218</v>
      </c>
      <c r="P462" s="168" t="str">
        <f>IFERROR(VLOOKUP(C462,TD!$B$32:$F$36,2,0)," ")</f>
        <v>O230117</v>
      </c>
      <c r="Q462" s="168" t="str">
        <f>IFERROR(VLOOKUP(C462,TD!$B$32:$F$36,3,0)," ")</f>
        <v>4599</v>
      </c>
      <c r="R462" s="168">
        <f>IFERROR(VLOOKUP(C462,TD!$B$32:$F$36,4,0)," ")</f>
        <v>20240207</v>
      </c>
      <c r="S462" s="166" t="s">
        <v>185</v>
      </c>
      <c r="T462" s="168" t="str">
        <f>IFERROR(VLOOKUP(S462,TD!$J$33:$K$43,2,0)," ")</f>
        <v>Infraestructura física, mantenimiento y dotación (Sedes construidas, mantenidas reforzadas)</v>
      </c>
      <c r="U462" s="161" t="str">
        <f>CONCATENATE(S462,"-",T462)</f>
        <v>08-Infraestructura física, mantenimiento y dotación (Sedes construidas, mantenidas reforzadas)</v>
      </c>
      <c r="V462" s="166" t="s">
        <v>238</v>
      </c>
      <c r="W462" s="168" t="str">
        <f>IFERROR(VLOOKUP(V462,TD!$N$33:$O$45,2,0)," ")</f>
        <v>Sedes mantenidas</v>
      </c>
      <c r="X462" s="161" t="str">
        <f>CONCATENATE(V462,"_",W462)</f>
        <v>016_Sedes mantenidas</v>
      </c>
      <c r="Y462" s="161" t="str">
        <f>CONCATENATE(U462," ",X462)</f>
        <v>08-Infraestructura física, mantenimiento y dotación (Sedes construidas, mantenidas reforzadas) 016_Sedes mantenidas</v>
      </c>
      <c r="Z462" s="168" t="str">
        <f>CONCATENATE(P462,Q462,R462,S462,V462)</f>
        <v>O23011745992024020708016</v>
      </c>
      <c r="AA462" s="168" t="str">
        <f>IFERROR(VLOOKUP(Y462,TD!$K$46:$L$64,2,0)," ")</f>
        <v>PM/0131/0108/45990160207</v>
      </c>
      <c r="AB462" s="150" t="s">
        <v>138</v>
      </c>
      <c r="AC462" s="169" t="s">
        <v>204</v>
      </c>
    </row>
    <row r="463" spans="2:29" s="28" customFormat="1" ht="99" customHeight="1" x14ac:dyDescent="0.35">
      <c r="B463" s="152">
        <v>20250478</v>
      </c>
      <c r="C463" s="164" t="s">
        <v>208</v>
      </c>
      <c r="D463" s="165" t="s">
        <v>166</v>
      </c>
      <c r="E463" s="166" t="s">
        <v>592</v>
      </c>
      <c r="F463" s="165" t="s">
        <v>657</v>
      </c>
      <c r="G463" s="165" t="s">
        <v>155</v>
      </c>
      <c r="H463" s="167" t="s">
        <v>648</v>
      </c>
      <c r="I463" s="163">
        <v>2</v>
      </c>
      <c r="J463" s="163">
        <v>11</v>
      </c>
      <c r="K463" s="151">
        <v>0</v>
      </c>
      <c r="L463" s="154">
        <v>54291951</v>
      </c>
      <c r="M463" s="165" t="s">
        <v>473</v>
      </c>
      <c r="N463" s="150" t="s">
        <v>649</v>
      </c>
      <c r="O463" s="166" t="s">
        <v>219</v>
      </c>
      <c r="P463" s="168" t="str">
        <f>IFERROR(VLOOKUP(C463,TD!$B$32:$F$36,2,0)," ")</f>
        <v>O230117</v>
      </c>
      <c r="Q463" s="168" t="str">
        <f>IFERROR(VLOOKUP(C463,TD!$B$32:$F$36,3,0)," ")</f>
        <v>4599</v>
      </c>
      <c r="R463" s="168">
        <f>IFERROR(VLOOKUP(C463,TD!$B$32:$F$36,4,0)," ")</f>
        <v>20240207</v>
      </c>
      <c r="S463" s="166" t="s">
        <v>185</v>
      </c>
      <c r="T463" s="168" t="str">
        <f>IFERROR(VLOOKUP(S463,TD!$J$33:$K$43,2,0)," ")</f>
        <v>Infraestructura física, mantenimiento y dotación (Sedes construidas, mantenidas reforzadas)</v>
      </c>
      <c r="U463" s="161" t="str">
        <f>CONCATENATE(S463,"-",T463)</f>
        <v>08-Infraestructura física, mantenimiento y dotación (Sedes construidas, mantenidas reforzadas)</v>
      </c>
      <c r="V463" s="166" t="s">
        <v>238</v>
      </c>
      <c r="W463" s="168" t="str">
        <f>IFERROR(VLOOKUP(V463,TD!$N$33:$O$45,2,0)," ")</f>
        <v>Sedes mantenidas</v>
      </c>
      <c r="X463" s="161" t="str">
        <f>CONCATENATE(V463,"_",W463)</f>
        <v>016_Sedes mantenidas</v>
      </c>
      <c r="Y463" s="161" t="str">
        <f>CONCATENATE(U463," ",X463)</f>
        <v>08-Infraestructura física, mantenimiento y dotación (Sedes construidas, mantenidas reforzadas) 016_Sedes mantenidas</v>
      </c>
      <c r="Z463" s="168" t="str">
        <f>CONCATENATE(P463,Q463,R463,S463,V463)</f>
        <v>O23011745992024020708016</v>
      </c>
      <c r="AA463" s="168" t="str">
        <f>IFERROR(VLOOKUP(Y463,TD!$K$46:$L$64,2,0)," ")</f>
        <v>PM/0131/0108/45990160207</v>
      </c>
      <c r="AB463" s="150" t="s">
        <v>138</v>
      </c>
      <c r="AC463" s="169" t="s">
        <v>204</v>
      </c>
    </row>
    <row r="464" spans="2:29" s="28" customFormat="1" ht="99" customHeight="1" x14ac:dyDescent="0.35">
      <c r="B464" s="152">
        <v>20250479</v>
      </c>
      <c r="C464" s="164" t="s">
        <v>208</v>
      </c>
      <c r="D464" s="165" t="s">
        <v>166</v>
      </c>
      <c r="E464" s="166" t="s">
        <v>592</v>
      </c>
      <c r="F464" s="165" t="s">
        <v>657</v>
      </c>
      <c r="G464" s="165" t="s">
        <v>155</v>
      </c>
      <c r="H464" s="167" t="s">
        <v>648</v>
      </c>
      <c r="I464" s="163">
        <v>2</v>
      </c>
      <c r="J464" s="163">
        <v>11</v>
      </c>
      <c r="K464" s="151">
        <v>0</v>
      </c>
      <c r="L464" s="154">
        <v>54291951</v>
      </c>
      <c r="M464" s="165" t="s">
        <v>473</v>
      </c>
      <c r="N464" s="150" t="s">
        <v>649</v>
      </c>
      <c r="O464" s="166" t="s">
        <v>219</v>
      </c>
      <c r="P464" s="168" t="str">
        <f>IFERROR(VLOOKUP(C464,TD!$B$32:$F$36,2,0)," ")</f>
        <v>O230117</v>
      </c>
      <c r="Q464" s="168" t="str">
        <f>IFERROR(VLOOKUP(C464,TD!$B$32:$F$36,3,0)," ")</f>
        <v>4599</v>
      </c>
      <c r="R464" s="168">
        <f>IFERROR(VLOOKUP(C464,TD!$B$32:$F$36,4,0)," ")</f>
        <v>20240207</v>
      </c>
      <c r="S464" s="166" t="s">
        <v>185</v>
      </c>
      <c r="T464" s="168" t="str">
        <f>IFERROR(VLOOKUP(S464,TD!$J$33:$K$43,2,0)," ")</f>
        <v>Infraestructura física, mantenimiento y dotación (Sedes construidas, mantenidas reforzadas)</v>
      </c>
      <c r="U464" s="161" t="str">
        <f>CONCATENATE(S464,"-",T464)</f>
        <v>08-Infraestructura física, mantenimiento y dotación (Sedes construidas, mantenidas reforzadas)</v>
      </c>
      <c r="V464" s="166" t="s">
        <v>238</v>
      </c>
      <c r="W464" s="168" t="str">
        <f>IFERROR(VLOOKUP(V464,TD!$N$33:$O$45,2,0)," ")</f>
        <v>Sedes mantenidas</v>
      </c>
      <c r="X464" s="161" t="str">
        <f>CONCATENATE(V464,"_",W464)</f>
        <v>016_Sedes mantenidas</v>
      </c>
      <c r="Y464" s="161" t="str">
        <f>CONCATENATE(U464," ",X464)</f>
        <v>08-Infraestructura física, mantenimiento y dotación (Sedes construidas, mantenidas reforzadas) 016_Sedes mantenidas</v>
      </c>
      <c r="Z464" s="168" t="str">
        <f>CONCATENATE(P464,Q464,R464,S464,V464)</f>
        <v>O23011745992024020708016</v>
      </c>
      <c r="AA464" s="168" t="str">
        <f>IFERROR(VLOOKUP(Y464,TD!$K$46:$L$64,2,0)," ")</f>
        <v>PM/0131/0108/45990160207</v>
      </c>
      <c r="AB464" s="150" t="s">
        <v>138</v>
      </c>
      <c r="AC464" s="169" t="s">
        <v>204</v>
      </c>
    </row>
    <row r="465" spans="2:29" s="28" customFormat="1" ht="99" customHeight="1" x14ac:dyDescent="0.35">
      <c r="B465" s="152">
        <v>20250480</v>
      </c>
      <c r="C465" s="164" t="s">
        <v>208</v>
      </c>
      <c r="D465" s="165" t="s">
        <v>166</v>
      </c>
      <c r="E465" s="166" t="s">
        <v>592</v>
      </c>
      <c r="F465" s="165" t="s">
        <v>616</v>
      </c>
      <c r="G465" s="165" t="s">
        <v>156</v>
      </c>
      <c r="H465" s="167" t="s">
        <v>648</v>
      </c>
      <c r="I465" s="163">
        <v>2</v>
      </c>
      <c r="J465" s="163">
        <v>11</v>
      </c>
      <c r="K465" s="151">
        <v>0</v>
      </c>
      <c r="L465" s="154">
        <v>40417344</v>
      </c>
      <c r="M465" s="165" t="s">
        <v>473</v>
      </c>
      <c r="N465" s="150" t="s">
        <v>649</v>
      </c>
      <c r="O465" s="166" t="s">
        <v>219</v>
      </c>
      <c r="P465" s="168" t="str">
        <f>IFERROR(VLOOKUP(C465,TD!$B$32:$F$36,2,0)," ")</f>
        <v>O230117</v>
      </c>
      <c r="Q465" s="168" t="str">
        <f>IFERROR(VLOOKUP(C465,TD!$B$32:$F$36,3,0)," ")</f>
        <v>4599</v>
      </c>
      <c r="R465" s="168">
        <f>IFERROR(VLOOKUP(C465,TD!$B$32:$F$36,4,0)," ")</f>
        <v>20240207</v>
      </c>
      <c r="S465" s="166" t="s">
        <v>185</v>
      </c>
      <c r="T465" s="168" t="str">
        <f>IFERROR(VLOOKUP(S465,TD!$J$33:$K$43,2,0)," ")</f>
        <v>Infraestructura física, mantenimiento y dotación (Sedes construidas, mantenidas reforzadas)</v>
      </c>
      <c r="U465" s="161" t="str">
        <f>CONCATENATE(S465,"-",T465)</f>
        <v>08-Infraestructura física, mantenimiento y dotación (Sedes construidas, mantenidas reforzadas)</v>
      </c>
      <c r="V465" s="166" t="s">
        <v>238</v>
      </c>
      <c r="W465" s="168" t="str">
        <f>IFERROR(VLOOKUP(V465,TD!$N$33:$O$45,2,0)," ")</f>
        <v>Sedes mantenidas</v>
      </c>
      <c r="X465" s="161" t="str">
        <f>CONCATENATE(V465,"_",W465)</f>
        <v>016_Sedes mantenidas</v>
      </c>
      <c r="Y465" s="161" t="str">
        <f>CONCATENATE(U465," ",X465)</f>
        <v>08-Infraestructura física, mantenimiento y dotación (Sedes construidas, mantenidas reforzadas) 016_Sedes mantenidas</v>
      </c>
      <c r="Z465" s="168" t="str">
        <f>CONCATENATE(P465,Q465,R465,S465,V465)</f>
        <v>O23011745992024020708016</v>
      </c>
      <c r="AA465" s="168" t="str">
        <f>IFERROR(VLOOKUP(Y465,TD!$K$46:$L$64,2,0)," ")</f>
        <v>PM/0131/0108/45990160207</v>
      </c>
      <c r="AB465" s="150" t="s">
        <v>138</v>
      </c>
      <c r="AC465" s="169" t="s">
        <v>204</v>
      </c>
    </row>
    <row r="466" spans="2:29" s="28" customFormat="1" ht="99" customHeight="1" x14ac:dyDescent="0.35">
      <c r="B466" s="152">
        <v>20250481</v>
      </c>
      <c r="C466" s="164" t="s">
        <v>208</v>
      </c>
      <c r="D466" s="165" t="s">
        <v>166</v>
      </c>
      <c r="E466" s="166" t="s">
        <v>592</v>
      </c>
      <c r="F466" s="165" t="s">
        <v>618</v>
      </c>
      <c r="G466" s="165" t="s">
        <v>155</v>
      </c>
      <c r="H466" s="167" t="s">
        <v>648</v>
      </c>
      <c r="I466" s="163">
        <v>2</v>
      </c>
      <c r="J466" s="163">
        <v>11</v>
      </c>
      <c r="K466" s="151">
        <v>0</v>
      </c>
      <c r="L466" s="154">
        <v>54291951</v>
      </c>
      <c r="M466" s="165" t="s">
        <v>473</v>
      </c>
      <c r="N466" s="150" t="s">
        <v>649</v>
      </c>
      <c r="O466" s="166" t="s">
        <v>219</v>
      </c>
      <c r="P466" s="168" t="str">
        <f>IFERROR(VLOOKUP(C466,TD!$B$32:$F$36,2,0)," ")</f>
        <v>O230117</v>
      </c>
      <c r="Q466" s="168" t="str">
        <f>IFERROR(VLOOKUP(C466,TD!$B$32:$F$36,3,0)," ")</f>
        <v>4599</v>
      </c>
      <c r="R466" s="168">
        <f>IFERROR(VLOOKUP(C466,TD!$B$32:$F$36,4,0)," ")</f>
        <v>20240207</v>
      </c>
      <c r="S466" s="166" t="s">
        <v>185</v>
      </c>
      <c r="T466" s="168" t="str">
        <f>IFERROR(VLOOKUP(S466,TD!$J$33:$K$43,2,0)," ")</f>
        <v>Infraestructura física, mantenimiento y dotación (Sedes construidas, mantenidas reforzadas)</v>
      </c>
      <c r="U466" s="161" t="str">
        <f>CONCATENATE(S466,"-",T466)</f>
        <v>08-Infraestructura física, mantenimiento y dotación (Sedes construidas, mantenidas reforzadas)</v>
      </c>
      <c r="V466" s="166" t="s">
        <v>238</v>
      </c>
      <c r="W466" s="168" t="str">
        <f>IFERROR(VLOOKUP(V466,TD!$N$33:$O$45,2,0)," ")</f>
        <v>Sedes mantenidas</v>
      </c>
      <c r="X466" s="161" t="str">
        <f>CONCATENATE(V466,"_",W466)</f>
        <v>016_Sedes mantenidas</v>
      </c>
      <c r="Y466" s="161" t="str">
        <f>CONCATENATE(U466," ",X466)</f>
        <v>08-Infraestructura física, mantenimiento y dotación (Sedes construidas, mantenidas reforzadas) 016_Sedes mantenidas</v>
      </c>
      <c r="Z466" s="168" t="str">
        <f>CONCATENATE(P466,Q466,R466,S466,V466)</f>
        <v>O23011745992024020708016</v>
      </c>
      <c r="AA466" s="168" t="str">
        <f>IFERROR(VLOOKUP(Y466,TD!$K$46:$L$64,2,0)," ")</f>
        <v>PM/0131/0108/45990160207</v>
      </c>
      <c r="AB466" s="150" t="s">
        <v>138</v>
      </c>
      <c r="AC466" s="169" t="s">
        <v>204</v>
      </c>
    </row>
    <row r="467" spans="2:29" s="28" customFormat="1" ht="99" customHeight="1" x14ac:dyDescent="0.35">
      <c r="B467" s="152">
        <v>20250482</v>
      </c>
      <c r="C467" s="164" t="s">
        <v>346</v>
      </c>
      <c r="D467" s="165" t="s">
        <v>166</v>
      </c>
      <c r="E467" s="166" t="s">
        <v>592</v>
      </c>
      <c r="F467" s="165" t="s">
        <v>658</v>
      </c>
      <c r="G467" s="165" t="s">
        <v>133</v>
      </c>
      <c r="H467" s="167" t="s">
        <v>659</v>
      </c>
      <c r="I467" s="163">
        <v>5</v>
      </c>
      <c r="J467" s="163">
        <v>10</v>
      </c>
      <c r="K467" s="151">
        <v>0</v>
      </c>
      <c r="L467" s="154">
        <f>129996120-65341500</f>
        <v>64654620</v>
      </c>
      <c r="M467" s="165" t="s">
        <v>172</v>
      </c>
      <c r="N467" s="150" t="s">
        <v>651</v>
      </c>
      <c r="O467" s="166" t="s">
        <v>347</v>
      </c>
      <c r="P467" s="168" t="str">
        <f>IFERROR(VLOOKUP(C467,TD!$B$32:$F$36,2,0)," ")</f>
        <v>NA</v>
      </c>
      <c r="Q467" s="168" t="str">
        <f>IFERROR(VLOOKUP(C467,TD!$B$32:$F$36,3,0)," ")</f>
        <v>NA</v>
      </c>
      <c r="R467" s="168" t="str">
        <f>IFERROR(VLOOKUP(C467,TD!$B$32:$F$36,4,0)," ")</f>
        <v>NA</v>
      </c>
      <c r="S467" s="166" t="s">
        <v>406</v>
      </c>
      <c r="T467" s="168" t="str">
        <f>IFERROR(VLOOKUP(S467,TD!$J$33:$K$43,2,0)," ")</f>
        <v>N/A</v>
      </c>
      <c r="U467" s="161" t="str">
        <f>CONCATENATE(S467,"-",T467)</f>
        <v>N/A-N/A</v>
      </c>
      <c r="V467" s="166" t="s">
        <v>406</v>
      </c>
      <c r="W467" s="168" t="str">
        <f>IFERROR(VLOOKUP(V467,TD!$N$33:$O$45,2,0)," ")</f>
        <v>N/A</v>
      </c>
      <c r="X467" s="161" t="str">
        <f>CONCATENATE(V467,"_",W467)</f>
        <v>N/A_N/A</v>
      </c>
      <c r="Y467" s="161" t="str">
        <f>CONCATENATE(U467," ",X467)</f>
        <v>N/A-N/A N/A_N/A</v>
      </c>
      <c r="Z467" s="168" t="str">
        <f>CONCATENATE(P467,Q467,R467,S467,V467)</f>
        <v>NANANAN/AN/A</v>
      </c>
      <c r="AA467" s="168" t="str">
        <f>IFERROR(VLOOKUP(Y467,TD!$K$46:$L$64,2,0)," ")</f>
        <v>N/A</v>
      </c>
      <c r="AB467" s="150" t="s">
        <v>715</v>
      </c>
      <c r="AC467" s="169" t="s">
        <v>204</v>
      </c>
    </row>
    <row r="468" spans="2:29" s="28" customFormat="1" ht="99" customHeight="1" x14ac:dyDescent="0.35">
      <c r="B468" s="152">
        <v>20250483</v>
      </c>
      <c r="C468" s="164" t="s">
        <v>346</v>
      </c>
      <c r="D468" s="165" t="s">
        <v>166</v>
      </c>
      <c r="E468" s="166" t="s">
        <v>592</v>
      </c>
      <c r="F468" s="165" t="s">
        <v>660</v>
      </c>
      <c r="G468" s="165" t="s">
        <v>96</v>
      </c>
      <c r="H468" s="167" t="s">
        <v>925</v>
      </c>
      <c r="I468" s="163">
        <v>1</v>
      </c>
      <c r="J468" s="163">
        <v>10</v>
      </c>
      <c r="K468" s="151">
        <v>0</v>
      </c>
      <c r="L468" s="154">
        <v>240000000</v>
      </c>
      <c r="M468" s="165" t="s">
        <v>172</v>
      </c>
      <c r="N468" s="150" t="s">
        <v>661</v>
      </c>
      <c r="O468" s="166" t="s">
        <v>347</v>
      </c>
      <c r="P468" s="168" t="str">
        <f>IFERROR(VLOOKUP(C468,TD!$B$32:$F$36,2,0)," ")</f>
        <v>NA</v>
      </c>
      <c r="Q468" s="168" t="str">
        <f>IFERROR(VLOOKUP(C468,TD!$B$32:$F$36,3,0)," ")</f>
        <v>NA</v>
      </c>
      <c r="R468" s="168" t="str">
        <f>IFERROR(VLOOKUP(C468,TD!$B$32:$F$36,4,0)," ")</f>
        <v>NA</v>
      </c>
      <c r="S468" s="166" t="s">
        <v>406</v>
      </c>
      <c r="T468" s="168" t="str">
        <f>IFERROR(VLOOKUP(S468,TD!$J$33:$K$43,2,0)," ")</f>
        <v>N/A</v>
      </c>
      <c r="U468" s="161" t="str">
        <f>CONCATENATE(S468,"-",T468)</f>
        <v>N/A-N/A</v>
      </c>
      <c r="V468" s="166" t="s">
        <v>406</v>
      </c>
      <c r="W468" s="168" t="str">
        <f>IFERROR(VLOOKUP(V468,TD!$N$33:$O$45,2,0)," ")</f>
        <v>N/A</v>
      </c>
      <c r="X468" s="161" t="str">
        <f>CONCATENATE(V468,"_",W468)</f>
        <v>N/A_N/A</v>
      </c>
      <c r="Y468" s="161" t="str">
        <f>CONCATENATE(U468," ",X468)</f>
        <v>N/A-N/A N/A_N/A</v>
      </c>
      <c r="Z468" s="168" t="str">
        <f>CONCATENATE(P468,Q468,R468,S468,V468)</f>
        <v>NANANAN/AN/A</v>
      </c>
      <c r="AA468" s="168" t="str">
        <f>IFERROR(VLOOKUP(Y468,TD!$K$46:$L$64,2,0)," ")</f>
        <v>N/A</v>
      </c>
      <c r="AB468" s="150" t="s">
        <v>715</v>
      </c>
      <c r="AC468" s="169" t="s">
        <v>204</v>
      </c>
    </row>
    <row r="469" spans="2:29" s="28" customFormat="1" ht="99" customHeight="1" x14ac:dyDescent="0.35">
      <c r="B469" s="77">
        <v>20250484</v>
      </c>
      <c r="C469" s="50" t="s">
        <v>346</v>
      </c>
      <c r="D469" s="158" t="s">
        <v>166</v>
      </c>
      <c r="E469" s="51" t="s">
        <v>592</v>
      </c>
      <c r="F469" s="158" t="s">
        <v>593</v>
      </c>
      <c r="G469" s="158" t="s">
        <v>96</v>
      </c>
      <c r="H469" s="97" t="s">
        <v>594</v>
      </c>
      <c r="I469" s="159">
        <v>2</v>
      </c>
      <c r="J469" s="159">
        <v>11</v>
      </c>
      <c r="K469" s="52">
        <v>0</v>
      </c>
      <c r="L469" s="153">
        <v>272011000</v>
      </c>
      <c r="M469" s="158" t="s">
        <v>172</v>
      </c>
      <c r="N469" s="53" t="s">
        <v>647</v>
      </c>
      <c r="O469" s="51" t="s">
        <v>347</v>
      </c>
      <c r="P469" s="160" t="str">
        <f>IFERROR(VLOOKUP(C469,TD!$B$32:$F$36,2,0)," ")</f>
        <v>NA</v>
      </c>
      <c r="Q469" s="160" t="str">
        <f>IFERROR(VLOOKUP(C469,TD!$B$32:$F$36,3,0)," ")</f>
        <v>NA</v>
      </c>
      <c r="R469" s="160" t="str">
        <f>IFERROR(VLOOKUP(C469,TD!$B$32:$F$36,4,0)," ")</f>
        <v>NA</v>
      </c>
      <c r="S469" s="51" t="s">
        <v>406</v>
      </c>
      <c r="T469" s="160" t="str">
        <f>IFERROR(VLOOKUP(S469,TD!$J$33:$K$43,2,0)," ")</f>
        <v>N/A</v>
      </c>
      <c r="U469" s="161" t="str">
        <f>CONCATENATE(S469,"-",T469)</f>
        <v>N/A-N/A</v>
      </c>
      <c r="V469" s="51" t="s">
        <v>406</v>
      </c>
      <c r="W469" s="160" t="str">
        <f>IFERROR(VLOOKUP(V469,TD!$N$33:$O$45,2,0)," ")</f>
        <v>N/A</v>
      </c>
      <c r="X469" s="161" t="str">
        <f>CONCATENATE(V469,"_",W469)</f>
        <v>N/A_N/A</v>
      </c>
      <c r="Y469" s="161" t="str">
        <f>CONCATENATE(U469," ",X469)</f>
        <v>N/A-N/A N/A_N/A</v>
      </c>
      <c r="Z469" s="160" t="str">
        <f>CONCATENATE(P469,Q469,R469,S469,V469)</f>
        <v>NANANAN/AN/A</v>
      </c>
      <c r="AA469" s="160" t="str">
        <f>IFERROR(VLOOKUP(Y469,TD!$K$46:$L$64,2,0)," ")</f>
        <v>N/A</v>
      </c>
      <c r="AB469" s="53" t="s">
        <v>715</v>
      </c>
      <c r="AC469" s="162" t="s">
        <v>204</v>
      </c>
    </row>
    <row r="470" spans="2:29" s="28" customFormat="1" ht="99" customHeight="1" x14ac:dyDescent="0.35">
      <c r="B470" s="77">
        <v>20250485</v>
      </c>
      <c r="C470" s="50" t="s">
        <v>346</v>
      </c>
      <c r="D470" s="158" t="s">
        <v>166</v>
      </c>
      <c r="E470" s="51" t="s">
        <v>592</v>
      </c>
      <c r="F470" s="158" t="s">
        <v>593</v>
      </c>
      <c r="G470" s="158" t="s">
        <v>96</v>
      </c>
      <c r="H470" s="97" t="s">
        <v>594</v>
      </c>
      <c r="I470" s="159">
        <v>2</v>
      </c>
      <c r="J470" s="159">
        <v>11</v>
      </c>
      <c r="K470" s="52">
        <v>0</v>
      </c>
      <c r="L470" s="153">
        <v>500000000</v>
      </c>
      <c r="M470" s="158" t="s">
        <v>172</v>
      </c>
      <c r="N470" s="53" t="s">
        <v>647</v>
      </c>
      <c r="O470" s="51" t="s">
        <v>347</v>
      </c>
      <c r="P470" s="160" t="str">
        <f>IFERROR(VLOOKUP(C470,TD!$B$32:$F$36,2,0)," ")</f>
        <v>NA</v>
      </c>
      <c r="Q470" s="160" t="str">
        <f>IFERROR(VLOOKUP(C470,TD!$B$32:$F$36,3,0)," ")</f>
        <v>NA</v>
      </c>
      <c r="R470" s="160" t="str">
        <f>IFERROR(VLOOKUP(C470,TD!$B$32:$F$36,4,0)," ")</f>
        <v>NA</v>
      </c>
      <c r="S470" s="51" t="s">
        <v>406</v>
      </c>
      <c r="T470" s="160" t="str">
        <f>IFERROR(VLOOKUP(S470,TD!$J$33:$K$43,2,0)," ")</f>
        <v>N/A</v>
      </c>
      <c r="U470" s="161" t="str">
        <f>CONCATENATE(S470,"-",T470)</f>
        <v>N/A-N/A</v>
      </c>
      <c r="V470" s="51" t="s">
        <v>406</v>
      </c>
      <c r="W470" s="160" t="str">
        <f>IFERROR(VLOOKUP(V470,TD!$N$33:$O$45,2,0)," ")</f>
        <v>N/A</v>
      </c>
      <c r="X470" s="161" t="str">
        <f>CONCATENATE(V470,"_",W470)</f>
        <v>N/A_N/A</v>
      </c>
      <c r="Y470" s="161" t="str">
        <f>CONCATENATE(U470," ",X470)</f>
        <v>N/A-N/A N/A_N/A</v>
      </c>
      <c r="Z470" s="160" t="str">
        <f>CONCATENATE(P470,Q470,R470,S470,V470)</f>
        <v>NANANAN/AN/A</v>
      </c>
      <c r="AA470" s="160" t="str">
        <f>IFERROR(VLOOKUP(Y470,TD!$K$46:$L$64,2,0)," ")</f>
        <v>N/A</v>
      </c>
      <c r="AB470" s="53" t="s">
        <v>715</v>
      </c>
      <c r="AC470" s="162" t="s">
        <v>204</v>
      </c>
    </row>
    <row r="471" spans="2:29" s="28" customFormat="1" ht="99" customHeight="1" x14ac:dyDescent="0.35">
      <c r="B471" s="77">
        <v>20250486</v>
      </c>
      <c r="C471" s="50" t="s">
        <v>346</v>
      </c>
      <c r="D471" s="158" t="s">
        <v>166</v>
      </c>
      <c r="E471" s="51" t="s">
        <v>592</v>
      </c>
      <c r="F471" s="158" t="s">
        <v>662</v>
      </c>
      <c r="G471" s="158" t="s">
        <v>114</v>
      </c>
      <c r="H471" s="97" t="s">
        <v>663</v>
      </c>
      <c r="I471" s="159">
        <v>1</v>
      </c>
      <c r="J471" s="159">
        <v>12</v>
      </c>
      <c r="K471" s="52">
        <v>0</v>
      </c>
      <c r="L471" s="153">
        <v>160000000</v>
      </c>
      <c r="M471" s="158" t="s">
        <v>172</v>
      </c>
      <c r="N471" s="53" t="s">
        <v>649</v>
      </c>
      <c r="O471" s="51" t="s">
        <v>347</v>
      </c>
      <c r="P471" s="160" t="str">
        <f>IFERROR(VLOOKUP(C471,TD!$B$32:$F$36,2,0)," ")</f>
        <v>NA</v>
      </c>
      <c r="Q471" s="160" t="str">
        <f>IFERROR(VLOOKUP(C471,TD!$B$32:$F$36,3,0)," ")</f>
        <v>NA</v>
      </c>
      <c r="R471" s="160" t="str">
        <f>IFERROR(VLOOKUP(C471,TD!$B$32:$F$36,4,0)," ")</f>
        <v>NA</v>
      </c>
      <c r="S471" s="51" t="s">
        <v>406</v>
      </c>
      <c r="T471" s="160" t="str">
        <f>IFERROR(VLOOKUP(S471,TD!$J$33:$K$43,2,0)," ")</f>
        <v>N/A</v>
      </c>
      <c r="U471" s="161" t="str">
        <f>CONCATENATE(S471,"-",T471)</f>
        <v>N/A-N/A</v>
      </c>
      <c r="V471" s="51" t="s">
        <v>406</v>
      </c>
      <c r="W471" s="160" t="str">
        <f>IFERROR(VLOOKUP(V471,TD!$N$33:$O$45,2,0)," ")</f>
        <v>N/A</v>
      </c>
      <c r="X471" s="161" t="str">
        <f>CONCATENATE(V471,"_",W471)</f>
        <v>N/A_N/A</v>
      </c>
      <c r="Y471" s="161" t="str">
        <f>CONCATENATE(U471," ",X471)</f>
        <v>N/A-N/A N/A_N/A</v>
      </c>
      <c r="Z471" s="160" t="str">
        <f>CONCATENATE(P471,Q471,R471,S471,V471)</f>
        <v>NANANAN/AN/A</v>
      </c>
      <c r="AA471" s="160" t="str">
        <f>IFERROR(VLOOKUP(Y471,TD!$K$46:$L$64,2,0)," ")</f>
        <v>N/A</v>
      </c>
      <c r="AB471" s="53" t="s">
        <v>715</v>
      </c>
      <c r="AC471" s="162" t="s">
        <v>204</v>
      </c>
    </row>
    <row r="472" spans="2:29" s="28" customFormat="1" ht="99" customHeight="1" x14ac:dyDescent="0.35">
      <c r="B472" s="77">
        <v>20250487</v>
      </c>
      <c r="C472" s="50" t="s">
        <v>346</v>
      </c>
      <c r="D472" s="158" t="s">
        <v>166</v>
      </c>
      <c r="E472" s="51" t="s">
        <v>592</v>
      </c>
      <c r="F472" s="158" t="s">
        <v>664</v>
      </c>
      <c r="G472" s="158" t="s">
        <v>96</v>
      </c>
      <c r="H472" s="97" t="s">
        <v>665</v>
      </c>
      <c r="I472" s="159">
        <v>3</v>
      </c>
      <c r="J472" s="159">
        <v>12</v>
      </c>
      <c r="K472" s="52">
        <v>0</v>
      </c>
      <c r="L472" s="153">
        <v>164000000</v>
      </c>
      <c r="M472" s="158" t="s">
        <v>172</v>
      </c>
      <c r="N472" s="53" t="s">
        <v>649</v>
      </c>
      <c r="O472" s="51" t="s">
        <v>347</v>
      </c>
      <c r="P472" s="160" t="str">
        <f>IFERROR(VLOOKUP(C472,TD!$B$32:$F$36,2,0)," ")</f>
        <v>NA</v>
      </c>
      <c r="Q472" s="160" t="str">
        <f>IFERROR(VLOOKUP(C472,TD!$B$32:$F$36,3,0)," ")</f>
        <v>NA</v>
      </c>
      <c r="R472" s="160" t="str">
        <f>IFERROR(VLOOKUP(C472,TD!$B$32:$F$36,4,0)," ")</f>
        <v>NA</v>
      </c>
      <c r="S472" s="51" t="s">
        <v>406</v>
      </c>
      <c r="T472" s="160" t="str">
        <f>IFERROR(VLOOKUP(S472,TD!$J$33:$K$43,2,0)," ")</f>
        <v>N/A</v>
      </c>
      <c r="U472" s="161" t="str">
        <f>CONCATENATE(S472,"-",T472)</f>
        <v>N/A-N/A</v>
      </c>
      <c r="V472" s="51" t="s">
        <v>406</v>
      </c>
      <c r="W472" s="160" t="str">
        <f>IFERROR(VLOOKUP(V472,TD!$N$33:$O$45,2,0)," ")</f>
        <v>N/A</v>
      </c>
      <c r="X472" s="161" t="str">
        <f>CONCATENATE(V472,"_",W472)</f>
        <v>N/A_N/A</v>
      </c>
      <c r="Y472" s="161" t="str">
        <f>CONCATENATE(U472," ",X472)</f>
        <v>N/A-N/A N/A_N/A</v>
      </c>
      <c r="Z472" s="160" t="str">
        <f>CONCATENATE(P472,Q472,R472,S472,V472)</f>
        <v>NANANAN/AN/A</v>
      </c>
      <c r="AA472" s="160" t="str">
        <f>IFERROR(VLOOKUP(Y472,TD!$K$46:$L$64,2,0)," ")</f>
        <v>N/A</v>
      </c>
      <c r="AB472" s="53" t="s">
        <v>715</v>
      </c>
      <c r="AC472" s="162" t="s">
        <v>204</v>
      </c>
    </row>
    <row r="473" spans="2:29" s="28" customFormat="1" ht="99" customHeight="1" x14ac:dyDescent="0.35">
      <c r="B473" s="77">
        <v>20250488</v>
      </c>
      <c r="C473" s="50" t="s">
        <v>346</v>
      </c>
      <c r="D473" s="158" t="s">
        <v>166</v>
      </c>
      <c r="E473" s="51" t="s">
        <v>592</v>
      </c>
      <c r="F473" s="158" t="s">
        <v>666</v>
      </c>
      <c r="G473" s="158" t="s">
        <v>119</v>
      </c>
      <c r="H473" s="97" t="s">
        <v>667</v>
      </c>
      <c r="I473" s="159">
        <v>4</v>
      </c>
      <c r="J473" s="159">
        <v>8</v>
      </c>
      <c r="K473" s="52">
        <v>0</v>
      </c>
      <c r="L473" s="153">
        <v>72917000</v>
      </c>
      <c r="M473" s="158" t="s">
        <v>172</v>
      </c>
      <c r="N473" s="53" t="s">
        <v>95</v>
      </c>
      <c r="O473" s="51" t="s">
        <v>347</v>
      </c>
      <c r="P473" s="160" t="str">
        <f>IFERROR(VLOOKUP(C473,TD!$B$32:$F$36,2,0)," ")</f>
        <v>NA</v>
      </c>
      <c r="Q473" s="160" t="str">
        <f>IFERROR(VLOOKUP(C473,TD!$B$32:$F$36,3,0)," ")</f>
        <v>NA</v>
      </c>
      <c r="R473" s="160" t="str">
        <f>IFERROR(VLOOKUP(C473,TD!$B$32:$F$36,4,0)," ")</f>
        <v>NA</v>
      </c>
      <c r="S473" s="51" t="s">
        <v>406</v>
      </c>
      <c r="T473" s="160" t="str">
        <f>IFERROR(VLOOKUP(S473,TD!$J$33:$K$43,2,0)," ")</f>
        <v>N/A</v>
      </c>
      <c r="U473" s="161" t="str">
        <f>CONCATENATE(S473,"-",T473)</f>
        <v>N/A-N/A</v>
      </c>
      <c r="V473" s="51" t="s">
        <v>406</v>
      </c>
      <c r="W473" s="160" t="str">
        <f>IFERROR(VLOOKUP(V473,TD!$N$33:$O$45,2,0)," ")</f>
        <v>N/A</v>
      </c>
      <c r="X473" s="161" t="str">
        <f>CONCATENATE(V473,"_",W473)</f>
        <v>N/A_N/A</v>
      </c>
      <c r="Y473" s="161" t="str">
        <f>CONCATENATE(U473," ",X473)</f>
        <v>N/A-N/A N/A_N/A</v>
      </c>
      <c r="Z473" s="160" t="str">
        <f>CONCATENATE(P473,Q473,R473,S473,V473)</f>
        <v>NANANAN/AN/A</v>
      </c>
      <c r="AA473" s="160" t="str">
        <f>IFERROR(VLOOKUP(Y473,TD!$K$46:$L$64,2,0)," ")</f>
        <v>N/A</v>
      </c>
      <c r="AB473" s="53" t="s">
        <v>715</v>
      </c>
      <c r="AC473" s="162" t="s">
        <v>204</v>
      </c>
    </row>
    <row r="474" spans="2:29" s="28" customFormat="1" ht="99" customHeight="1" x14ac:dyDescent="0.35">
      <c r="B474" s="77">
        <v>20250489</v>
      </c>
      <c r="C474" s="50" t="s">
        <v>346</v>
      </c>
      <c r="D474" s="158" t="s">
        <v>166</v>
      </c>
      <c r="E474" s="51" t="s">
        <v>592</v>
      </c>
      <c r="F474" s="158" t="s">
        <v>668</v>
      </c>
      <c r="G474" s="158" t="s">
        <v>119</v>
      </c>
      <c r="H474" s="97" t="s">
        <v>669</v>
      </c>
      <c r="I474" s="159">
        <v>3</v>
      </c>
      <c r="J474" s="159">
        <v>9</v>
      </c>
      <c r="K474" s="52">
        <v>0</v>
      </c>
      <c r="L474" s="153">
        <v>80000000</v>
      </c>
      <c r="M474" s="158" t="s">
        <v>172</v>
      </c>
      <c r="N474" s="53" t="s">
        <v>95</v>
      </c>
      <c r="O474" s="51" t="s">
        <v>347</v>
      </c>
      <c r="P474" s="160" t="str">
        <f>IFERROR(VLOOKUP(C474,TD!$B$32:$F$36,2,0)," ")</f>
        <v>NA</v>
      </c>
      <c r="Q474" s="160" t="str">
        <f>IFERROR(VLOOKUP(C474,TD!$B$32:$F$36,3,0)," ")</f>
        <v>NA</v>
      </c>
      <c r="R474" s="160" t="str">
        <f>IFERROR(VLOOKUP(C474,TD!$B$32:$F$36,4,0)," ")</f>
        <v>NA</v>
      </c>
      <c r="S474" s="51" t="s">
        <v>406</v>
      </c>
      <c r="T474" s="160" t="str">
        <f>IFERROR(VLOOKUP(S474,TD!$J$33:$K$43,2,0)," ")</f>
        <v>N/A</v>
      </c>
      <c r="U474" s="161" t="str">
        <f>CONCATENATE(S474,"-",T474)</f>
        <v>N/A-N/A</v>
      </c>
      <c r="V474" s="51" t="s">
        <v>406</v>
      </c>
      <c r="W474" s="160" t="str">
        <f>IFERROR(VLOOKUP(V474,TD!$N$33:$O$45,2,0)," ")</f>
        <v>N/A</v>
      </c>
      <c r="X474" s="161" t="str">
        <f>CONCATENATE(V474,"_",W474)</f>
        <v>N/A_N/A</v>
      </c>
      <c r="Y474" s="161" t="str">
        <f>CONCATENATE(U474," ",X474)</f>
        <v>N/A-N/A N/A_N/A</v>
      </c>
      <c r="Z474" s="160" t="str">
        <f>CONCATENATE(P474,Q474,R474,S474,V474)</f>
        <v>NANANAN/AN/A</v>
      </c>
      <c r="AA474" s="160" t="str">
        <f>IFERROR(VLOOKUP(Y474,TD!$K$46:$L$64,2,0)," ")</f>
        <v>N/A</v>
      </c>
      <c r="AB474" s="53" t="s">
        <v>715</v>
      </c>
      <c r="AC474" s="162" t="s">
        <v>204</v>
      </c>
    </row>
    <row r="475" spans="2:29" s="28" customFormat="1" ht="99" customHeight="1" x14ac:dyDescent="0.35">
      <c r="B475" s="77">
        <v>20250490</v>
      </c>
      <c r="C475" s="50" t="s">
        <v>346</v>
      </c>
      <c r="D475" s="158" t="s">
        <v>166</v>
      </c>
      <c r="E475" s="51" t="s">
        <v>592</v>
      </c>
      <c r="F475" s="158" t="s">
        <v>670</v>
      </c>
      <c r="G475" s="158" t="s">
        <v>114</v>
      </c>
      <c r="H475" s="97" t="s">
        <v>663</v>
      </c>
      <c r="I475" s="159">
        <v>4</v>
      </c>
      <c r="J475" s="159">
        <v>10</v>
      </c>
      <c r="K475" s="52">
        <v>0</v>
      </c>
      <c r="L475" s="153">
        <v>160000000</v>
      </c>
      <c r="M475" s="158" t="s">
        <v>172</v>
      </c>
      <c r="N475" s="53" t="s">
        <v>649</v>
      </c>
      <c r="O475" s="51" t="s">
        <v>347</v>
      </c>
      <c r="P475" s="160" t="str">
        <f>IFERROR(VLOOKUP(C475,TD!$B$32:$F$36,2,0)," ")</f>
        <v>NA</v>
      </c>
      <c r="Q475" s="160" t="str">
        <f>IFERROR(VLOOKUP(C475,TD!$B$32:$F$36,3,0)," ")</f>
        <v>NA</v>
      </c>
      <c r="R475" s="160" t="str">
        <f>IFERROR(VLOOKUP(C475,TD!$B$32:$F$36,4,0)," ")</f>
        <v>NA</v>
      </c>
      <c r="S475" s="51" t="s">
        <v>406</v>
      </c>
      <c r="T475" s="160" t="str">
        <f>IFERROR(VLOOKUP(S475,TD!$J$33:$K$43,2,0)," ")</f>
        <v>N/A</v>
      </c>
      <c r="U475" s="161" t="str">
        <f>CONCATENATE(S475,"-",T475)</f>
        <v>N/A-N/A</v>
      </c>
      <c r="V475" s="51" t="s">
        <v>406</v>
      </c>
      <c r="W475" s="160" t="str">
        <f>IFERROR(VLOOKUP(V475,TD!$N$33:$O$45,2,0)," ")</f>
        <v>N/A</v>
      </c>
      <c r="X475" s="161" t="str">
        <f>CONCATENATE(V475,"_",W475)</f>
        <v>N/A_N/A</v>
      </c>
      <c r="Y475" s="161" t="str">
        <f>CONCATENATE(U475," ",X475)</f>
        <v>N/A-N/A N/A_N/A</v>
      </c>
      <c r="Z475" s="160" t="str">
        <f>CONCATENATE(P475,Q475,R475,S475,V475)</f>
        <v>NANANAN/AN/A</v>
      </c>
      <c r="AA475" s="160" t="str">
        <f>IFERROR(VLOOKUP(Y475,TD!$K$46:$L$64,2,0)," ")</f>
        <v>N/A</v>
      </c>
      <c r="AB475" s="53" t="s">
        <v>715</v>
      </c>
      <c r="AC475" s="51" t="s">
        <v>204</v>
      </c>
    </row>
    <row r="476" spans="2:29" s="28" customFormat="1" ht="99" customHeight="1" x14ac:dyDescent="0.35">
      <c r="B476" s="197">
        <v>20250491</v>
      </c>
      <c r="C476" s="187" t="s">
        <v>346</v>
      </c>
      <c r="D476" s="188" t="s">
        <v>166</v>
      </c>
      <c r="E476" s="189" t="s">
        <v>592</v>
      </c>
      <c r="F476" s="188" t="s">
        <v>615</v>
      </c>
      <c r="G476" s="188" t="s">
        <v>96</v>
      </c>
      <c r="H476" s="190" t="s">
        <v>671</v>
      </c>
      <c r="I476" s="191">
        <v>4</v>
      </c>
      <c r="J476" s="191">
        <v>3</v>
      </c>
      <c r="K476" s="192">
        <v>0</v>
      </c>
      <c r="L476" s="193">
        <f>560000000-200000000</f>
        <v>360000000</v>
      </c>
      <c r="M476" s="188" t="s">
        <v>172</v>
      </c>
      <c r="N476" s="205" t="s">
        <v>90</v>
      </c>
      <c r="O476" s="189" t="s">
        <v>347</v>
      </c>
      <c r="P476" s="195" t="str">
        <f>IFERROR(VLOOKUP(C476,TD!$B$32:$F$36,2,0)," ")</f>
        <v>NA</v>
      </c>
      <c r="Q476" s="195" t="str">
        <f>IFERROR(VLOOKUP(C476,TD!$B$32:$F$36,3,0)," ")</f>
        <v>NA</v>
      </c>
      <c r="R476" s="195" t="str">
        <f>IFERROR(VLOOKUP(C476,TD!$B$32:$F$36,4,0)," ")</f>
        <v>NA</v>
      </c>
      <c r="S476" s="189" t="s">
        <v>406</v>
      </c>
      <c r="T476" s="195" t="str">
        <f>IFERROR(VLOOKUP(S476,TD!$J$33:$K$43,2,0)," ")</f>
        <v>N/A</v>
      </c>
      <c r="U476" s="161" t="str">
        <f>CONCATENATE(S476,"-",T476)</f>
        <v>N/A-N/A</v>
      </c>
      <c r="V476" s="189" t="s">
        <v>406</v>
      </c>
      <c r="W476" s="195" t="str">
        <f>IFERROR(VLOOKUP(V476,TD!$N$33:$O$45,2,0)," ")</f>
        <v>N/A</v>
      </c>
      <c r="X476" s="161" t="str">
        <f>CONCATENATE(V476,"_",W476)</f>
        <v>N/A_N/A</v>
      </c>
      <c r="Y476" s="161" t="str">
        <f>CONCATENATE(U476," ",X476)</f>
        <v>N/A-N/A N/A_N/A</v>
      </c>
      <c r="Z476" s="195" t="str">
        <f>CONCATENATE(P476,Q476,R476,S476,V476)</f>
        <v>NANANAN/AN/A</v>
      </c>
      <c r="AA476" s="195" t="str">
        <f>IFERROR(VLOOKUP(Y476,TD!$K$46:$L$64,2,0)," ")</f>
        <v>N/A</v>
      </c>
      <c r="AB476" s="194" t="s">
        <v>715</v>
      </c>
      <c r="AC476" s="196" t="s">
        <v>204</v>
      </c>
    </row>
    <row r="477" spans="2:29" s="28" customFormat="1" ht="99" customHeight="1" x14ac:dyDescent="0.35">
      <c r="B477" s="186">
        <v>20250492</v>
      </c>
      <c r="C477" s="187" t="s">
        <v>346</v>
      </c>
      <c r="D477" s="188" t="s">
        <v>166</v>
      </c>
      <c r="E477" s="189" t="s">
        <v>592</v>
      </c>
      <c r="F477" s="188" t="s">
        <v>672</v>
      </c>
      <c r="G477" s="188" t="s">
        <v>129</v>
      </c>
      <c r="H477" s="190" t="s">
        <v>673</v>
      </c>
      <c r="I477" s="191">
        <v>2</v>
      </c>
      <c r="J477" s="191">
        <v>3</v>
      </c>
      <c r="K477" s="192">
        <v>0</v>
      </c>
      <c r="L477" s="193">
        <f>2000000000-690803949</f>
        <v>1309196051</v>
      </c>
      <c r="M477" s="188" t="s">
        <v>172</v>
      </c>
      <c r="N477" s="194" t="s">
        <v>85</v>
      </c>
      <c r="O477" s="189" t="s">
        <v>347</v>
      </c>
      <c r="P477" s="195" t="str">
        <f>IFERROR(VLOOKUP(C477,TD!$B$32:$F$36,2,0)," ")</f>
        <v>NA</v>
      </c>
      <c r="Q477" s="195" t="str">
        <f>IFERROR(VLOOKUP(C477,TD!$B$32:$F$36,3,0)," ")</f>
        <v>NA</v>
      </c>
      <c r="R477" s="195" t="str">
        <f>IFERROR(VLOOKUP(C477,TD!$B$32:$F$36,4,0)," ")</f>
        <v>NA</v>
      </c>
      <c r="S477" s="189" t="s">
        <v>406</v>
      </c>
      <c r="T477" s="195" t="str">
        <f>IFERROR(VLOOKUP(S477,TD!$J$33:$K$43,2,0)," ")</f>
        <v>N/A</v>
      </c>
      <c r="U477" s="161" t="str">
        <f>CONCATENATE(S477,"-",T477)</f>
        <v>N/A-N/A</v>
      </c>
      <c r="V477" s="189" t="s">
        <v>406</v>
      </c>
      <c r="W477" s="195" t="str">
        <f>IFERROR(VLOOKUP(V477,TD!$N$33:$O$45,2,0)," ")</f>
        <v>N/A</v>
      </c>
      <c r="X477" s="161" t="str">
        <f>CONCATENATE(V477,"_",W477)</f>
        <v>N/A_N/A</v>
      </c>
      <c r="Y477" s="161" t="str">
        <f>CONCATENATE(U477," ",X477)</f>
        <v>N/A-N/A N/A_N/A</v>
      </c>
      <c r="Z477" s="195" t="str">
        <f>CONCATENATE(P477,Q477,R477,S477,V477)</f>
        <v>NANANAN/AN/A</v>
      </c>
      <c r="AA477" s="195" t="str">
        <f>IFERROR(VLOOKUP(Y477,TD!$K$46:$L$64,2,0)," ")</f>
        <v>N/A</v>
      </c>
      <c r="AB477" s="194" t="s">
        <v>715</v>
      </c>
      <c r="AC477" s="196" t="s">
        <v>205</v>
      </c>
    </row>
    <row r="478" spans="2:29" s="28" customFormat="1" ht="99" customHeight="1" x14ac:dyDescent="0.35">
      <c r="B478" s="186">
        <v>20250493</v>
      </c>
      <c r="C478" s="187" t="s">
        <v>346</v>
      </c>
      <c r="D478" s="188" t="s">
        <v>166</v>
      </c>
      <c r="E478" s="189" t="s">
        <v>592</v>
      </c>
      <c r="F478" s="188" t="s">
        <v>674</v>
      </c>
      <c r="G478" s="188" t="s">
        <v>129</v>
      </c>
      <c r="H478" s="190" t="s">
        <v>673</v>
      </c>
      <c r="I478" s="191">
        <v>1</v>
      </c>
      <c r="J478" s="191">
        <v>3</v>
      </c>
      <c r="K478" s="192">
        <v>0</v>
      </c>
      <c r="L478" s="193">
        <f>14000000-7218822</f>
        <v>6781178</v>
      </c>
      <c r="M478" s="188" t="s">
        <v>172</v>
      </c>
      <c r="N478" s="194" t="s">
        <v>85</v>
      </c>
      <c r="O478" s="189" t="s">
        <v>347</v>
      </c>
      <c r="P478" s="195" t="str">
        <f>IFERROR(VLOOKUP(C478,TD!$B$32:$F$36,2,0)," ")</f>
        <v>NA</v>
      </c>
      <c r="Q478" s="195" t="str">
        <f>IFERROR(VLOOKUP(C478,TD!$B$32:$F$36,3,0)," ")</f>
        <v>NA</v>
      </c>
      <c r="R478" s="195" t="str">
        <f>IFERROR(VLOOKUP(C478,TD!$B$32:$F$36,4,0)," ")</f>
        <v>NA</v>
      </c>
      <c r="S478" s="189" t="s">
        <v>406</v>
      </c>
      <c r="T478" s="195" t="str">
        <f>IFERROR(VLOOKUP(S478,TD!$J$33:$K$43,2,0)," ")</f>
        <v>N/A</v>
      </c>
      <c r="U478" s="161" t="str">
        <f>CONCATENATE(S478,"-",T478)</f>
        <v>N/A-N/A</v>
      </c>
      <c r="V478" s="189" t="s">
        <v>406</v>
      </c>
      <c r="W478" s="195" t="str">
        <f>IFERROR(VLOOKUP(V478,TD!$N$33:$O$45,2,0)," ")</f>
        <v>N/A</v>
      </c>
      <c r="X478" s="161" t="str">
        <f>CONCATENATE(V478,"_",W478)</f>
        <v>N/A_N/A</v>
      </c>
      <c r="Y478" s="161" t="str">
        <f>CONCATENATE(U478," ",X478)</f>
        <v>N/A-N/A N/A_N/A</v>
      </c>
      <c r="Z478" s="195" t="str">
        <f>CONCATENATE(P478,Q478,R478,S478,V478)</f>
        <v>NANANAN/AN/A</v>
      </c>
      <c r="AA478" s="195" t="str">
        <f>IFERROR(VLOOKUP(Y478,TD!$K$46:$L$64,2,0)," ")</f>
        <v>N/A</v>
      </c>
      <c r="AB478" s="194" t="s">
        <v>715</v>
      </c>
      <c r="AC478" s="196" t="s">
        <v>205</v>
      </c>
    </row>
    <row r="479" spans="2:29" s="28" customFormat="1" ht="99" customHeight="1" x14ac:dyDescent="0.35">
      <c r="B479" s="197">
        <v>20250494</v>
      </c>
      <c r="C479" s="198" t="s">
        <v>346</v>
      </c>
      <c r="D479" s="199" t="s">
        <v>166</v>
      </c>
      <c r="E479" s="200" t="s">
        <v>592</v>
      </c>
      <c r="F479" s="199" t="s">
        <v>675</v>
      </c>
      <c r="G479" s="199" t="s">
        <v>129</v>
      </c>
      <c r="H479" s="201" t="s">
        <v>673</v>
      </c>
      <c r="I479" s="202">
        <v>5</v>
      </c>
      <c r="J479" s="202">
        <v>10</v>
      </c>
      <c r="K479" s="203">
        <v>0</v>
      </c>
      <c r="L479" s="204">
        <f>5850939000+702338646</f>
        <v>6553277646</v>
      </c>
      <c r="M479" s="199" t="s">
        <v>172</v>
      </c>
      <c r="N479" s="205" t="s">
        <v>85</v>
      </c>
      <c r="O479" s="200" t="s">
        <v>347</v>
      </c>
      <c r="P479" s="206" t="str">
        <f>IFERROR(VLOOKUP(C479,TD!$B$32:$F$36,2,0)," ")</f>
        <v>NA</v>
      </c>
      <c r="Q479" s="206" t="str">
        <f>IFERROR(VLOOKUP(C479,TD!$B$32:$F$36,3,0)," ")</f>
        <v>NA</v>
      </c>
      <c r="R479" s="206" t="str">
        <f>IFERROR(VLOOKUP(C479,TD!$B$32:$F$36,4,0)," ")</f>
        <v>NA</v>
      </c>
      <c r="S479" s="200" t="s">
        <v>406</v>
      </c>
      <c r="T479" s="206" t="str">
        <f>IFERROR(VLOOKUP(S479,TD!$J$33:$K$43,2,0)," ")</f>
        <v>N/A</v>
      </c>
      <c r="U479" s="161" t="str">
        <f>CONCATENATE(S479,"-",T479)</f>
        <v>N/A-N/A</v>
      </c>
      <c r="V479" s="200" t="s">
        <v>406</v>
      </c>
      <c r="W479" s="206" t="str">
        <f>IFERROR(VLOOKUP(V479,TD!$N$33:$O$45,2,0)," ")</f>
        <v>N/A</v>
      </c>
      <c r="X479" s="161" t="str">
        <f>CONCATENATE(V479,"_",W479)</f>
        <v>N/A_N/A</v>
      </c>
      <c r="Y479" s="161" t="str">
        <f>CONCATENATE(U479," ",X479)</f>
        <v>N/A-N/A N/A_N/A</v>
      </c>
      <c r="Z479" s="206" t="str">
        <f>CONCATENATE(P479,Q479,R479,S479,V479)</f>
        <v>NANANAN/AN/A</v>
      </c>
      <c r="AA479" s="206" t="str">
        <f>IFERROR(VLOOKUP(Y479,TD!$K$46:$L$64,2,0)," ")</f>
        <v>N/A</v>
      </c>
      <c r="AB479" s="205" t="s">
        <v>715</v>
      </c>
      <c r="AC479" s="207" t="s">
        <v>204</v>
      </c>
    </row>
    <row r="480" spans="2:29" s="28" customFormat="1" ht="99" customHeight="1" x14ac:dyDescent="0.35">
      <c r="B480" s="152">
        <v>20250495</v>
      </c>
      <c r="C480" s="164" t="s">
        <v>346</v>
      </c>
      <c r="D480" s="165" t="s">
        <v>166</v>
      </c>
      <c r="E480" s="166" t="s">
        <v>592</v>
      </c>
      <c r="F480" s="165" t="s">
        <v>926</v>
      </c>
      <c r="G480" s="165" t="s">
        <v>133</v>
      </c>
      <c r="H480" s="167" t="s">
        <v>659</v>
      </c>
      <c r="I480" s="163">
        <v>2</v>
      </c>
      <c r="J480" s="163">
        <v>3</v>
      </c>
      <c r="K480" s="151">
        <v>0</v>
      </c>
      <c r="L480" s="154">
        <f>20003880+65341500</f>
        <v>85345380</v>
      </c>
      <c r="M480" s="165" t="s">
        <v>172</v>
      </c>
      <c r="N480" s="150" t="s">
        <v>85</v>
      </c>
      <c r="O480" s="166" t="s">
        <v>347</v>
      </c>
      <c r="P480" s="168" t="str">
        <f>IFERROR(VLOOKUP(C480,TD!$B$32:$F$36,2,0)," ")</f>
        <v>NA</v>
      </c>
      <c r="Q480" s="168" t="str">
        <f>IFERROR(VLOOKUP(C480,TD!$B$32:$F$36,3,0)," ")</f>
        <v>NA</v>
      </c>
      <c r="R480" s="168" t="str">
        <f>IFERROR(VLOOKUP(C480,TD!$B$32:$F$36,4,0)," ")</f>
        <v>NA</v>
      </c>
      <c r="S480" s="166" t="s">
        <v>406</v>
      </c>
      <c r="T480" s="168" t="str">
        <f>IFERROR(VLOOKUP(S480,TD!$J$33:$K$43,2,0)," ")</f>
        <v>N/A</v>
      </c>
      <c r="U480" s="161" t="str">
        <f>CONCATENATE(S480,"-",T480)</f>
        <v>N/A-N/A</v>
      </c>
      <c r="V480" s="166" t="s">
        <v>406</v>
      </c>
      <c r="W480" s="168" t="str">
        <f>IFERROR(VLOOKUP(V480,TD!$N$33:$O$45,2,0)," ")</f>
        <v>N/A</v>
      </c>
      <c r="X480" s="161" t="str">
        <f>CONCATENATE(V480,"_",W480)</f>
        <v>N/A_N/A</v>
      </c>
      <c r="Y480" s="161" t="str">
        <f>CONCATENATE(U480," ",X480)</f>
        <v>N/A-N/A N/A_N/A</v>
      </c>
      <c r="Z480" s="168" t="str">
        <f>CONCATENATE(P480,Q480,R480,S480,V480)</f>
        <v>NANANAN/AN/A</v>
      </c>
      <c r="AA480" s="168" t="str">
        <f>IFERROR(VLOOKUP(Y480,TD!$K$46:$L$64,2,0)," ")</f>
        <v>N/A</v>
      </c>
      <c r="AB480" s="150" t="s">
        <v>715</v>
      </c>
      <c r="AC480" s="169" t="s">
        <v>205</v>
      </c>
    </row>
    <row r="481" spans="2:29" s="28" customFormat="1" ht="99" customHeight="1" x14ac:dyDescent="0.35">
      <c r="B481" s="186">
        <v>20250496</v>
      </c>
      <c r="C481" s="187" t="s">
        <v>346</v>
      </c>
      <c r="D481" s="188" t="s">
        <v>166</v>
      </c>
      <c r="E481" s="189" t="s">
        <v>592</v>
      </c>
      <c r="F481" s="188" t="s">
        <v>676</v>
      </c>
      <c r="G481" s="188" t="s">
        <v>157</v>
      </c>
      <c r="H481" s="190" t="s">
        <v>781</v>
      </c>
      <c r="I481" s="191">
        <v>3</v>
      </c>
      <c r="J481" s="191">
        <v>9</v>
      </c>
      <c r="K481" s="192">
        <v>0</v>
      </c>
      <c r="L481" s="193">
        <f>10000000+1000000</f>
        <v>11000000</v>
      </c>
      <c r="M481" s="188" t="s">
        <v>172</v>
      </c>
      <c r="N481" s="194" t="s">
        <v>649</v>
      </c>
      <c r="O481" s="189" t="s">
        <v>347</v>
      </c>
      <c r="P481" s="195" t="str">
        <f>IFERROR(VLOOKUP(C481,TD!$B$32:$F$36,2,0)," ")</f>
        <v>NA</v>
      </c>
      <c r="Q481" s="195" t="str">
        <f>IFERROR(VLOOKUP(C481,TD!$B$32:$F$36,3,0)," ")</f>
        <v>NA</v>
      </c>
      <c r="R481" s="195" t="str">
        <f>IFERROR(VLOOKUP(C481,TD!$B$32:$F$36,4,0)," ")</f>
        <v>NA</v>
      </c>
      <c r="S481" s="189" t="s">
        <v>406</v>
      </c>
      <c r="T481" s="195" t="str">
        <f>IFERROR(VLOOKUP(S481,TD!$J$33:$K$43,2,0)," ")</f>
        <v>N/A</v>
      </c>
      <c r="U481" s="161" t="str">
        <f>CONCATENATE(S481,"-",T481)</f>
        <v>N/A-N/A</v>
      </c>
      <c r="V481" s="189" t="s">
        <v>406</v>
      </c>
      <c r="W481" s="195" t="str">
        <f>IFERROR(VLOOKUP(V481,TD!$N$33:$O$45,2,0)," ")</f>
        <v>N/A</v>
      </c>
      <c r="X481" s="161" t="str">
        <f>CONCATENATE(V481,"_",W481)</f>
        <v>N/A_N/A</v>
      </c>
      <c r="Y481" s="161" t="str">
        <f>CONCATENATE(U481," ",X481)</f>
        <v>N/A-N/A N/A_N/A</v>
      </c>
      <c r="Z481" s="195" t="str">
        <f>CONCATENATE(P481,Q481,R481,S481,V481)</f>
        <v>NANANAN/AN/A</v>
      </c>
      <c r="AA481" s="195" t="str">
        <f>IFERROR(VLOOKUP(Y481,TD!$K$46:$L$64,2,0)," ")</f>
        <v>N/A</v>
      </c>
      <c r="AB481" s="194" t="s">
        <v>715</v>
      </c>
      <c r="AC481" s="196" t="s">
        <v>204</v>
      </c>
    </row>
    <row r="482" spans="2:29" s="28" customFormat="1" ht="99" customHeight="1" x14ac:dyDescent="0.35">
      <c r="B482" s="77">
        <v>20250497</v>
      </c>
      <c r="C482" s="50" t="s">
        <v>346</v>
      </c>
      <c r="D482" s="158" t="s">
        <v>166</v>
      </c>
      <c r="E482" s="51" t="s">
        <v>592</v>
      </c>
      <c r="F482" s="158" t="s">
        <v>677</v>
      </c>
      <c r="G482" s="158" t="s">
        <v>96</v>
      </c>
      <c r="H482" s="97" t="s">
        <v>782</v>
      </c>
      <c r="I482" s="159">
        <v>3</v>
      </c>
      <c r="J482" s="159">
        <v>2</v>
      </c>
      <c r="K482" s="52">
        <v>0</v>
      </c>
      <c r="L482" s="153">
        <v>2000000</v>
      </c>
      <c r="M482" s="158" t="s">
        <v>172</v>
      </c>
      <c r="N482" s="53" t="s">
        <v>649</v>
      </c>
      <c r="O482" s="51" t="s">
        <v>347</v>
      </c>
      <c r="P482" s="160" t="str">
        <f>IFERROR(VLOOKUP(C482,TD!$B$32:$F$36,2,0)," ")</f>
        <v>NA</v>
      </c>
      <c r="Q482" s="160" t="str">
        <f>IFERROR(VLOOKUP(C482,TD!$B$32:$F$36,3,0)," ")</f>
        <v>NA</v>
      </c>
      <c r="R482" s="160" t="str">
        <f>IFERROR(VLOOKUP(C482,TD!$B$32:$F$36,4,0)," ")</f>
        <v>NA</v>
      </c>
      <c r="S482" s="51" t="s">
        <v>406</v>
      </c>
      <c r="T482" s="160" t="str">
        <f>IFERROR(VLOOKUP(S482,TD!$J$33:$K$43,2,0)," ")</f>
        <v>N/A</v>
      </c>
      <c r="U482" s="161" t="str">
        <f>CONCATENATE(S482,"-",T482)</f>
        <v>N/A-N/A</v>
      </c>
      <c r="V482" s="51" t="s">
        <v>406</v>
      </c>
      <c r="W482" s="160" t="str">
        <f>IFERROR(VLOOKUP(V482,TD!$N$33:$O$45,2,0)," ")</f>
        <v>N/A</v>
      </c>
      <c r="X482" s="161" t="str">
        <f>CONCATENATE(V482,"_",W482)</f>
        <v>N/A_N/A</v>
      </c>
      <c r="Y482" s="161" t="str">
        <f>CONCATENATE(U482," ",X482)</f>
        <v>N/A-N/A N/A_N/A</v>
      </c>
      <c r="Z482" s="160" t="str">
        <f>CONCATENATE(P482,Q482,R482,S482,V482)</f>
        <v>NANANAN/AN/A</v>
      </c>
      <c r="AA482" s="160" t="str">
        <f>IFERROR(VLOOKUP(Y482,TD!$K$46:$L$64,2,0)," ")</f>
        <v>N/A</v>
      </c>
      <c r="AB482" s="53" t="s">
        <v>715</v>
      </c>
      <c r="AC482" s="162" t="s">
        <v>204</v>
      </c>
    </row>
    <row r="483" spans="2:29" s="28" customFormat="1" ht="99" customHeight="1" x14ac:dyDescent="0.35">
      <c r="B483" s="186">
        <v>20250498</v>
      </c>
      <c r="C483" s="187" t="s">
        <v>346</v>
      </c>
      <c r="D483" s="188" t="s">
        <v>166</v>
      </c>
      <c r="E483" s="189" t="s">
        <v>592</v>
      </c>
      <c r="F483" s="188" t="s">
        <v>678</v>
      </c>
      <c r="G483" s="188" t="s">
        <v>157</v>
      </c>
      <c r="H483" s="190" t="s">
        <v>781</v>
      </c>
      <c r="I483" s="191">
        <v>3</v>
      </c>
      <c r="J483" s="191">
        <v>9</v>
      </c>
      <c r="K483" s="192">
        <v>0</v>
      </c>
      <c r="L483" s="193">
        <f>38000000-4000000</f>
        <v>34000000</v>
      </c>
      <c r="M483" s="188" t="s">
        <v>172</v>
      </c>
      <c r="N483" s="194" t="s">
        <v>649</v>
      </c>
      <c r="O483" s="189" t="s">
        <v>347</v>
      </c>
      <c r="P483" s="195" t="str">
        <f>IFERROR(VLOOKUP(C483,TD!$B$32:$F$36,2,0)," ")</f>
        <v>NA</v>
      </c>
      <c r="Q483" s="195" t="str">
        <f>IFERROR(VLOOKUP(C483,TD!$B$32:$F$36,3,0)," ")</f>
        <v>NA</v>
      </c>
      <c r="R483" s="195" t="str">
        <f>IFERROR(VLOOKUP(C483,TD!$B$32:$F$36,4,0)," ")</f>
        <v>NA</v>
      </c>
      <c r="S483" s="189" t="s">
        <v>406</v>
      </c>
      <c r="T483" s="195" t="str">
        <f>IFERROR(VLOOKUP(S483,TD!$J$33:$K$43,2,0)," ")</f>
        <v>N/A</v>
      </c>
      <c r="U483" s="161" t="str">
        <f>CONCATENATE(S483,"-",T483)</f>
        <v>N/A-N/A</v>
      </c>
      <c r="V483" s="189" t="s">
        <v>406</v>
      </c>
      <c r="W483" s="195" t="str">
        <f>IFERROR(VLOOKUP(V483,TD!$N$33:$O$45,2,0)," ")</f>
        <v>N/A</v>
      </c>
      <c r="X483" s="161" t="str">
        <f>CONCATENATE(V483,"_",W483)</f>
        <v>N/A_N/A</v>
      </c>
      <c r="Y483" s="161" t="str">
        <f>CONCATENATE(U483," ",X483)</f>
        <v>N/A-N/A N/A_N/A</v>
      </c>
      <c r="Z483" s="195" t="str">
        <f>CONCATENATE(P483,Q483,R483,S483,V483)</f>
        <v>NANANAN/AN/A</v>
      </c>
      <c r="AA483" s="195" t="str">
        <f>IFERROR(VLOOKUP(Y483,TD!$K$46:$L$64,2,0)," ")</f>
        <v>N/A</v>
      </c>
      <c r="AB483" s="194" t="s">
        <v>715</v>
      </c>
      <c r="AC483" s="196" t="s">
        <v>204</v>
      </c>
    </row>
    <row r="484" spans="2:29" s="28" customFormat="1" ht="99" customHeight="1" x14ac:dyDescent="0.35">
      <c r="B484" s="186">
        <v>20250499</v>
      </c>
      <c r="C484" s="187" t="s">
        <v>346</v>
      </c>
      <c r="D484" s="188" t="s">
        <v>166</v>
      </c>
      <c r="E484" s="189" t="s">
        <v>592</v>
      </c>
      <c r="F484" s="188" t="s">
        <v>679</v>
      </c>
      <c r="G484" s="188" t="s">
        <v>157</v>
      </c>
      <c r="H484" s="190" t="s">
        <v>781</v>
      </c>
      <c r="I484" s="191">
        <v>3</v>
      </c>
      <c r="J484" s="191">
        <v>9</v>
      </c>
      <c r="K484" s="192">
        <v>0</v>
      </c>
      <c r="L484" s="193">
        <f>10000000+3000000</f>
        <v>13000000</v>
      </c>
      <c r="M484" s="188" t="s">
        <v>172</v>
      </c>
      <c r="N484" s="194" t="s">
        <v>649</v>
      </c>
      <c r="O484" s="189" t="s">
        <v>347</v>
      </c>
      <c r="P484" s="195" t="str">
        <f>IFERROR(VLOOKUP(C484,TD!$B$32:$F$36,2,0)," ")</f>
        <v>NA</v>
      </c>
      <c r="Q484" s="195" t="str">
        <f>IFERROR(VLOOKUP(C484,TD!$B$32:$F$36,3,0)," ")</f>
        <v>NA</v>
      </c>
      <c r="R484" s="195" t="str">
        <f>IFERROR(VLOOKUP(C484,TD!$B$32:$F$36,4,0)," ")</f>
        <v>NA</v>
      </c>
      <c r="S484" s="189" t="s">
        <v>406</v>
      </c>
      <c r="T484" s="195" t="str">
        <f>IFERROR(VLOOKUP(S484,TD!$J$33:$K$43,2,0)," ")</f>
        <v>N/A</v>
      </c>
      <c r="U484" s="161" t="str">
        <f>CONCATENATE(S484,"-",T484)</f>
        <v>N/A-N/A</v>
      </c>
      <c r="V484" s="189" t="s">
        <v>406</v>
      </c>
      <c r="W484" s="195" t="str">
        <f>IFERROR(VLOOKUP(V484,TD!$N$33:$O$45,2,0)," ")</f>
        <v>N/A</v>
      </c>
      <c r="X484" s="161" t="str">
        <f>CONCATENATE(V484,"_",W484)</f>
        <v>N/A_N/A</v>
      </c>
      <c r="Y484" s="161" t="str">
        <f>CONCATENATE(U484," ",X484)</f>
        <v>N/A-N/A N/A_N/A</v>
      </c>
      <c r="Z484" s="195" t="str">
        <f>CONCATENATE(P484,Q484,R484,S484,V484)</f>
        <v>NANANAN/AN/A</v>
      </c>
      <c r="AA484" s="195" t="str">
        <f>IFERROR(VLOOKUP(Y484,TD!$K$46:$L$64,2,0)," ")</f>
        <v>N/A</v>
      </c>
      <c r="AB484" s="194" t="s">
        <v>715</v>
      </c>
      <c r="AC484" s="196" t="s">
        <v>204</v>
      </c>
    </row>
    <row r="485" spans="2:29" s="28" customFormat="1" ht="99" customHeight="1" x14ac:dyDescent="0.35">
      <c r="B485" s="77">
        <v>20250500</v>
      </c>
      <c r="C485" s="50" t="s">
        <v>346</v>
      </c>
      <c r="D485" s="158" t="s">
        <v>166</v>
      </c>
      <c r="E485" s="51" t="s">
        <v>592</v>
      </c>
      <c r="F485" s="158" t="s">
        <v>680</v>
      </c>
      <c r="G485" s="158" t="s">
        <v>157</v>
      </c>
      <c r="H485" s="97" t="s">
        <v>681</v>
      </c>
      <c r="I485" s="159">
        <v>1</v>
      </c>
      <c r="J485" s="159">
        <v>10</v>
      </c>
      <c r="K485" s="52">
        <v>0</v>
      </c>
      <c r="L485" s="153">
        <v>40000000</v>
      </c>
      <c r="M485" s="158" t="s">
        <v>172</v>
      </c>
      <c r="N485" s="53" t="s">
        <v>100</v>
      </c>
      <c r="O485" s="51" t="s">
        <v>347</v>
      </c>
      <c r="P485" s="160" t="str">
        <f>IFERROR(VLOOKUP(C485,TD!$B$32:$F$36,2,0)," ")</f>
        <v>NA</v>
      </c>
      <c r="Q485" s="160" t="str">
        <f>IFERROR(VLOOKUP(C485,TD!$B$32:$F$36,3,0)," ")</f>
        <v>NA</v>
      </c>
      <c r="R485" s="160" t="str">
        <f>IFERROR(VLOOKUP(C485,TD!$B$32:$F$36,4,0)," ")</f>
        <v>NA</v>
      </c>
      <c r="S485" s="51" t="s">
        <v>406</v>
      </c>
      <c r="T485" s="160" t="str">
        <f>IFERROR(VLOOKUP(S485,TD!$J$33:$K$43,2,0)," ")</f>
        <v>N/A</v>
      </c>
      <c r="U485" s="161" t="str">
        <f>CONCATENATE(S485,"-",T485)</f>
        <v>N/A-N/A</v>
      </c>
      <c r="V485" s="51" t="s">
        <v>406</v>
      </c>
      <c r="W485" s="160" t="str">
        <f>IFERROR(VLOOKUP(V485,TD!$N$33:$O$45,2,0)," ")</f>
        <v>N/A</v>
      </c>
      <c r="X485" s="161" t="str">
        <f>CONCATENATE(V485,"_",W485)</f>
        <v>N/A_N/A</v>
      </c>
      <c r="Y485" s="161" t="str">
        <f>CONCATENATE(U485," ",X485)</f>
        <v>N/A-N/A N/A_N/A</v>
      </c>
      <c r="Z485" s="160" t="str">
        <f>CONCATENATE(P485,Q485,R485,S485,V485)</f>
        <v>NANANAN/AN/A</v>
      </c>
      <c r="AA485" s="160" t="str">
        <f>IFERROR(VLOOKUP(Y485,TD!$K$46:$L$64,2,0)," ")</f>
        <v>N/A</v>
      </c>
      <c r="AB485" s="53" t="s">
        <v>715</v>
      </c>
      <c r="AC485" s="162" t="s">
        <v>204</v>
      </c>
    </row>
    <row r="486" spans="2:29" s="28" customFormat="1" ht="99" customHeight="1" x14ac:dyDescent="0.35">
      <c r="B486" s="77">
        <v>20250501</v>
      </c>
      <c r="C486" s="50" t="s">
        <v>346</v>
      </c>
      <c r="D486" s="158" t="s">
        <v>166</v>
      </c>
      <c r="E486" s="51" t="s">
        <v>592</v>
      </c>
      <c r="F486" s="158" t="s">
        <v>682</v>
      </c>
      <c r="G486" s="158" t="s">
        <v>96</v>
      </c>
      <c r="H486" s="97" t="s">
        <v>683</v>
      </c>
      <c r="I486" s="159">
        <v>3</v>
      </c>
      <c r="J486" s="159">
        <v>10</v>
      </c>
      <c r="K486" s="52">
        <v>0</v>
      </c>
      <c r="L486" s="153">
        <v>30000000</v>
      </c>
      <c r="M486" s="158" t="s">
        <v>172</v>
      </c>
      <c r="N486" s="53" t="s">
        <v>100</v>
      </c>
      <c r="O486" s="51" t="s">
        <v>347</v>
      </c>
      <c r="P486" s="160" t="str">
        <f>IFERROR(VLOOKUP(C486,TD!$B$32:$F$36,2,0)," ")</f>
        <v>NA</v>
      </c>
      <c r="Q486" s="160" t="str">
        <f>IFERROR(VLOOKUP(C486,TD!$B$32:$F$36,3,0)," ")</f>
        <v>NA</v>
      </c>
      <c r="R486" s="160" t="str">
        <f>IFERROR(VLOOKUP(C486,TD!$B$32:$F$36,4,0)," ")</f>
        <v>NA</v>
      </c>
      <c r="S486" s="51" t="s">
        <v>406</v>
      </c>
      <c r="T486" s="160" t="str">
        <f>IFERROR(VLOOKUP(S486,TD!$J$33:$K$43,2,0)," ")</f>
        <v>N/A</v>
      </c>
      <c r="U486" s="161" t="str">
        <f>CONCATENATE(S486,"-",T486)</f>
        <v>N/A-N/A</v>
      </c>
      <c r="V486" s="51" t="s">
        <v>406</v>
      </c>
      <c r="W486" s="160" t="str">
        <f>IFERROR(VLOOKUP(V486,TD!$N$33:$O$45,2,0)," ")</f>
        <v>N/A</v>
      </c>
      <c r="X486" s="161" t="str">
        <f>CONCATENATE(V486,"_",W486)</f>
        <v>N/A_N/A</v>
      </c>
      <c r="Y486" s="161" t="str">
        <f>CONCATENATE(U486," ",X486)</f>
        <v>N/A-N/A N/A_N/A</v>
      </c>
      <c r="Z486" s="160" t="str">
        <f>CONCATENATE(P486,Q486,R486,S486,V486)</f>
        <v>NANANAN/AN/A</v>
      </c>
      <c r="AA486" s="160" t="str">
        <f>IFERROR(VLOOKUP(Y486,TD!$K$46:$L$64,2,0)," ")</f>
        <v>N/A</v>
      </c>
      <c r="AB486" s="53" t="s">
        <v>715</v>
      </c>
      <c r="AC486" s="162" t="s">
        <v>204</v>
      </c>
    </row>
    <row r="487" spans="2:29" s="28" customFormat="1" ht="99" customHeight="1" x14ac:dyDescent="0.35">
      <c r="B487" s="77">
        <v>20250502</v>
      </c>
      <c r="C487" s="50" t="s">
        <v>346</v>
      </c>
      <c r="D487" s="158" t="s">
        <v>166</v>
      </c>
      <c r="E487" s="51" t="s">
        <v>592</v>
      </c>
      <c r="F487" s="158" t="s">
        <v>684</v>
      </c>
      <c r="G487" s="158" t="s">
        <v>119</v>
      </c>
      <c r="H487" s="97" t="s">
        <v>685</v>
      </c>
      <c r="I487" s="159">
        <v>3</v>
      </c>
      <c r="J487" s="159">
        <v>8</v>
      </c>
      <c r="K487" s="52">
        <v>0</v>
      </c>
      <c r="L487" s="153">
        <v>10000000</v>
      </c>
      <c r="M487" s="158" t="s">
        <v>172</v>
      </c>
      <c r="N487" s="53" t="s">
        <v>100</v>
      </c>
      <c r="O487" s="51" t="s">
        <v>347</v>
      </c>
      <c r="P487" s="160" t="str">
        <f>IFERROR(VLOOKUP(C487,TD!$B$32:$F$36,2,0)," ")</f>
        <v>NA</v>
      </c>
      <c r="Q487" s="160" t="str">
        <f>IFERROR(VLOOKUP(C487,TD!$B$32:$F$36,3,0)," ")</f>
        <v>NA</v>
      </c>
      <c r="R487" s="160" t="str">
        <f>IFERROR(VLOOKUP(C487,TD!$B$32:$F$36,4,0)," ")</f>
        <v>NA</v>
      </c>
      <c r="S487" s="51" t="s">
        <v>406</v>
      </c>
      <c r="T487" s="160" t="str">
        <f>IFERROR(VLOOKUP(S487,TD!$J$33:$K$43,2,0)," ")</f>
        <v>N/A</v>
      </c>
      <c r="U487" s="161" t="str">
        <f>CONCATENATE(S487,"-",T487)</f>
        <v>N/A-N/A</v>
      </c>
      <c r="V487" s="51" t="s">
        <v>406</v>
      </c>
      <c r="W487" s="160" t="str">
        <f>IFERROR(VLOOKUP(V487,TD!$N$33:$O$45,2,0)," ")</f>
        <v>N/A</v>
      </c>
      <c r="X487" s="161" t="str">
        <f>CONCATENATE(V487,"_",W487)</f>
        <v>N/A_N/A</v>
      </c>
      <c r="Y487" s="161" t="str">
        <f>CONCATENATE(U487," ",X487)</f>
        <v>N/A-N/A N/A_N/A</v>
      </c>
      <c r="Z487" s="160" t="str">
        <f>CONCATENATE(P487,Q487,R487,S487,V487)</f>
        <v>NANANAN/AN/A</v>
      </c>
      <c r="AA487" s="160" t="str">
        <f>IFERROR(VLOOKUP(Y487,TD!$K$46:$L$64,2,0)," ")</f>
        <v>N/A</v>
      </c>
      <c r="AB487" s="53" t="s">
        <v>715</v>
      </c>
      <c r="AC487" s="162" t="s">
        <v>204</v>
      </c>
    </row>
    <row r="488" spans="2:29" s="28" customFormat="1" ht="99" customHeight="1" x14ac:dyDescent="0.35">
      <c r="B488" s="77">
        <v>20250503</v>
      </c>
      <c r="C488" s="50" t="s">
        <v>346</v>
      </c>
      <c r="D488" s="158" t="s">
        <v>166</v>
      </c>
      <c r="E488" s="51" t="s">
        <v>592</v>
      </c>
      <c r="F488" s="158" t="s">
        <v>686</v>
      </c>
      <c r="G488" s="158" t="s">
        <v>119</v>
      </c>
      <c r="H488" s="97" t="s">
        <v>687</v>
      </c>
      <c r="I488" s="159">
        <v>2</v>
      </c>
      <c r="J488" s="159">
        <v>3</v>
      </c>
      <c r="K488" s="52">
        <v>0</v>
      </c>
      <c r="L488" s="153">
        <v>29250000</v>
      </c>
      <c r="M488" s="158" t="s">
        <v>172</v>
      </c>
      <c r="N488" s="53" t="s">
        <v>100</v>
      </c>
      <c r="O488" s="51" t="s">
        <v>347</v>
      </c>
      <c r="P488" s="160" t="str">
        <f>IFERROR(VLOOKUP(C488,TD!$B$32:$F$36,2,0)," ")</f>
        <v>NA</v>
      </c>
      <c r="Q488" s="160" t="str">
        <f>IFERROR(VLOOKUP(C488,TD!$B$32:$F$36,3,0)," ")</f>
        <v>NA</v>
      </c>
      <c r="R488" s="160" t="str">
        <f>IFERROR(VLOOKUP(C488,TD!$B$32:$F$36,4,0)," ")</f>
        <v>NA</v>
      </c>
      <c r="S488" s="51" t="s">
        <v>406</v>
      </c>
      <c r="T488" s="160" t="str">
        <f>IFERROR(VLOOKUP(S488,TD!$J$33:$K$43,2,0)," ")</f>
        <v>N/A</v>
      </c>
      <c r="U488" s="161" t="str">
        <f>CONCATENATE(S488,"-",T488)</f>
        <v>N/A-N/A</v>
      </c>
      <c r="V488" s="51" t="s">
        <v>406</v>
      </c>
      <c r="W488" s="160" t="str">
        <f>IFERROR(VLOOKUP(V488,TD!$N$33:$O$45,2,0)," ")</f>
        <v>N/A</v>
      </c>
      <c r="X488" s="161" t="str">
        <f>CONCATENATE(V488,"_",W488)</f>
        <v>N/A_N/A</v>
      </c>
      <c r="Y488" s="161" t="str">
        <f>CONCATENATE(U488," ",X488)</f>
        <v>N/A-N/A N/A_N/A</v>
      </c>
      <c r="Z488" s="160" t="str">
        <f>CONCATENATE(P488,Q488,R488,S488,V488)</f>
        <v>NANANAN/AN/A</v>
      </c>
      <c r="AA488" s="160" t="str">
        <f>IFERROR(VLOOKUP(Y488,TD!$K$46:$L$64,2,0)," ")</f>
        <v>N/A</v>
      </c>
      <c r="AB488" s="53" t="s">
        <v>715</v>
      </c>
      <c r="AC488" s="162" t="s">
        <v>205</v>
      </c>
    </row>
    <row r="489" spans="2:29" s="28" customFormat="1" ht="99" customHeight="1" x14ac:dyDescent="0.35">
      <c r="B489" s="197">
        <v>20250504</v>
      </c>
      <c r="C489" s="187" t="s">
        <v>208</v>
      </c>
      <c r="D489" s="188" t="s">
        <v>166</v>
      </c>
      <c r="E489" s="189" t="s">
        <v>592</v>
      </c>
      <c r="F489" s="188" t="s">
        <v>615</v>
      </c>
      <c r="G489" s="188" t="s">
        <v>96</v>
      </c>
      <c r="H489" s="190" t="s">
        <v>671</v>
      </c>
      <c r="I489" s="191">
        <v>4</v>
      </c>
      <c r="J489" s="191">
        <v>3</v>
      </c>
      <c r="K489" s="192">
        <v>0</v>
      </c>
      <c r="L489" s="193">
        <f>600000000-55178416+38743342</f>
        <v>583564926</v>
      </c>
      <c r="M489" s="188" t="s">
        <v>473</v>
      </c>
      <c r="N489" s="205" t="s">
        <v>90</v>
      </c>
      <c r="O489" s="189" t="s">
        <v>218</v>
      </c>
      <c r="P489" s="195" t="str">
        <f>IFERROR(VLOOKUP(C489,TD!$B$32:$F$36,2,0)," ")</f>
        <v>O230117</v>
      </c>
      <c r="Q489" s="195" t="str">
        <f>IFERROR(VLOOKUP(C489,TD!$B$32:$F$36,3,0)," ")</f>
        <v>4599</v>
      </c>
      <c r="R489" s="195">
        <f>IFERROR(VLOOKUP(C489,TD!$B$32:$F$36,4,0)," ")</f>
        <v>20240207</v>
      </c>
      <c r="S489" s="189" t="s">
        <v>185</v>
      </c>
      <c r="T489" s="195" t="str">
        <f>IFERROR(VLOOKUP(S489,TD!$J$33:$K$43,2,0)," ")</f>
        <v>Infraestructura física, mantenimiento y dotación (Sedes construidas, mantenidas reforzadas)</v>
      </c>
      <c r="U489" s="161" t="str">
        <f>CONCATENATE(S489,"-",T489)</f>
        <v>08-Infraestructura física, mantenimiento y dotación (Sedes construidas, mantenidas reforzadas)</v>
      </c>
      <c r="V489" s="189" t="s">
        <v>238</v>
      </c>
      <c r="W489" s="195" t="str">
        <f>IFERROR(VLOOKUP(V489,TD!$N$33:$O$45,2,0)," ")</f>
        <v>Sedes mantenidas</v>
      </c>
      <c r="X489" s="161" t="str">
        <f>CONCATENATE(V489,"_",W489)</f>
        <v>016_Sedes mantenidas</v>
      </c>
      <c r="Y489" s="161" t="str">
        <f>CONCATENATE(U489," ",X489)</f>
        <v>08-Infraestructura física, mantenimiento y dotación (Sedes construidas, mantenidas reforzadas) 016_Sedes mantenidas</v>
      </c>
      <c r="Z489" s="195" t="str">
        <f>CONCATENATE(P489,Q489,R489,S489,V489)</f>
        <v>O23011745992024020708016</v>
      </c>
      <c r="AA489" s="195" t="str">
        <f>IFERROR(VLOOKUP(Y489,TD!$K$46:$L$64,2,0)," ")</f>
        <v>PM/0131/0108/45990160207</v>
      </c>
      <c r="AB489" s="194" t="s">
        <v>141</v>
      </c>
      <c r="AC489" s="196" t="s">
        <v>204</v>
      </c>
    </row>
    <row r="490" spans="2:29" s="28" customFormat="1" ht="99" customHeight="1" x14ac:dyDescent="0.35">
      <c r="B490" s="186">
        <v>20250505</v>
      </c>
      <c r="C490" s="187" t="s">
        <v>208</v>
      </c>
      <c r="D490" s="188" t="s">
        <v>166</v>
      </c>
      <c r="E490" s="189" t="s">
        <v>592</v>
      </c>
      <c r="F490" s="188" t="s">
        <v>947</v>
      </c>
      <c r="G490" s="188" t="s">
        <v>157</v>
      </c>
      <c r="H490" s="190" t="s">
        <v>948</v>
      </c>
      <c r="I490" s="191">
        <v>2</v>
      </c>
      <c r="J490" s="191">
        <v>9</v>
      </c>
      <c r="K490" s="192">
        <v>0</v>
      </c>
      <c r="L490" s="193">
        <v>110000000</v>
      </c>
      <c r="M490" s="188" t="s">
        <v>473</v>
      </c>
      <c r="N490" s="194" t="s">
        <v>90</v>
      </c>
      <c r="O490" s="189" t="s">
        <v>218</v>
      </c>
      <c r="P490" s="195" t="str">
        <f>IFERROR(VLOOKUP(C490,TD!$B$32:$F$36,2,0)," ")</f>
        <v>O230117</v>
      </c>
      <c r="Q490" s="195" t="str">
        <f>IFERROR(VLOOKUP(C490,TD!$B$32:$F$36,3,0)," ")</f>
        <v>4599</v>
      </c>
      <c r="R490" s="195">
        <f>IFERROR(VLOOKUP(C490,TD!$B$32:$F$36,4,0)," ")</f>
        <v>20240207</v>
      </c>
      <c r="S490" s="189" t="s">
        <v>185</v>
      </c>
      <c r="T490" s="195" t="str">
        <f>IFERROR(VLOOKUP(S490,TD!$J$33:$K$43,2,0)," ")</f>
        <v>Infraestructura física, mantenimiento y dotación (Sedes construidas, mantenidas reforzadas)</v>
      </c>
      <c r="U490" s="161" t="str">
        <f>CONCATENATE(S490,"-",T490)</f>
        <v>08-Infraestructura física, mantenimiento y dotación (Sedes construidas, mantenidas reforzadas)</v>
      </c>
      <c r="V490" s="189" t="s">
        <v>238</v>
      </c>
      <c r="W490" s="195" t="str">
        <f>IFERROR(VLOOKUP(V490,TD!$N$33:$O$45,2,0)," ")</f>
        <v>Sedes mantenidas</v>
      </c>
      <c r="X490" s="161" t="str">
        <f>CONCATENATE(V490,"_",W490)</f>
        <v>016_Sedes mantenidas</v>
      </c>
      <c r="Y490" s="161" t="str">
        <f>CONCATENATE(U490," ",X490)</f>
        <v>08-Infraestructura física, mantenimiento y dotación (Sedes construidas, mantenidas reforzadas) 016_Sedes mantenidas</v>
      </c>
      <c r="Z490" s="195" t="str">
        <f>CONCATENATE(P490,Q490,R490,S490,V490)</f>
        <v>O23011745992024020708016</v>
      </c>
      <c r="AA490" s="195" t="str">
        <f>IFERROR(VLOOKUP(Y490,TD!$K$46:$L$64,2,0)," ")</f>
        <v>PM/0131/0108/45990160207</v>
      </c>
      <c r="AB490" s="194" t="s">
        <v>714</v>
      </c>
      <c r="AC490" s="196" t="s">
        <v>204</v>
      </c>
    </row>
    <row r="491" spans="2:29" s="28" customFormat="1" ht="99" customHeight="1" x14ac:dyDescent="0.35">
      <c r="B491" s="77">
        <v>20250506</v>
      </c>
      <c r="C491" s="50" t="s">
        <v>208</v>
      </c>
      <c r="D491" s="158" t="s">
        <v>166</v>
      </c>
      <c r="E491" s="51" t="s">
        <v>592</v>
      </c>
      <c r="F491" s="158" t="s">
        <v>629</v>
      </c>
      <c r="G491" s="158" t="s">
        <v>157</v>
      </c>
      <c r="H491" s="97" t="s">
        <v>688</v>
      </c>
      <c r="I491" s="159">
        <v>4</v>
      </c>
      <c r="J491" s="159">
        <v>6</v>
      </c>
      <c r="K491" s="52">
        <v>0</v>
      </c>
      <c r="L491" s="153">
        <v>150000000</v>
      </c>
      <c r="M491" s="158" t="s">
        <v>473</v>
      </c>
      <c r="N491" s="53" t="s">
        <v>90</v>
      </c>
      <c r="O491" s="51" t="s">
        <v>218</v>
      </c>
      <c r="P491" s="160" t="str">
        <f>IFERROR(VLOOKUP(C491,TD!$B$32:$F$36,2,0)," ")</f>
        <v>O230117</v>
      </c>
      <c r="Q491" s="160" t="str">
        <f>IFERROR(VLOOKUP(C491,TD!$B$32:$F$36,3,0)," ")</f>
        <v>4599</v>
      </c>
      <c r="R491" s="160">
        <f>IFERROR(VLOOKUP(C491,TD!$B$32:$F$36,4,0)," ")</f>
        <v>20240207</v>
      </c>
      <c r="S491" s="51" t="s">
        <v>185</v>
      </c>
      <c r="T491" s="160" t="str">
        <f>IFERROR(VLOOKUP(S491,TD!$J$33:$K$43,2,0)," ")</f>
        <v>Infraestructura física, mantenimiento y dotación (Sedes construidas, mantenidas reforzadas)</v>
      </c>
      <c r="U491" s="161" t="str">
        <f>CONCATENATE(S491,"-",T491)</f>
        <v>08-Infraestructura física, mantenimiento y dotación (Sedes construidas, mantenidas reforzadas)</v>
      </c>
      <c r="V491" s="51" t="s">
        <v>238</v>
      </c>
      <c r="W491" s="160" t="str">
        <f>IFERROR(VLOOKUP(V491,TD!$N$33:$O$45,2,0)," ")</f>
        <v>Sedes mantenidas</v>
      </c>
      <c r="X491" s="161" t="str">
        <f>CONCATENATE(V491,"_",W491)</f>
        <v>016_Sedes mantenidas</v>
      </c>
      <c r="Y491" s="161" t="str">
        <f>CONCATENATE(U491," ",X491)</f>
        <v>08-Infraestructura física, mantenimiento y dotación (Sedes construidas, mantenidas reforzadas) 016_Sedes mantenidas</v>
      </c>
      <c r="Z491" s="160" t="str">
        <f>CONCATENATE(P491,Q491,R491,S491,V491)</f>
        <v>O23011745992024020708016</v>
      </c>
      <c r="AA491" s="160" t="str">
        <f>IFERROR(VLOOKUP(Y491,TD!$K$46:$L$64,2,0)," ")</f>
        <v>PM/0131/0108/45990160207</v>
      </c>
      <c r="AB491" s="53" t="s">
        <v>714</v>
      </c>
      <c r="AC491" s="162" t="s">
        <v>204</v>
      </c>
    </row>
    <row r="492" spans="2:29" s="28" customFormat="1" ht="99" customHeight="1" x14ac:dyDescent="0.35">
      <c r="B492" s="186">
        <v>20250507</v>
      </c>
      <c r="C492" s="187" t="s">
        <v>208</v>
      </c>
      <c r="D492" s="188" t="s">
        <v>166</v>
      </c>
      <c r="E492" s="189" t="s">
        <v>592</v>
      </c>
      <c r="F492" s="188" t="s">
        <v>949</v>
      </c>
      <c r="G492" s="188" t="s">
        <v>157</v>
      </c>
      <c r="H492" s="190" t="s">
        <v>950</v>
      </c>
      <c r="I492" s="191">
        <v>3</v>
      </c>
      <c r="J492" s="191">
        <v>8</v>
      </c>
      <c r="K492" s="192">
        <v>0</v>
      </c>
      <c r="L492" s="193">
        <v>100000000</v>
      </c>
      <c r="M492" s="188" t="s">
        <v>473</v>
      </c>
      <c r="N492" s="194" t="s">
        <v>90</v>
      </c>
      <c r="O492" s="189" t="s">
        <v>218</v>
      </c>
      <c r="P492" s="195" t="str">
        <f>IFERROR(VLOOKUP(C492,TD!$B$32:$F$36,2,0)," ")</f>
        <v>O230117</v>
      </c>
      <c r="Q492" s="195" t="str">
        <f>IFERROR(VLOOKUP(C492,TD!$B$32:$F$36,3,0)," ")</f>
        <v>4599</v>
      </c>
      <c r="R492" s="195">
        <f>IFERROR(VLOOKUP(C492,TD!$B$32:$F$36,4,0)," ")</f>
        <v>20240207</v>
      </c>
      <c r="S492" s="189" t="s">
        <v>185</v>
      </c>
      <c r="T492" s="195" t="str">
        <f>IFERROR(VLOOKUP(S492,TD!$J$33:$K$43,2,0)," ")</f>
        <v>Infraestructura física, mantenimiento y dotación (Sedes construidas, mantenidas reforzadas)</v>
      </c>
      <c r="U492" s="161" t="str">
        <f>CONCATENATE(S492,"-",T492)</f>
        <v>08-Infraestructura física, mantenimiento y dotación (Sedes construidas, mantenidas reforzadas)</v>
      </c>
      <c r="V492" s="189" t="s">
        <v>238</v>
      </c>
      <c r="W492" s="195" t="str">
        <f>IFERROR(VLOOKUP(V492,TD!$N$33:$O$45,2,0)," ")</f>
        <v>Sedes mantenidas</v>
      </c>
      <c r="X492" s="161" t="str">
        <f>CONCATENATE(V492,"_",W492)</f>
        <v>016_Sedes mantenidas</v>
      </c>
      <c r="Y492" s="161" t="str">
        <f>CONCATENATE(U492," ",X492)</f>
        <v>08-Infraestructura física, mantenimiento y dotación (Sedes construidas, mantenidas reforzadas) 016_Sedes mantenidas</v>
      </c>
      <c r="Z492" s="195" t="str">
        <f>CONCATENATE(P492,Q492,R492,S492,V492)</f>
        <v>O23011745992024020708016</v>
      </c>
      <c r="AA492" s="195" t="str">
        <f>IFERROR(VLOOKUP(Y492,TD!$K$46:$L$64,2,0)," ")</f>
        <v>PM/0131/0108/45990160207</v>
      </c>
      <c r="AB492" s="194" t="s">
        <v>714</v>
      </c>
      <c r="AC492" s="196" t="s">
        <v>204</v>
      </c>
    </row>
    <row r="493" spans="2:29" s="28" customFormat="1" ht="99" customHeight="1" x14ac:dyDescent="0.35">
      <c r="B493" s="77">
        <v>20250508</v>
      </c>
      <c r="C493" s="50" t="s">
        <v>208</v>
      </c>
      <c r="D493" s="158" t="s">
        <v>166</v>
      </c>
      <c r="E493" s="51" t="s">
        <v>592</v>
      </c>
      <c r="F493" s="158" t="s">
        <v>630</v>
      </c>
      <c r="G493" s="158" t="s">
        <v>119</v>
      </c>
      <c r="H493" s="97" t="s">
        <v>689</v>
      </c>
      <c r="I493" s="159">
        <v>2</v>
      </c>
      <c r="J493" s="159">
        <v>8</v>
      </c>
      <c r="K493" s="52">
        <v>0</v>
      </c>
      <c r="L493" s="153">
        <v>243061556</v>
      </c>
      <c r="M493" s="158" t="s">
        <v>473</v>
      </c>
      <c r="N493" s="53" t="s">
        <v>123</v>
      </c>
      <c r="O493" s="51" t="s">
        <v>218</v>
      </c>
      <c r="P493" s="160" t="str">
        <f>IFERROR(VLOOKUP(C493,TD!$B$32:$F$36,2,0)," ")</f>
        <v>O230117</v>
      </c>
      <c r="Q493" s="160" t="str">
        <f>IFERROR(VLOOKUP(C493,TD!$B$32:$F$36,3,0)," ")</f>
        <v>4599</v>
      </c>
      <c r="R493" s="160">
        <f>IFERROR(VLOOKUP(C493,TD!$B$32:$F$36,4,0)," ")</f>
        <v>20240207</v>
      </c>
      <c r="S493" s="51" t="s">
        <v>185</v>
      </c>
      <c r="T493" s="160" t="str">
        <f>IFERROR(VLOOKUP(S493,TD!$J$33:$K$43,2,0)," ")</f>
        <v>Infraestructura física, mantenimiento y dotación (Sedes construidas, mantenidas reforzadas)</v>
      </c>
      <c r="U493" s="161" t="str">
        <f>CONCATENATE(S493,"-",T493)</f>
        <v>08-Infraestructura física, mantenimiento y dotación (Sedes construidas, mantenidas reforzadas)</v>
      </c>
      <c r="V493" s="51" t="s">
        <v>238</v>
      </c>
      <c r="W493" s="160" t="str">
        <f>IFERROR(VLOOKUP(V493,TD!$N$33:$O$45,2,0)," ")</f>
        <v>Sedes mantenidas</v>
      </c>
      <c r="X493" s="161" t="str">
        <f>CONCATENATE(V493,"_",W493)</f>
        <v>016_Sedes mantenidas</v>
      </c>
      <c r="Y493" s="161" t="str">
        <f>CONCATENATE(U493," ",X493)</f>
        <v>08-Infraestructura física, mantenimiento y dotación (Sedes construidas, mantenidas reforzadas) 016_Sedes mantenidas</v>
      </c>
      <c r="Z493" s="160" t="str">
        <f>CONCATENATE(P493,Q493,R493,S493,V493)</f>
        <v>O23011745992024020708016</v>
      </c>
      <c r="AA493" s="160" t="str">
        <f>IFERROR(VLOOKUP(Y493,TD!$K$46:$L$64,2,0)," ")</f>
        <v>PM/0131/0108/45990160207</v>
      </c>
      <c r="AB493" s="53" t="s">
        <v>714</v>
      </c>
      <c r="AC493" s="162" t="s">
        <v>204</v>
      </c>
    </row>
    <row r="494" spans="2:29" s="28" customFormat="1" ht="99" customHeight="1" x14ac:dyDescent="0.35">
      <c r="B494" s="197">
        <v>20250510</v>
      </c>
      <c r="C494" s="198" t="s">
        <v>208</v>
      </c>
      <c r="D494" s="199" t="s">
        <v>166</v>
      </c>
      <c r="E494" s="200" t="s">
        <v>592</v>
      </c>
      <c r="F494" s="199" t="s">
        <v>968</v>
      </c>
      <c r="G494" s="199" t="s">
        <v>146</v>
      </c>
      <c r="H494" s="201" t="s">
        <v>690</v>
      </c>
      <c r="I494" s="202">
        <v>2</v>
      </c>
      <c r="J494" s="202">
        <v>8</v>
      </c>
      <c r="K494" s="203">
        <v>0</v>
      </c>
      <c r="L494" s="204">
        <f>199348043+34384905-31000000</f>
        <v>202732948</v>
      </c>
      <c r="M494" s="199" t="s">
        <v>473</v>
      </c>
      <c r="N494" s="205" t="s">
        <v>85</v>
      </c>
      <c r="O494" s="200" t="s">
        <v>218</v>
      </c>
      <c r="P494" s="206" t="str">
        <f>IFERROR(VLOOKUP(C494,TD!$B$32:$F$36,2,0)," ")</f>
        <v>O230117</v>
      </c>
      <c r="Q494" s="206" t="str">
        <f>IFERROR(VLOOKUP(C494,TD!$B$32:$F$36,3,0)," ")</f>
        <v>4599</v>
      </c>
      <c r="R494" s="206">
        <f>IFERROR(VLOOKUP(C494,TD!$B$32:$F$36,4,0)," ")</f>
        <v>20240207</v>
      </c>
      <c r="S494" s="200" t="s">
        <v>185</v>
      </c>
      <c r="T494" s="206" t="str">
        <f>IFERROR(VLOOKUP(S494,TD!$J$33:$K$43,2,0)," ")</f>
        <v>Infraestructura física, mantenimiento y dotación (Sedes construidas, mantenidas reforzadas)</v>
      </c>
      <c r="U494" s="161" t="str">
        <f>CONCATENATE(S494,"-",T494)</f>
        <v>08-Infraestructura física, mantenimiento y dotación (Sedes construidas, mantenidas reforzadas)</v>
      </c>
      <c r="V494" s="200" t="s">
        <v>238</v>
      </c>
      <c r="W494" s="206" t="str">
        <f>IFERROR(VLOOKUP(V494,TD!$N$33:$O$45,2,0)," ")</f>
        <v>Sedes mantenidas</v>
      </c>
      <c r="X494" s="161" t="str">
        <f>CONCATENATE(V494,"_",W494)</f>
        <v>016_Sedes mantenidas</v>
      </c>
      <c r="Y494" s="161" t="str">
        <f>CONCATENATE(U494," ",X494)</f>
        <v>08-Infraestructura física, mantenimiento y dotación (Sedes construidas, mantenidas reforzadas) 016_Sedes mantenidas</v>
      </c>
      <c r="Z494" s="206" t="str">
        <f>CONCATENATE(P494,Q494,R494,S494,V494)</f>
        <v>O23011745992024020708016</v>
      </c>
      <c r="AA494" s="206" t="str">
        <f>IFERROR(VLOOKUP(Y494,TD!$K$46:$L$64,2,0)," ")</f>
        <v>PM/0131/0108/45990160207</v>
      </c>
      <c r="AB494" s="205" t="s">
        <v>102</v>
      </c>
      <c r="AC494" s="207" t="s">
        <v>205</v>
      </c>
    </row>
    <row r="495" spans="2:29" s="28" customFormat="1" ht="99" customHeight="1" x14ac:dyDescent="0.35">
      <c r="B495" s="186">
        <v>20250511</v>
      </c>
      <c r="C495" s="187" t="s">
        <v>208</v>
      </c>
      <c r="D495" s="188" t="s">
        <v>166</v>
      </c>
      <c r="E495" s="189" t="s">
        <v>592</v>
      </c>
      <c r="F495" s="188" t="s">
        <v>951</v>
      </c>
      <c r="G495" s="188" t="s">
        <v>140</v>
      </c>
      <c r="H495" s="190" t="s">
        <v>691</v>
      </c>
      <c r="I495" s="191">
        <v>2</v>
      </c>
      <c r="J495" s="191">
        <v>8</v>
      </c>
      <c r="K495" s="192">
        <v>0</v>
      </c>
      <c r="L495" s="193">
        <v>181681869</v>
      </c>
      <c r="M495" s="188" t="s">
        <v>473</v>
      </c>
      <c r="N495" s="194" t="s">
        <v>108</v>
      </c>
      <c r="O495" s="189" t="s">
        <v>218</v>
      </c>
      <c r="P495" s="195" t="str">
        <f>IFERROR(VLOOKUP(C495,TD!$B$32:$F$36,2,0)," ")</f>
        <v>O230117</v>
      </c>
      <c r="Q495" s="195" t="str">
        <f>IFERROR(VLOOKUP(C495,TD!$B$32:$F$36,3,0)," ")</f>
        <v>4599</v>
      </c>
      <c r="R495" s="195">
        <f>IFERROR(VLOOKUP(C495,TD!$B$32:$F$36,4,0)," ")</f>
        <v>20240207</v>
      </c>
      <c r="S495" s="189" t="s">
        <v>185</v>
      </c>
      <c r="T495" s="195" t="str">
        <f>IFERROR(VLOOKUP(S495,TD!$J$33:$K$43,2,0)," ")</f>
        <v>Infraestructura física, mantenimiento y dotación (Sedes construidas, mantenidas reforzadas)</v>
      </c>
      <c r="U495" s="161" t="str">
        <f>CONCATENATE(S495,"-",T495)</f>
        <v>08-Infraestructura física, mantenimiento y dotación (Sedes construidas, mantenidas reforzadas)</v>
      </c>
      <c r="V495" s="189" t="s">
        <v>238</v>
      </c>
      <c r="W495" s="195" t="str">
        <f>IFERROR(VLOOKUP(V495,TD!$N$33:$O$45,2,0)," ")</f>
        <v>Sedes mantenidas</v>
      </c>
      <c r="X495" s="161" t="str">
        <f>CONCATENATE(V495,"_",W495)</f>
        <v>016_Sedes mantenidas</v>
      </c>
      <c r="Y495" s="161" t="str">
        <f>CONCATENATE(U495," ",X495)</f>
        <v>08-Infraestructura física, mantenimiento y dotación (Sedes construidas, mantenidas reforzadas) 016_Sedes mantenidas</v>
      </c>
      <c r="Z495" s="195" t="str">
        <f>CONCATENATE(P495,Q495,R495,S495,V495)</f>
        <v>O23011745992024020708016</v>
      </c>
      <c r="AA495" s="195" t="str">
        <f>IFERROR(VLOOKUP(Y495,TD!$K$46:$L$64,2,0)," ")</f>
        <v>PM/0131/0108/45990160207</v>
      </c>
      <c r="AB495" s="194" t="s">
        <v>102</v>
      </c>
      <c r="AC495" s="196" t="s">
        <v>205</v>
      </c>
    </row>
    <row r="496" spans="2:29" s="28" customFormat="1" ht="99" customHeight="1" x14ac:dyDescent="0.35">
      <c r="B496" s="186">
        <v>20250512</v>
      </c>
      <c r="C496" s="187" t="s">
        <v>208</v>
      </c>
      <c r="D496" s="188" t="s">
        <v>166</v>
      </c>
      <c r="E496" s="189" t="s">
        <v>592</v>
      </c>
      <c r="F496" s="188" t="s">
        <v>952</v>
      </c>
      <c r="G496" s="188" t="s">
        <v>109</v>
      </c>
      <c r="H496" s="190" t="s">
        <v>632</v>
      </c>
      <c r="I496" s="191">
        <v>4</v>
      </c>
      <c r="J496" s="191">
        <v>3</v>
      </c>
      <c r="K496" s="192">
        <v>0</v>
      </c>
      <c r="L496" s="193">
        <f>200000000+31000000</f>
        <v>231000000</v>
      </c>
      <c r="M496" s="188" t="s">
        <v>473</v>
      </c>
      <c r="N496" s="194" t="s">
        <v>95</v>
      </c>
      <c r="O496" s="189" t="s">
        <v>218</v>
      </c>
      <c r="P496" s="195" t="str">
        <f>IFERROR(VLOOKUP(C496,TD!$B$32:$F$36,2,0)," ")</f>
        <v>O230117</v>
      </c>
      <c r="Q496" s="195" t="str">
        <f>IFERROR(VLOOKUP(C496,TD!$B$32:$F$36,3,0)," ")</f>
        <v>4599</v>
      </c>
      <c r="R496" s="195">
        <f>IFERROR(VLOOKUP(C496,TD!$B$32:$F$36,4,0)," ")</f>
        <v>20240207</v>
      </c>
      <c r="S496" s="189" t="s">
        <v>185</v>
      </c>
      <c r="T496" s="195" t="str">
        <f>IFERROR(VLOOKUP(S496,TD!$J$33:$K$43,2,0)," ")</f>
        <v>Infraestructura física, mantenimiento y dotación (Sedes construidas, mantenidas reforzadas)</v>
      </c>
      <c r="U496" s="161" t="str">
        <f>CONCATENATE(S496,"-",T496)</f>
        <v>08-Infraestructura física, mantenimiento y dotación (Sedes construidas, mantenidas reforzadas)</v>
      </c>
      <c r="V496" s="189" t="s">
        <v>238</v>
      </c>
      <c r="W496" s="195" t="str">
        <f>IFERROR(VLOOKUP(V496,TD!$N$33:$O$45,2,0)," ")</f>
        <v>Sedes mantenidas</v>
      </c>
      <c r="X496" s="161" t="str">
        <f>CONCATENATE(V496,"_",W496)</f>
        <v>016_Sedes mantenidas</v>
      </c>
      <c r="Y496" s="161" t="str">
        <f>CONCATENATE(U496," ",X496)</f>
        <v>08-Infraestructura física, mantenimiento y dotación (Sedes construidas, mantenidas reforzadas) 016_Sedes mantenidas</v>
      </c>
      <c r="Z496" s="195" t="str">
        <f>CONCATENATE(P496,Q496,R496,S496,V496)</f>
        <v>O23011745992024020708016</v>
      </c>
      <c r="AA496" s="195" t="str">
        <f>IFERROR(VLOOKUP(Y496,TD!$K$46:$L$64,2,0)," ")</f>
        <v>PM/0131/0108/45990160207</v>
      </c>
      <c r="AB496" s="194" t="s">
        <v>87</v>
      </c>
      <c r="AC496" s="196" t="s">
        <v>204</v>
      </c>
    </row>
    <row r="497" spans="2:29" s="28" customFormat="1" ht="99" customHeight="1" x14ac:dyDescent="0.35">
      <c r="B497" s="197">
        <v>20250515</v>
      </c>
      <c r="C497" s="187" t="s">
        <v>208</v>
      </c>
      <c r="D497" s="188" t="s">
        <v>166</v>
      </c>
      <c r="E497" s="189" t="s">
        <v>592</v>
      </c>
      <c r="F497" s="188" t="s">
        <v>692</v>
      </c>
      <c r="G497" s="188" t="s">
        <v>96</v>
      </c>
      <c r="H497" s="190" t="s">
        <v>671</v>
      </c>
      <c r="I497" s="191">
        <v>2</v>
      </c>
      <c r="J497" s="191">
        <v>4</v>
      </c>
      <c r="K497" s="192">
        <v>0</v>
      </c>
      <c r="L497" s="193">
        <f>100000000+55178416-38743342</f>
        <v>116435074</v>
      </c>
      <c r="M497" s="188" t="s">
        <v>473</v>
      </c>
      <c r="N497" s="194" t="s">
        <v>85</v>
      </c>
      <c r="O497" s="189" t="s">
        <v>218</v>
      </c>
      <c r="P497" s="195" t="str">
        <f>IFERROR(VLOOKUP(C497,TD!$B$32:$F$36,2,0)," ")</f>
        <v>O230117</v>
      </c>
      <c r="Q497" s="195" t="str">
        <f>IFERROR(VLOOKUP(C497,TD!$B$32:$F$36,3,0)," ")</f>
        <v>4599</v>
      </c>
      <c r="R497" s="195">
        <f>IFERROR(VLOOKUP(C497,TD!$B$32:$F$36,4,0)," ")</f>
        <v>20240207</v>
      </c>
      <c r="S497" s="189" t="s">
        <v>185</v>
      </c>
      <c r="T497" s="195" t="str">
        <f>IFERROR(VLOOKUP(S497,TD!$J$33:$K$43,2,0)," ")</f>
        <v>Infraestructura física, mantenimiento y dotación (Sedes construidas, mantenidas reforzadas)</v>
      </c>
      <c r="U497" s="161" t="str">
        <f>CONCATENATE(S497,"-",T497)</f>
        <v>08-Infraestructura física, mantenimiento y dotación (Sedes construidas, mantenidas reforzadas)</v>
      </c>
      <c r="V497" s="189" t="s">
        <v>238</v>
      </c>
      <c r="W497" s="195" t="str">
        <f>IFERROR(VLOOKUP(V497,TD!$N$33:$O$45,2,0)," ")</f>
        <v>Sedes mantenidas</v>
      </c>
      <c r="X497" s="161" t="str">
        <f>CONCATENATE(V497,"_",W497)</f>
        <v>016_Sedes mantenidas</v>
      </c>
      <c r="Y497" s="161" t="str">
        <f>CONCATENATE(U497," ",X497)</f>
        <v>08-Infraestructura física, mantenimiento y dotación (Sedes construidas, mantenidas reforzadas) 016_Sedes mantenidas</v>
      </c>
      <c r="Z497" s="195" t="str">
        <f>CONCATENATE(P497,Q497,R497,S497,V497)</f>
        <v>O23011745992024020708016</v>
      </c>
      <c r="AA497" s="195" t="str">
        <f>IFERROR(VLOOKUP(Y497,TD!$K$46:$L$64,2,0)," ")</f>
        <v>PM/0131/0108/45990160207</v>
      </c>
      <c r="AB497" s="194" t="s">
        <v>141</v>
      </c>
      <c r="AC497" s="196" t="s">
        <v>205</v>
      </c>
    </row>
    <row r="498" spans="2:29" s="28" customFormat="1" ht="99" customHeight="1" x14ac:dyDescent="0.35">
      <c r="B498" s="186">
        <v>20250516</v>
      </c>
      <c r="C498" s="187" t="s">
        <v>208</v>
      </c>
      <c r="D498" s="188" t="s">
        <v>166</v>
      </c>
      <c r="E498" s="189" t="s">
        <v>592</v>
      </c>
      <c r="F498" s="188" t="s">
        <v>953</v>
      </c>
      <c r="G498" s="188" t="s">
        <v>119</v>
      </c>
      <c r="H498" s="190" t="s">
        <v>954</v>
      </c>
      <c r="I498" s="191">
        <v>1</v>
      </c>
      <c r="J498" s="191">
        <v>2</v>
      </c>
      <c r="K498" s="192">
        <v>0</v>
      </c>
      <c r="L498" s="193">
        <v>50000000</v>
      </c>
      <c r="M498" s="188" t="s">
        <v>473</v>
      </c>
      <c r="N498" s="194" t="s">
        <v>100</v>
      </c>
      <c r="O498" s="189" t="s">
        <v>218</v>
      </c>
      <c r="P498" s="195" t="str">
        <f>IFERROR(VLOOKUP(C498,TD!$B$32:$F$36,2,0)," ")</f>
        <v>O230117</v>
      </c>
      <c r="Q498" s="195" t="str">
        <f>IFERROR(VLOOKUP(C498,TD!$B$32:$F$36,3,0)," ")</f>
        <v>4599</v>
      </c>
      <c r="R498" s="195">
        <f>IFERROR(VLOOKUP(C498,TD!$B$32:$F$36,4,0)," ")</f>
        <v>20240207</v>
      </c>
      <c r="S498" s="189" t="s">
        <v>185</v>
      </c>
      <c r="T498" s="195" t="str">
        <f>IFERROR(VLOOKUP(S498,TD!$J$33:$K$43,2,0)," ")</f>
        <v>Infraestructura física, mantenimiento y dotación (Sedes construidas, mantenidas reforzadas)</v>
      </c>
      <c r="U498" s="161" t="str">
        <f>CONCATENATE(S498,"-",T498)</f>
        <v>08-Infraestructura física, mantenimiento y dotación (Sedes construidas, mantenidas reforzadas)</v>
      </c>
      <c r="V498" s="189" t="s">
        <v>238</v>
      </c>
      <c r="W498" s="195" t="str">
        <f>IFERROR(VLOOKUP(V498,TD!$N$33:$O$45,2,0)," ")</f>
        <v>Sedes mantenidas</v>
      </c>
      <c r="X498" s="161" t="str">
        <f>CONCATENATE(V498,"_",W498)</f>
        <v>016_Sedes mantenidas</v>
      </c>
      <c r="Y498" s="161" t="str">
        <f>CONCATENATE(U498," ",X498)</f>
        <v>08-Infraestructura física, mantenimiento y dotación (Sedes construidas, mantenidas reforzadas) 016_Sedes mantenidas</v>
      </c>
      <c r="Z498" s="195" t="str">
        <f>CONCATENATE(P498,Q498,R498,S498,V498)</f>
        <v>O23011745992024020708016</v>
      </c>
      <c r="AA498" s="195" t="str">
        <f>IFERROR(VLOOKUP(Y498,TD!$K$46:$L$64,2,0)," ")</f>
        <v>PM/0131/0108/45990160207</v>
      </c>
      <c r="AB498" s="194" t="s">
        <v>87</v>
      </c>
      <c r="AC498" s="196" t="s">
        <v>204</v>
      </c>
    </row>
    <row r="499" spans="2:29" s="28" customFormat="1" ht="99" customHeight="1" x14ac:dyDescent="0.35">
      <c r="B499" s="197">
        <v>20250517</v>
      </c>
      <c r="C499" s="198" t="s">
        <v>209</v>
      </c>
      <c r="D499" s="199" t="s">
        <v>166</v>
      </c>
      <c r="E499" s="200" t="s">
        <v>592</v>
      </c>
      <c r="F499" s="199" t="s">
        <v>633</v>
      </c>
      <c r="G499" s="199" t="s">
        <v>101</v>
      </c>
      <c r="H499" s="201" t="s">
        <v>634</v>
      </c>
      <c r="I499" s="202">
        <v>4</v>
      </c>
      <c r="J499" s="202">
        <v>10</v>
      </c>
      <c r="K499" s="203">
        <v>0</v>
      </c>
      <c r="L499" s="204">
        <v>1000000</v>
      </c>
      <c r="M499" s="199" t="s">
        <v>473</v>
      </c>
      <c r="N499" s="205" t="s">
        <v>108</v>
      </c>
      <c r="O499" s="200" t="s">
        <v>227</v>
      </c>
      <c r="P499" s="206" t="str">
        <f>IFERROR(VLOOKUP(C499,TD!$B$32:$F$36,2,0)," ")</f>
        <v>O230117</v>
      </c>
      <c r="Q499" s="206" t="str">
        <f>IFERROR(VLOOKUP(C499,TD!$B$32:$F$36,3,0)," ")</f>
        <v>4503</v>
      </c>
      <c r="R499" s="206">
        <f>IFERROR(VLOOKUP(C499,TD!$B$32:$F$36,4,0)," ")</f>
        <v>20240255</v>
      </c>
      <c r="S499" s="200" t="s">
        <v>185</v>
      </c>
      <c r="T499" s="206" t="str">
        <f>IFERROR(VLOOKUP(S499,TD!$J$33:$K$43,2,0)," ")</f>
        <v>Infraestructura física, mantenimiento y dotación (Sedes construidas, mantenidas reforzadas)</v>
      </c>
      <c r="U499" s="161" t="str">
        <f>CONCATENATE(S499,"-",T499)</f>
        <v>08-Infraestructura física, mantenimiento y dotación (Sedes construidas, mantenidas reforzadas)</v>
      </c>
      <c r="V499" s="200" t="s">
        <v>236</v>
      </c>
      <c r="W499" s="206" t="str">
        <f>IFERROR(VLOOKUP(V499,TD!$N$33:$O$45,2,0)," ")</f>
        <v>Estaciones de bomberos adecuadas</v>
      </c>
      <c r="X499" s="161" t="str">
        <f>CONCATENATE(V499,"_",W499)</f>
        <v>014_Estaciones de bomberos adecuadas</v>
      </c>
      <c r="Y499" s="161" t="str">
        <f>CONCATENATE(U499," ",X499)</f>
        <v>08-Infraestructura física, mantenimiento y dotación (Sedes construidas, mantenidas reforzadas) 014_Estaciones de bomberos adecuadas</v>
      </c>
      <c r="Z499" s="206" t="str">
        <f>CONCATENATE(P499,Q499,R499,S499,V499)</f>
        <v>O23011745032024025508014</v>
      </c>
      <c r="AA499" s="206" t="str">
        <f>IFERROR(VLOOKUP(Y499,TD!$K$46:$L$64,2,0)," ")</f>
        <v>PM/0131/0108/45030140255</v>
      </c>
      <c r="AB499" s="205" t="s">
        <v>711</v>
      </c>
      <c r="AC499" s="207" t="s">
        <v>204</v>
      </c>
    </row>
    <row r="500" spans="2:29" s="28" customFormat="1" ht="99" customHeight="1" x14ac:dyDescent="0.35">
      <c r="B500" s="186">
        <v>20250518</v>
      </c>
      <c r="C500" s="187" t="s">
        <v>209</v>
      </c>
      <c r="D500" s="188" t="s">
        <v>166</v>
      </c>
      <c r="E500" s="189" t="s">
        <v>592</v>
      </c>
      <c r="F500" s="188" t="s">
        <v>635</v>
      </c>
      <c r="G500" s="188" t="s">
        <v>140</v>
      </c>
      <c r="H500" s="190" t="s">
        <v>631</v>
      </c>
      <c r="I500" s="191">
        <v>4</v>
      </c>
      <c r="J500" s="191">
        <v>10</v>
      </c>
      <c r="K500" s="192">
        <v>0</v>
      </c>
      <c r="L500" s="193">
        <v>1000000</v>
      </c>
      <c r="M500" s="188" t="s">
        <v>473</v>
      </c>
      <c r="N500" s="194" t="s">
        <v>108</v>
      </c>
      <c r="O500" s="189" t="s">
        <v>227</v>
      </c>
      <c r="P500" s="195" t="str">
        <f>IFERROR(VLOOKUP(C500,TD!$B$32:$F$36,2,0)," ")</f>
        <v>O230117</v>
      </c>
      <c r="Q500" s="195" t="str">
        <f>IFERROR(VLOOKUP(C500,TD!$B$32:$F$36,3,0)," ")</f>
        <v>4503</v>
      </c>
      <c r="R500" s="195">
        <f>IFERROR(VLOOKUP(C500,TD!$B$32:$F$36,4,0)," ")</f>
        <v>20240255</v>
      </c>
      <c r="S500" s="189" t="s">
        <v>185</v>
      </c>
      <c r="T500" s="195" t="str">
        <f>IFERROR(VLOOKUP(S500,TD!$J$33:$K$43,2,0)," ")</f>
        <v>Infraestructura física, mantenimiento y dotación (Sedes construidas, mantenidas reforzadas)</v>
      </c>
      <c r="U500" s="161" t="str">
        <f>CONCATENATE(S500,"-",T500)</f>
        <v>08-Infraestructura física, mantenimiento y dotación (Sedes construidas, mantenidas reforzadas)</v>
      </c>
      <c r="V500" s="189" t="s">
        <v>236</v>
      </c>
      <c r="W500" s="195" t="str">
        <f>IFERROR(VLOOKUP(V500,TD!$N$33:$O$45,2,0)," ")</f>
        <v>Estaciones de bomberos adecuadas</v>
      </c>
      <c r="X500" s="161" t="str">
        <f>CONCATENATE(V500,"_",W500)</f>
        <v>014_Estaciones de bomberos adecuadas</v>
      </c>
      <c r="Y500" s="161" t="str">
        <f>CONCATENATE(U500," ",X500)</f>
        <v>08-Infraestructura física, mantenimiento y dotación (Sedes construidas, mantenidas reforzadas) 014_Estaciones de bomberos adecuadas</v>
      </c>
      <c r="Z500" s="195" t="str">
        <f>CONCATENATE(P500,Q500,R500,S500,V500)</f>
        <v>O23011745032024025508014</v>
      </c>
      <c r="AA500" s="195" t="str">
        <f>IFERROR(VLOOKUP(Y500,TD!$K$46:$L$64,2,0)," ")</f>
        <v>PM/0131/0108/45030140255</v>
      </c>
      <c r="AB500" s="194" t="s">
        <v>711</v>
      </c>
      <c r="AC500" s="196" t="s">
        <v>204</v>
      </c>
    </row>
    <row r="501" spans="2:29" s="28" customFormat="1" ht="99" customHeight="1" x14ac:dyDescent="0.35">
      <c r="B501" s="77">
        <v>20250519</v>
      </c>
      <c r="C501" s="50" t="s">
        <v>209</v>
      </c>
      <c r="D501" s="158" t="s">
        <v>166</v>
      </c>
      <c r="E501" s="51" t="s">
        <v>592</v>
      </c>
      <c r="F501" s="158" t="s">
        <v>693</v>
      </c>
      <c r="G501" s="158" t="s">
        <v>101</v>
      </c>
      <c r="H501" s="97" t="s">
        <v>634</v>
      </c>
      <c r="I501" s="159">
        <v>4</v>
      </c>
      <c r="J501" s="159">
        <v>10</v>
      </c>
      <c r="K501" s="52">
        <v>0</v>
      </c>
      <c r="L501" s="153">
        <v>200000000</v>
      </c>
      <c r="M501" s="158" t="s">
        <v>473</v>
      </c>
      <c r="N501" s="53" t="s">
        <v>108</v>
      </c>
      <c r="O501" s="51" t="s">
        <v>227</v>
      </c>
      <c r="P501" s="160" t="str">
        <f>IFERROR(VLOOKUP(C501,TD!$B$32:$F$36,2,0)," ")</f>
        <v>O230117</v>
      </c>
      <c r="Q501" s="160" t="str">
        <f>IFERROR(VLOOKUP(C501,TD!$B$32:$F$36,3,0)," ")</f>
        <v>4503</v>
      </c>
      <c r="R501" s="160">
        <f>IFERROR(VLOOKUP(C501,TD!$B$32:$F$36,4,0)," ")</f>
        <v>20240255</v>
      </c>
      <c r="S501" s="51" t="s">
        <v>185</v>
      </c>
      <c r="T501" s="160" t="str">
        <f>IFERROR(VLOOKUP(S501,TD!$J$33:$K$43,2,0)," ")</f>
        <v>Infraestructura física, mantenimiento y dotación (Sedes construidas, mantenidas reforzadas)</v>
      </c>
      <c r="U501" s="161" t="str">
        <f>CONCATENATE(S501,"-",T501)</f>
        <v>08-Infraestructura física, mantenimiento y dotación (Sedes construidas, mantenidas reforzadas)</v>
      </c>
      <c r="V501" s="51" t="s">
        <v>236</v>
      </c>
      <c r="W501" s="160" t="str">
        <f>IFERROR(VLOOKUP(V501,TD!$N$33:$O$45,2,0)," ")</f>
        <v>Estaciones de bomberos adecuadas</v>
      </c>
      <c r="X501" s="161" t="str">
        <f>CONCATENATE(V501,"_",W501)</f>
        <v>014_Estaciones de bomberos adecuadas</v>
      </c>
      <c r="Y501" s="161" t="str">
        <f>CONCATENATE(U501," ",X501)</f>
        <v>08-Infraestructura física, mantenimiento y dotación (Sedes construidas, mantenidas reforzadas) 014_Estaciones de bomberos adecuadas</v>
      </c>
      <c r="Z501" s="160" t="str">
        <f>CONCATENATE(P501,Q501,R501,S501,V501)</f>
        <v>O23011745032024025508014</v>
      </c>
      <c r="AA501" s="160" t="str">
        <f>IFERROR(VLOOKUP(Y501,TD!$K$46:$L$64,2,0)," ")</f>
        <v>PM/0131/0108/45030140255</v>
      </c>
      <c r="AB501" s="53" t="s">
        <v>711</v>
      </c>
      <c r="AC501" s="162" t="s">
        <v>204</v>
      </c>
    </row>
    <row r="502" spans="2:29" s="28" customFormat="1" ht="99" customHeight="1" x14ac:dyDescent="0.35">
      <c r="B502" s="77">
        <v>20250520</v>
      </c>
      <c r="C502" s="50" t="s">
        <v>209</v>
      </c>
      <c r="D502" s="158" t="s">
        <v>166</v>
      </c>
      <c r="E502" s="51" t="s">
        <v>592</v>
      </c>
      <c r="F502" s="158" t="s">
        <v>694</v>
      </c>
      <c r="G502" s="158" t="s">
        <v>140</v>
      </c>
      <c r="H502" s="97" t="s">
        <v>631</v>
      </c>
      <c r="I502" s="159">
        <v>4</v>
      </c>
      <c r="J502" s="159">
        <v>10</v>
      </c>
      <c r="K502" s="52">
        <v>0</v>
      </c>
      <c r="L502" s="153">
        <v>150000000</v>
      </c>
      <c r="M502" s="158" t="s">
        <v>473</v>
      </c>
      <c r="N502" s="53" t="s">
        <v>108</v>
      </c>
      <c r="O502" s="51" t="s">
        <v>227</v>
      </c>
      <c r="P502" s="160" t="str">
        <f>IFERROR(VLOOKUP(C502,TD!$B$32:$F$36,2,0)," ")</f>
        <v>O230117</v>
      </c>
      <c r="Q502" s="160" t="str">
        <f>IFERROR(VLOOKUP(C502,TD!$B$32:$F$36,3,0)," ")</f>
        <v>4503</v>
      </c>
      <c r="R502" s="160">
        <f>IFERROR(VLOOKUP(C502,TD!$B$32:$F$36,4,0)," ")</f>
        <v>20240255</v>
      </c>
      <c r="S502" s="51" t="s">
        <v>185</v>
      </c>
      <c r="T502" s="160" t="str">
        <f>IFERROR(VLOOKUP(S502,TD!$J$33:$K$43,2,0)," ")</f>
        <v>Infraestructura física, mantenimiento y dotación (Sedes construidas, mantenidas reforzadas)</v>
      </c>
      <c r="U502" s="161" t="str">
        <f>CONCATENATE(S502,"-",T502)</f>
        <v>08-Infraestructura física, mantenimiento y dotación (Sedes construidas, mantenidas reforzadas)</v>
      </c>
      <c r="V502" s="51" t="s">
        <v>236</v>
      </c>
      <c r="W502" s="160" t="str">
        <f>IFERROR(VLOOKUP(V502,TD!$N$33:$O$45,2,0)," ")</f>
        <v>Estaciones de bomberos adecuadas</v>
      </c>
      <c r="X502" s="161" t="str">
        <f>CONCATENATE(V502,"_",W502)</f>
        <v>014_Estaciones de bomberos adecuadas</v>
      </c>
      <c r="Y502" s="161" t="str">
        <f>CONCATENATE(U502," ",X502)</f>
        <v>08-Infraestructura física, mantenimiento y dotación (Sedes construidas, mantenidas reforzadas) 014_Estaciones de bomberos adecuadas</v>
      </c>
      <c r="Z502" s="160" t="str">
        <f>CONCATENATE(P502,Q502,R502,S502,V502)</f>
        <v>O23011745032024025508014</v>
      </c>
      <c r="AA502" s="160" t="str">
        <f>IFERROR(VLOOKUP(Y502,TD!$K$46:$L$64,2,0)," ")</f>
        <v>PM/0131/0108/45030140255</v>
      </c>
      <c r="AB502" s="53" t="s">
        <v>711</v>
      </c>
      <c r="AC502" s="162" t="s">
        <v>204</v>
      </c>
    </row>
    <row r="503" spans="2:29" s="28" customFormat="1" ht="99" customHeight="1" x14ac:dyDescent="0.35">
      <c r="B503" s="77">
        <v>20250521</v>
      </c>
      <c r="C503" s="50" t="s">
        <v>209</v>
      </c>
      <c r="D503" s="158" t="s">
        <v>166</v>
      </c>
      <c r="E503" s="51" t="s">
        <v>592</v>
      </c>
      <c r="F503" s="158" t="s">
        <v>636</v>
      </c>
      <c r="G503" s="158" t="s">
        <v>101</v>
      </c>
      <c r="H503" s="97" t="s">
        <v>634</v>
      </c>
      <c r="I503" s="159">
        <v>4</v>
      </c>
      <c r="J503" s="159">
        <v>10</v>
      </c>
      <c r="K503" s="52">
        <v>0</v>
      </c>
      <c r="L503" s="153">
        <v>500000000</v>
      </c>
      <c r="M503" s="158" t="s">
        <v>473</v>
      </c>
      <c r="N503" s="53" t="s">
        <v>108</v>
      </c>
      <c r="O503" s="51" t="s">
        <v>227</v>
      </c>
      <c r="P503" s="160" t="str">
        <f>IFERROR(VLOOKUP(C503,TD!$B$32:$F$36,2,0)," ")</f>
        <v>O230117</v>
      </c>
      <c r="Q503" s="160" t="str">
        <f>IFERROR(VLOOKUP(C503,TD!$B$32:$F$36,3,0)," ")</f>
        <v>4503</v>
      </c>
      <c r="R503" s="160">
        <f>IFERROR(VLOOKUP(C503,TD!$B$32:$F$36,4,0)," ")</f>
        <v>20240255</v>
      </c>
      <c r="S503" s="51" t="s">
        <v>185</v>
      </c>
      <c r="T503" s="160" t="str">
        <f>IFERROR(VLOOKUP(S503,TD!$J$33:$K$43,2,0)," ")</f>
        <v>Infraestructura física, mantenimiento y dotación (Sedes construidas, mantenidas reforzadas)</v>
      </c>
      <c r="U503" s="161" t="str">
        <f>CONCATENATE(S503,"-",T503)</f>
        <v>08-Infraestructura física, mantenimiento y dotación (Sedes construidas, mantenidas reforzadas)</v>
      </c>
      <c r="V503" s="51" t="s">
        <v>236</v>
      </c>
      <c r="W503" s="160" t="str">
        <f>IFERROR(VLOOKUP(V503,TD!$N$33:$O$45,2,0)," ")</f>
        <v>Estaciones de bomberos adecuadas</v>
      </c>
      <c r="X503" s="161" t="str">
        <f>CONCATENATE(V503,"_",W503)</f>
        <v>014_Estaciones de bomberos adecuadas</v>
      </c>
      <c r="Y503" s="161" t="str">
        <f>CONCATENATE(U503," ",X503)</f>
        <v>08-Infraestructura física, mantenimiento y dotación (Sedes construidas, mantenidas reforzadas) 014_Estaciones de bomberos adecuadas</v>
      </c>
      <c r="Z503" s="160" t="str">
        <f>CONCATENATE(P503,Q503,R503,S503,V503)</f>
        <v>O23011745032024025508014</v>
      </c>
      <c r="AA503" s="160" t="str">
        <f>IFERROR(VLOOKUP(Y503,TD!$K$46:$L$64,2,0)," ")</f>
        <v>PM/0131/0108/45030140255</v>
      </c>
      <c r="AB503" s="53" t="s">
        <v>711</v>
      </c>
      <c r="AC503" s="162" t="s">
        <v>204</v>
      </c>
    </row>
    <row r="504" spans="2:29" s="28" customFormat="1" ht="99" customHeight="1" x14ac:dyDescent="0.35">
      <c r="B504" s="77">
        <v>20250522</v>
      </c>
      <c r="C504" s="50" t="s">
        <v>209</v>
      </c>
      <c r="D504" s="158" t="s">
        <v>166</v>
      </c>
      <c r="E504" s="51" t="s">
        <v>592</v>
      </c>
      <c r="F504" s="158" t="s">
        <v>637</v>
      </c>
      <c r="G504" s="158" t="s">
        <v>140</v>
      </c>
      <c r="H504" s="97" t="s">
        <v>631</v>
      </c>
      <c r="I504" s="159">
        <v>4</v>
      </c>
      <c r="J504" s="159">
        <v>10</v>
      </c>
      <c r="K504" s="52">
        <v>0</v>
      </c>
      <c r="L504" s="153">
        <v>150000000</v>
      </c>
      <c r="M504" s="158" t="s">
        <v>473</v>
      </c>
      <c r="N504" s="53" t="s">
        <v>108</v>
      </c>
      <c r="O504" s="51" t="s">
        <v>227</v>
      </c>
      <c r="P504" s="160" t="str">
        <f>IFERROR(VLOOKUP(C504,TD!$B$32:$F$36,2,0)," ")</f>
        <v>O230117</v>
      </c>
      <c r="Q504" s="160" t="str">
        <f>IFERROR(VLOOKUP(C504,TD!$B$32:$F$36,3,0)," ")</f>
        <v>4503</v>
      </c>
      <c r="R504" s="160">
        <f>IFERROR(VLOOKUP(C504,TD!$B$32:$F$36,4,0)," ")</f>
        <v>20240255</v>
      </c>
      <c r="S504" s="51" t="s">
        <v>185</v>
      </c>
      <c r="T504" s="160" t="str">
        <f>IFERROR(VLOOKUP(S504,TD!$J$33:$K$43,2,0)," ")</f>
        <v>Infraestructura física, mantenimiento y dotación (Sedes construidas, mantenidas reforzadas)</v>
      </c>
      <c r="U504" s="161" t="str">
        <f>CONCATENATE(S504,"-",T504)</f>
        <v>08-Infraestructura física, mantenimiento y dotación (Sedes construidas, mantenidas reforzadas)</v>
      </c>
      <c r="V504" s="51" t="s">
        <v>236</v>
      </c>
      <c r="W504" s="160" t="str">
        <f>IFERROR(VLOOKUP(V504,TD!$N$33:$O$45,2,0)," ")</f>
        <v>Estaciones de bomberos adecuadas</v>
      </c>
      <c r="X504" s="161" t="str">
        <f>CONCATENATE(V504,"_",W504)</f>
        <v>014_Estaciones de bomberos adecuadas</v>
      </c>
      <c r="Y504" s="161" t="str">
        <f>CONCATENATE(U504," ",X504)</f>
        <v>08-Infraestructura física, mantenimiento y dotación (Sedes construidas, mantenidas reforzadas) 014_Estaciones de bomberos adecuadas</v>
      </c>
      <c r="Z504" s="160" t="str">
        <f>CONCATENATE(P504,Q504,R504,S504,V504)</f>
        <v>O23011745032024025508014</v>
      </c>
      <c r="AA504" s="160" t="str">
        <f>IFERROR(VLOOKUP(Y504,TD!$K$46:$L$64,2,0)," ")</f>
        <v>PM/0131/0108/45030140255</v>
      </c>
      <c r="AB504" s="53" t="s">
        <v>711</v>
      </c>
      <c r="AC504" s="162" t="s">
        <v>204</v>
      </c>
    </row>
    <row r="505" spans="2:29" s="28" customFormat="1" ht="99" customHeight="1" x14ac:dyDescent="0.35">
      <c r="B505" s="186">
        <v>20250523</v>
      </c>
      <c r="C505" s="187" t="s">
        <v>209</v>
      </c>
      <c r="D505" s="188" t="s">
        <v>166</v>
      </c>
      <c r="E505" s="189" t="s">
        <v>592</v>
      </c>
      <c r="F505" s="188" t="s">
        <v>966</v>
      </c>
      <c r="G505" s="188" t="s">
        <v>105</v>
      </c>
      <c r="H505" s="190" t="s">
        <v>638</v>
      </c>
      <c r="I505" s="191">
        <v>8</v>
      </c>
      <c r="J505" s="191">
        <v>20</v>
      </c>
      <c r="K505" s="192">
        <v>0</v>
      </c>
      <c r="L505" s="193">
        <v>7629266116</v>
      </c>
      <c r="M505" s="188" t="s">
        <v>473</v>
      </c>
      <c r="N505" s="194" t="s">
        <v>85</v>
      </c>
      <c r="O505" s="189" t="s">
        <v>227</v>
      </c>
      <c r="P505" s="195" t="str">
        <f>IFERROR(VLOOKUP(C505,TD!$B$32:$F$36,2,0)," ")</f>
        <v>O230117</v>
      </c>
      <c r="Q505" s="195" t="str">
        <f>IFERROR(VLOOKUP(C505,TD!$B$32:$F$36,3,0)," ")</f>
        <v>4503</v>
      </c>
      <c r="R505" s="195">
        <f>IFERROR(VLOOKUP(C505,TD!$B$32:$F$36,4,0)," ")</f>
        <v>20240255</v>
      </c>
      <c r="S505" s="189" t="s">
        <v>185</v>
      </c>
      <c r="T505" s="195" t="str">
        <f>IFERROR(VLOOKUP(S505,TD!$J$33:$K$43,2,0)," ")</f>
        <v>Infraestructura física, mantenimiento y dotación (Sedes construidas, mantenidas reforzadas)</v>
      </c>
      <c r="U505" s="161" t="str">
        <f>CONCATENATE(S505,"-",T505)</f>
        <v>08-Infraestructura física, mantenimiento y dotación (Sedes construidas, mantenidas reforzadas)</v>
      </c>
      <c r="V505" s="189" t="s">
        <v>236</v>
      </c>
      <c r="W505" s="195" t="str">
        <f>IFERROR(VLOOKUP(V505,TD!$N$33:$O$45,2,0)," ")</f>
        <v>Estaciones de bomberos adecuadas</v>
      </c>
      <c r="X505" s="161" t="str">
        <f>CONCATENATE(V505,"_",W505)</f>
        <v>014_Estaciones de bomberos adecuadas</v>
      </c>
      <c r="Y505" s="161" t="str">
        <f>CONCATENATE(U505," ",X505)</f>
        <v>08-Infraestructura física, mantenimiento y dotación (Sedes construidas, mantenidas reforzadas) 014_Estaciones de bomberos adecuadas</v>
      </c>
      <c r="Z505" s="195" t="str">
        <f>CONCATENATE(P505,Q505,R505,S505,V505)</f>
        <v>O23011745032024025508014</v>
      </c>
      <c r="AA505" s="195" t="str">
        <f>IFERROR(VLOOKUP(Y505,TD!$K$46:$L$64,2,0)," ")</f>
        <v>PM/0131/0108/45030140255</v>
      </c>
      <c r="AB505" s="194" t="s">
        <v>711</v>
      </c>
      <c r="AC505" s="196" t="s">
        <v>204</v>
      </c>
    </row>
    <row r="506" spans="2:29" s="28" customFormat="1" ht="99" customHeight="1" x14ac:dyDescent="0.35">
      <c r="B506" s="186">
        <v>20250524</v>
      </c>
      <c r="C506" s="187" t="s">
        <v>209</v>
      </c>
      <c r="D506" s="188" t="s">
        <v>166</v>
      </c>
      <c r="E506" s="189" t="s">
        <v>592</v>
      </c>
      <c r="F506" s="188" t="s">
        <v>967</v>
      </c>
      <c r="G506" s="188" t="s">
        <v>140</v>
      </c>
      <c r="H506" s="190" t="s">
        <v>639</v>
      </c>
      <c r="I506" s="191">
        <v>8</v>
      </c>
      <c r="J506" s="191">
        <v>20</v>
      </c>
      <c r="K506" s="192">
        <v>0</v>
      </c>
      <c r="L506" s="193">
        <v>392000000</v>
      </c>
      <c r="M506" s="188" t="s">
        <v>473</v>
      </c>
      <c r="N506" s="194" t="s">
        <v>108</v>
      </c>
      <c r="O506" s="189" t="s">
        <v>227</v>
      </c>
      <c r="P506" s="195" t="str">
        <f>IFERROR(VLOOKUP(C506,TD!$B$32:$F$36,2,0)," ")</f>
        <v>O230117</v>
      </c>
      <c r="Q506" s="195" t="str">
        <f>IFERROR(VLOOKUP(C506,TD!$B$32:$F$36,3,0)," ")</f>
        <v>4503</v>
      </c>
      <c r="R506" s="195">
        <f>IFERROR(VLOOKUP(C506,TD!$B$32:$F$36,4,0)," ")</f>
        <v>20240255</v>
      </c>
      <c r="S506" s="189" t="s">
        <v>185</v>
      </c>
      <c r="T506" s="195" t="str">
        <f>IFERROR(VLOOKUP(S506,TD!$J$33:$K$43,2,0)," ")</f>
        <v>Infraestructura física, mantenimiento y dotación (Sedes construidas, mantenidas reforzadas)</v>
      </c>
      <c r="U506" s="161" t="str">
        <f>CONCATENATE(S506,"-",T506)</f>
        <v>08-Infraestructura física, mantenimiento y dotación (Sedes construidas, mantenidas reforzadas)</v>
      </c>
      <c r="V506" s="189" t="s">
        <v>236</v>
      </c>
      <c r="W506" s="195" t="str">
        <f>IFERROR(VLOOKUP(V506,TD!$N$33:$O$45,2,0)," ")</f>
        <v>Estaciones de bomberos adecuadas</v>
      </c>
      <c r="X506" s="161" t="str">
        <f>CONCATENATE(V506,"_",W506)</f>
        <v>014_Estaciones de bomberos adecuadas</v>
      </c>
      <c r="Y506" s="161" t="str">
        <f>CONCATENATE(U506," ",X506)</f>
        <v>08-Infraestructura física, mantenimiento y dotación (Sedes construidas, mantenidas reforzadas) 014_Estaciones de bomberos adecuadas</v>
      </c>
      <c r="Z506" s="195" t="str">
        <f>CONCATENATE(P506,Q506,R506,S506,V506)</f>
        <v>O23011745032024025508014</v>
      </c>
      <c r="AA506" s="195" t="str">
        <f>IFERROR(VLOOKUP(Y506,TD!$K$46:$L$64,2,0)," ")</f>
        <v>PM/0131/0108/45030140255</v>
      </c>
      <c r="AB506" s="194" t="s">
        <v>711</v>
      </c>
      <c r="AC506" s="196" t="s">
        <v>204</v>
      </c>
    </row>
    <row r="507" spans="2:29" s="28" customFormat="1" ht="99" customHeight="1" x14ac:dyDescent="0.35">
      <c r="B507" s="77">
        <v>20250525</v>
      </c>
      <c r="C507" s="50" t="s">
        <v>208</v>
      </c>
      <c r="D507" s="158" t="s">
        <v>166</v>
      </c>
      <c r="E507" s="51" t="s">
        <v>592</v>
      </c>
      <c r="F507" s="158" t="s">
        <v>783</v>
      </c>
      <c r="G507" s="158" t="s">
        <v>155</v>
      </c>
      <c r="H507" s="97" t="s">
        <v>648</v>
      </c>
      <c r="I507" s="159">
        <v>2</v>
      </c>
      <c r="J507" s="159">
        <v>11</v>
      </c>
      <c r="K507" s="52">
        <v>0</v>
      </c>
      <c r="L507" s="153">
        <v>112237664</v>
      </c>
      <c r="M507" s="158" t="s">
        <v>473</v>
      </c>
      <c r="N507" s="53" t="s">
        <v>649</v>
      </c>
      <c r="O507" s="51" t="s">
        <v>218</v>
      </c>
      <c r="P507" s="160" t="str">
        <f>IFERROR(VLOOKUP(C507,TD!$B$32:$F$36,2,0)," ")</f>
        <v>O230117</v>
      </c>
      <c r="Q507" s="160" t="str">
        <f>IFERROR(VLOOKUP(C507,TD!$B$32:$F$36,3,0)," ")</f>
        <v>4599</v>
      </c>
      <c r="R507" s="160">
        <f>IFERROR(VLOOKUP(C507,TD!$B$32:$F$36,4,0)," ")</f>
        <v>20240207</v>
      </c>
      <c r="S507" s="51" t="s">
        <v>185</v>
      </c>
      <c r="T507" s="160" t="str">
        <f>IFERROR(VLOOKUP(S507,TD!$J$33:$K$43,2,0)," ")</f>
        <v>Infraestructura física, mantenimiento y dotación (Sedes construidas, mantenidas reforzadas)</v>
      </c>
      <c r="U507" s="161" t="str">
        <f>CONCATENATE(S507,"-",T507)</f>
        <v>08-Infraestructura física, mantenimiento y dotación (Sedes construidas, mantenidas reforzadas)</v>
      </c>
      <c r="V507" s="51" t="s">
        <v>238</v>
      </c>
      <c r="W507" s="160" t="str">
        <f>IFERROR(VLOOKUP(V507,TD!$N$33:$O$45,2,0)," ")</f>
        <v>Sedes mantenidas</v>
      </c>
      <c r="X507" s="161" t="str">
        <f>CONCATENATE(V507,"_",W507)</f>
        <v>016_Sedes mantenidas</v>
      </c>
      <c r="Y507" s="161" t="str">
        <f>CONCATENATE(U507," ",X507)</f>
        <v>08-Infraestructura física, mantenimiento y dotación (Sedes construidas, mantenidas reforzadas) 016_Sedes mantenidas</v>
      </c>
      <c r="Z507" s="160" t="str">
        <f>CONCATENATE(P507,Q507,R507,S507,V507)</f>
        <v>O23011745992024020708016</v>
      </c>
      <c r="AA507" s="160" t="str">
        <f>IFERROR(VLOOKUP(Y507,TD!$K$46:$L$64,2,0)," ")</f>
        <v>PM/0131/0108/45990160207</v>
      </c>
      <c r="AB507" s="53" t="s">
        <v>138</v>
      </c>
      <c r="AC507" s="162" t="s">
        <v>204</v>
      </c>
    </row>
    <row r="508" spans="2:29" s="28" customFormat="1" ht="99" customHeight="1" x14ac:dyDescent="0.35">
      <c r="B508" s="77">
        <v>20250526</v>
      </c>
      <c r="C508" s="50" t="s">
        <v>208</v>
      </c>
      <c r="D508" s="158" t="s">
        <v>166</v>
      </c>
      <c r="E508" s="51" t="s">
        <v>592</v>
      </c>
      <c r="F508" s="158" t="s">
        <v>613</v>
      </c>
      <c r="G508" s="158" t="s">
        <v>156</v>
      </c>
      <c r="H508" s="97" t="s">
        <v>648</v>
      </c>
      <c r="I508" s="159">
        <v>2</v>
      </c>
      <c r="J508" s="159">
        <v>11</v>
      </c>
      <c r="K508" s="52">
        <v>0</v>
      </c>
      <c r="L508" s="153">
        <v>33534424</v>
      </c>
      <c r="M508" s="158" t="s">
        <v>473</v>
      </c>
      <c r="N508" s="53" t="s">
        <v>649</v>
      </c>
      <c r="O508" s="51" t="s">
        <v>218</v>
      </c>
      <c r="P508" s="160" t="str">
        <f>IFERROR(VLOOKUP(C508,TD!$B$32:$F$36,2,0)," ")</f>
        <v>O230117</v>
      </c>
      <c r="Q508" s="160" t="str">
        <f>IFERROR(VLOOKUP(C508,TD!$B$32:$F$36,3,0)," ")</f>
        <v>4599</v>
      </c>
      <c r="R508" s="160">
        <f>IFERROR(VLOOKUP(C508,TD!$B$32:$F$36,4,0)," ")</f>
        <v>20240207</v>
      </c>
      <c r="S508" s="51" t="s">
        <v>185</v>
      </c>
      <c r="T508" s="160" t="str">
        <f>IFERROR(VLOOKUP(S508,TD!$J$33:$K$43,2,0)," ")</f>
        <v>Infraestructura física, mantenimiento y dotación (Sedes construidas, mantenidas reforzadas)</v>
      </c>
      <c r="U508" s="161" t="str">
        <f>CONCATENATE(S508,"-",T508)</f>
        <v>08-Infraestructura física, mantenimiento y dotación (Sedes construidas, mantenidas reforzadas)</v>
      </c>
      <c r="V508" s="51" t="s">
        <v>238</v>
      </c>
      <c r="W508" s="160" t="str">
        <f>IFERROR(VLOOKUP(V508,TD!$N$33:$O$45,2,0)," ")</f>
        <v>Sedes mantenidas</v>
      </c>
      <c r="X508" s="161" t="str">
        <f>CONCATENATE(V508,"_",W508)</f>
        <v>016_Sedes mantenidas</v>
      </c>
      <c r="Y508" s="161" t="str">
        <f>CONCATENATE(U508," ",X508)</f>
        <v>08-Infraestructura física, mantenimiento y dotación (Sedes construidas, mantenidas reforzadas) 016_Sedes mantenidas</v>
      </c>
      <c r="Z508" s="160" t="str">
        <f>CONCATENATE(P508,Q508,R508,S508,V508)</f>
        <v>O23011745992024020708016</v>
      </c>
      <c r="AA508" s="160" t="str">
        <f>IFERROR(VLOOKUP(Y508,TD!$K$46:$L$64,2,0)," ")</f>
        <v>PM/0131/0108/45990160207</v>
      </c>
      <c r="AB508" s="53" t="s">
        <v>138</v>
      </c>
      <c r="AC508" s="162" t="s">
        <v>204</v>
      </c>
    </row>
    <row r="509" spans="2:29" s="28" customFormat="1" ht="99" customHeight="1" x14ac:dyDescent="0.35">
      <c r="B509" s="77">
        <v>20250527</v>
      </c>
      <c r="C509" s="50" t="s">
        <v>208</v>
      </c>
      <c r="D509" s="158" t="s">
        <v>166</v>
      </c>
      <c r="E509" s="51" t="s">
        <v>592</v>
      </c>
      <c r="F509" s="158" t="s">
        <v>613</v>
      </c>
      <c r="G509" s="158" t="s">
        <v>156</v>
      </c>
      <c r="H509" s="97" t="s">
        <v>648</v>
      </c>
      <c r="I509" s="159">
        <v>2</v>
      </c>
      <c r="J509" s="159">
        <v>11</v>
      </c>
      <c r="K509" s="52">
        <v>0</v>
      </c>
      <c r="L509" s="153">
        <v>33534424</v>
      </c>
      <c r="M509" s="158" t="s">
        <v>473</v>
      </c>
      <c r="N509" s="53" t="s">
        <v>649</v>
      </c>
      <c r="O509" s="51" t="s">
        <v>218</v>
      </c>
      <c r="P509" s="160" t="str">
        <f>IFERROR(VLOOKUP(C509,TD!$B$32:$F$36,2,0)," ")</f>
        <v>O230117</v>
      </c>
      <c r="Q509" s="160" t="str">
        <f>IFERROR(VLOOKUP(C509,TD!$B$32:$F$36,3,0)," ")</f>
        <v>4599</v>
      </c>
      <c r="R509" s="160">
        <f>IFERROR(VLOOKUP(C509,TD!$B$32:$F$36,4,0)," ")</f>
        <v>20240207</v>
      </c>
      <c r="S509" s="51" t="s">
        <v>185</v>
      </c>
      <c r="T509" s="160" t="str">
        <f>IFERROR(VLOOKUP(S509,TD!$J$33:$K$43,2,0)," ")</f>
        <v>Infraestructura física, mantenimiento y dotación (Sedes construidas, mantenidas reforzadas)</v>
      </c>
      <c r="U509" s="161" t="str">
        <f>CONCATENATE(S509,"-",T509)</f>
        <v>08-Infraestructura física, mantenimiento y dotación (Sedes construidas, mantenidas reforzadas)</v>
      </c>
      <c r="V509" s="51" t="s">
        <v>238</v>
      </c>
      <c r="W509" s="160" t="str">
        <f>IFERROR(VLOOKUP(V509,TD!$N$33:$O$45,2,0)," ")</f>
        <v>Sedes mantenidas</v>
      </c>
      <c r="X509" s="161" t="str">
        <f>CONCATENATE(V509,"_",W509)</f>
        <v>016_Sedes mantenidas</v>
      </c>
      <c r="Y509" s="161" t="str">
        <f>CONCATENATE(U509," ",X509)</f>
        <v>08-Infraestructura física, mantenimiento y dotación (Sedes construidas, mantenidas reforzadas) 016_Sedes mantenidas</v>
      </c>
      <c r="Z509" s="160" t="str">
        <f>CONCATENATE(P509,Q509,R509,S509,V509)</f>
        <v>O23011745992024020708016</v>
      </c>
      <c r="AA509" s="160" t="str">
        <f>IFERROR(VLOOKUP(Y509,TD!$K$46:$L$64,2,0)," ")</f>
        <v>PM/0131/0108/45990160207</v>
      </c>
      <c r="AB509" s="53" t="s">
        <v>138</v>
      </c>
      <c r="AC509" s="162" t="s">
        <v>204</v>
      </c>
    </row>
    <row r="510" spans="2:29" s="28" customFormat="1" ht="99" customHeight="1" x14ac:dyDescent="0.35">
      <c r="B510" s="77">
        <v>20250528</v>
      </c>
      <c r="C510" s="50" t="s">
        <v>208</v>
      </c>
      <c r="D510" s="158" t="s">
        <v>166</v>
      </c>
      <c r="E510" s="51" t="s">
        <v>592</v>
      </c>
      <c r="F510" s="158" t="s">
        <v>613</v>
      </c>
      <c r="G510" s="158" t="s">
        <v>156</v>
      </c>
      <c r="H510" s="97" t="s">
        <v>648</v>
      </c>
      <c r="I510" s="159">
        <v>2</v>
      </c>
      <c r="J510" s="159">
        <v>11</v>
      </c>
      <c r="K510" s="52">
        <v>0</v>
      </c>
      <c r="L510" s="153">
        <v>33534424</v>
      </c>
      <c r="M510" s="158" t="s">
        <v>473</v>
      </c>
      <c r="N510" s="53" t="s">
        <v>649</v>
      </c>
      <c r="O510" s="51" t="s">
        <v>218</v>
      </c>
      <c r="P510" s="160" t="str">
        <f>IFERROR(VLOOKUP(C510,TD!$B$32:$F$36,2,0)," ")</f>
        <v>O230117</v>
      </c>
      <c r="Q510" s="160" t="str">
        <f>IFERROR(VLOOKUP(C510,TD!$B$32:$F$36,3,0)," ")</f>
        <v>4599</v>
      </c>
      <c r="R510" s="160">
        <f>IFERROR(VLOOKUP(C510,TD!$B$32:$F$36,4,0)," ")</f>
        <v>20240207</v>
      </c>
      <c r="S510" s="51" t="s">
        <v>185</v>
      </c>
      <c r="T510" s="160" t="str">
        <f>IFERROR(VLOOKUP(S510,TD!$J$33:$K$43,2,0)," ")</f>
        <v>Infraestructura física, mantenimiento y dotación (Sedes construidas, mantenidas reforzadas)</v>
      </c>
      <c r="U510" s="161" t="str">
        <f>CONCATENATE(S510,"-",T510)</f>
        <v>08-Infraestructura física, mantenimiento y dotación (Sedes construidas, mantenidas reforzadas)</v>
      </c>
      <c r="V510" s="51" t="s">
        <v>238</v>
      </c>
      <c r="W510" s="160" t="str">
        <f>IFERROR(VLOOKUP(V510,TD!$N$33:$O$45,2,0)," ")</f>
        <v>Sedes mantenidas</v>
      </c>
      <c r="X510" s="161" t="str">
        <f>CONCATENATE(V510,"_",W510)</f>
        <v>016_Sedes mantenidas</v>
      </c>
      <c r="Y510" s="161" t="str">
        <f>CONCATENATE(U510," ",X510)</f>
        <v>08-Infraestructura física, mantenimiento y dotación (Sedes construidas, mantenidas reforzadas) 016_Sedes mantenidas</v>
      </c>
      <c r="Z510" s="160" t="str">
        <f>CONCATENATE(P510,Q510,R510,S510,V510)</f>
        <v>O23011745992024020708016</v>
      </c>
      <c r="AA510" s="160" t="str">
        <f>IFERROR(VLOOKUP(Y510,TD!$K$46:$L$64,2,0)," ")</f>
        <v>PM/0131/0108/45990160207</v>
      </c>
      <c r="AB510" s="53" t="s">
        <v>138</v>
      </c>
      <c r="AC510" s="162" t="s">
        <v>204</v>
      </c>
    </row>
    <row r="511" spans="2:29" s="28" customFormat="1" ht="99" customHeight="1" x14ac:dyDescent="0.35">
      <c r="B511" s="77">
        <v>20250529</v>
      </c>
      <c r="C511" s="50" t="s">
        <v>209</v>
      </c>
      <c r="D511" s="158" t="s">
        <v>166</v>
      </c>
      <c r="E511" s="51" t="s">
        <v>592</v>
      </c>
      <c r="F511" s="158" t="s">
        <v>784</v>
      </c>
      <c r="G511" s="158" t="s">
        <v>155</v>
      </c>
      <c r="H511" s="97" t="s">
        <v>648</v>
      </c>
      <c r="I511" s="159">
        <v>2</v>
      </c>
      <c r="J511" s="159">
        <v>11</v>
      </c>
      <c r="K511" s="52">
        <v>0</v>
      </c>
      <c r="L511" s="153">
        <v>78650000</v>
      </c>
      <c r="M511" s="158" t="s">
        <v>473</v>
      </c>
      <c r="N511" s="53" t="s">
        <v>649</v>
      </c>
      <c r="O511" s="51" t="s">
        <v>230</v>
      </c>
      <c r="P511" s="160" t="str">
        <f>IFERROR(VLOOKUP(C511,TD!$B$32:$F$36,2,0)," ")</f>
        <v>O230117</v>
      </c>
      <c r="Q511" s="160" t="str">
        <f>IFERROR(VLOOKUP(C511,TD!$B$32:$F$36,3,0)," ")</f>
        <v>4503</v>
      </c>
      <c r="R511" s="160">
        <f>IFERROR(VLOOKUP(C511,TD!$B$32:$F$36,4,0)," ")</f>
        <v>20240255</v>
      </c>
      <c r="S511" s="51" t="s">
        <v>185</v>
      </c>
      <c r="T511" s="160" t="str">
        <f>IFERROR(VLOOKUP(S511,TD!$J$33:$K$43,2,0)," ")</f>
        <v>Infraestructura física, mantenimiento y dotación (Sedes construidas, mantenidas reforzadas)</v>
      </c>
      <c r="U511" s="161" t="str">
        <f>CONCATENATE(S511,"-",T511)</f>
        <v>08-Infraestructura física, mantenimiento y dotación (Sedes construidas, mantenidas reforzadas)</v>
      </c>
      <c r="V511" s="51" t="s">
        <v>294</v>
      </c>
      <c r="W511" s="160" t="str">
        <f>IFERROR(VLOOKUP(V511,TD!$N$33:$O$45,2,0)," ")</f>
        <v>Documentos de lineamientos técnicos</v>
      </c>
      <c r="X511" s="161" t="str">
        <f>CONCATENATE(V511,"_",W511)</f>
        <v>031__Documentos de lineamientos técnicos</v>
      </c>
      <c r="Y511" s="161" t="str">
        <f>CONCATENATE(U511," ",X511)</f>
        <v>08-Infraestructura física, mantenimiento y dotación (Sedes construidas, mantenidas reforzadas) 031__Documentos de lineamientos técnicos</v>
      </c>
      <c r="Z511" s="160" t="str">
        <f>CONCATENATE(P511,Q511,R511,S511,V511)</f>
        <v>O23011745032024025508031_</v>
      </c>
      <c r="AA511" s="160" t="str">
        <f>IFERROR(VLOOKUP(Y511,TD!$K$46:$L$64,2,0)," ")</f>
        <v>PM/0131/0108/45030310255</v>
      </c>
      <c r="AB511" s="53" t="s">
        <v>120</v>
      </c>
      <c r="AC511" s="162" t="s">
        <v>204</v>
      </c>
    </row>
    <row r="512" spans="2:29" s="28" customFormat="1" ht="99" customHeight="1" x14ac:dyDescent="0.35">
      <c r="B512" s="77">
        <v>20250530</v>
      </c>
      <c r="C512" s="50" t="s">
        <v>209</v>
      </c>
      <c r="D512" s="158" t="s">
        <v>166</v>
      </c>
      <c r="E512" s="51" t="s">
        <v>592</v>
      </c>
      <c r="F512" s="158" t="s">
        <v>610</v>
      </c>
      <c r="G512" s="158" t="s">
        <v>155</v>
      </c>
      <c r="H512" s="97" t="s">
        <v>648</v>
      </c>
      <c r="I512" s="159">
        <v>2</v>
      </c>
      <c r="J512" s="159">
        <v>11</v>
      </c>
      <c r="K512" s="52">
        <v>0</v>
      </c>
      <c r="L512" s="153">
        <v>62920000</v>
      </c>
      <c r="M512" s="158" t="s">
        <v>473</v>
      </c>
      <c r="N512" s="53" t="s">
        <v>649</v>
      </c>
      <c r="O512" s="51" t="s">
        <v>227</v>
      </c>
      <c r="P512" s="160" t="str">
        <f>IFERROR(VLOOKUP(C512,TD!$B$32:$F$36,2,0)," ")</f>
        <v>O230117</v>
      </c>
      <c r="Q512" s="160" t="str">
        <f>IFERROR(VLOOKUP(C512,TD!$B$32:$F$36,3,0)," ")</f>
        <v>4503</v>
      </c>
      <c r="R512" s="160">
        <f>IFERROR(VLOOKUP(C512,TD!$B$32:$F$36,4,0)," ")</f>
        <v>20240255</v>
      </c>
      <c r="S512" s="51" t="s">
        <v>185</v>
      </c>
      <c r="T512" s="160" t="str">
        <f>IFERROR(VLOOKUP(S512,TD!$J$33:$K$43,2,0)," ")</f>
        <v>Infraestructura física, mantenimiento y dotación (Sedes construidas, mantenidas reforzadas)</v>
      </c>
      <c r="U512" s="161" t="str">
        <f>CONCATENATE(S512,"-",T512)</f>
        <v>08-Infraestructura física, mantenimiento y dotación (Sedes construidas, mantenidas reforzadas)</v>
      </c>
      <c r="V512" s="51" t="s">
        <v>236</v>
      </c>
      <c r="W512" s="160" t="str">
        <f>IFERROR(VLOOKUP(V512,TD!$N$33:$O$45,2,0)," ")</f>
        <v>Estaciones de bomberos adecuadas</v>
      </c>
      <c r="X512" s="161" t="str">
        <f>CONCATENATE(V512,"_",W512)</f>
        <v>014_Estaciones de bomberos adecuadas</v>
      </c>
      <c r="Y512" s="161" t="str">
        <f>CONCATENATE(U512," ",X512)</f>
        <v>08-Infraestructura física, mantenimiento y dotación (Sedes construidas, mantenidas reforzadas) 014_Estaciones de bomberos adecuadas</v>
      </c>
      <c r="Z512" s="160" t="str">
        <f>CONCATENATE(P512,Q512,R512,S512,V512)</f>
        <v>O23011745032024025508014</v>
      </c>
      <c r="AA512" s="160" t="str">
        <f>IFERROR(VLOOKUP(Y512,TD!$K$46:$L$64,2,0)," ")</f>
        <v>PM/0131/0108/45030140255</v>
      </c>
      <c r="AB512" s="53" t="s">
        <v>713</v>
      </c>
      <c r="AC512" s="162" t="s">
        <v>204</v>
      </c>
    </row>
    <row r="513" spans="2:29" s="28" customFormat="1" ht="99" customHeight="1" x14ac:dyDescent="0.35">
      <c r="B513" s="77">
        <v>20250531</v>
      </c>
      <c r="C513" s="50" t="s">
        <v>209</v>
      </c>
      <c r="D513" s="158" t="s">
        <v>166</v>
      </c>
      <c r="E513" s="51" t="s">
        <v>592</v>
      </c>
      <c r="F513" s="158" t="s">
        <v>626</v>
      </c>
      <c r="G513" s="158" t="s">
        <v>155</v>
      </c>
      <c r="H513" s="97" t="s">
        <v>648</v>
      </c>
      <c r="I513" s="159">
        <v>2</v>
      </c>
      <c r="J513" s="159">
        <v>11</v>
      </c>
      <c r="K513" s="52">
        <v>0</v>
      </c>
      <c r="L513" s="153">
        <v>66550000</v>
      </c>
      <c r="M513" s="158" t="s">
        <v>473</v>
      </c>
      <c r="N513" s="53" t="s">
        <v>649</v>
      </c>
      <c r="O513" s="51" t="s">
        <v>227</v>
      </c>
      <c r="P513" s="160" t="str">
        <f>IFERROR(VLOOKUP(C513,TD!$B$32:$F$36,2,0)," ")</f>
        <v>O230117</v>
      </c>
      <c r="Q513" s="160" t="str">
        <f>IFERROR(VLOOKUP(C513,TD!$B$32:$F$36,3,0)," ")</f>
        <v>4503</v>
      </c>
      <c r="R513" s="160">
        <f>IFERROR(VLOOKUP(C513,TD!$B$32:$F$36,4,0)," ")</f>
        <v>20240255</v>
      </c>
      <c r="S513" s="51" t="s">
        <v>185</v>
      </c>
      <c r="T513" s="160" t="str">
        <f>IFERROR(VLOOKUP(S513,TD!$J$33:$K$43,2,0)," ")</f>
        <v>Infraestructura física, mantenimiento y dotación (Sedes construidas, mantenidas reforzadas)</v>
      </c>
      <c r="U513" s="161" t="str">
        <f>CONCATENATE(S513,"-",T513)</f>
        <v>08-Infraestructura física, mantenimiento y dotación (Sedes construidas, mantenidas reforzadas)</v>
      </c>
      <c r="V513" s="51" t="s">
        <v>236</v>
      </c>
      <c r="W513" s="160" t="str">
        <f>IFERROR(VLOOKUP(V513,TD!$N$33:$O$45,2,0)," ")</f>
        <v>Estaciones de bomberos adecuadas</v>
      </c>
      <c r="X513" s="161" t="str">
        <f>CONCATENATE(V513,"_",W513)</f>
        <v>014_Estaciones de bomberos adecuadas</v>
      </c>
      <c r="Y513" s="161" t="str">
        <f>CONCATENATE(U513," ",X513)</f>
        <v>08-Infraestructura física, mantenimiento y dotación (Sedes construidas, mantenidas reforzadas) 014_Estaciones de bomberos adecuadas</v>
      </c>
      <c r="Z513" s="160" t="str">
        <f>CONCATENATE(P513,Q513,R513,S513,V513)</f>
        <v>O23011745032024025508014</v>
      </c>
      <c r="AA513" s="160" t="str">
        <f>IFERROR(VLOOKUP(Y513,TD!$K$46:$L$64,2,0)," ")</f>
        <v>PM/0131/0108/45030140255</v>
      </c>
      <c r="AB513" s="53" t="s">
        <v>713</v>
      </c>
      <c r="AC513" s="162" t="s">
        <v>204</v>
      </c>
    </row>
    <row r="514" spans="2:29" s="28" customFormat="1" ht="99" customHeight="1" x14ac:dyDescent="0.35">
      <c r="B514" s="152">
        <v>20250532</v>
      </c>
      <c r="C514" s="164" t="s">
        <v>208</v>
      </c>
      <c r="D514" s="165" t="s">
        <v>166</v>
      </c>
      <c r="E514" s="166" t="s">
        <v>592</v>
      </c>
      <c r="F514" s="165" t="s">
        <v>772</v>
      </c>
      <c r="G514" s="165" t="s">
        <v>155</v>
      </c>
      <c r="H514" s="167" t="s">
        <v>648</v>
      </c>
      <c r="I514" s="163">
        <v>2</v>
      </c>
      <c r="J514" s="163">
        <v>11</v>
      </c>
      <c r="K514" s="151">
        <v>0</v>
      </c>
      <c r="L514" s="154">
        <v>44237886</v>
      </c>
      <c r="M514" s="165" t="s">
        <v>473</v>
      </c>
      <c r="N514" s="150" t="s">
        <v>649</v>
      </c>
      <c r="O514" s="166" t="s">
        <v>219</v>
      </c>
      <c r="P514" s="168" t="str">
        <f>IFERROR(VLOOKUP(C514,TD!$B$32:$F$36,2,0)," ")</f>
        <v>O230117</v>
      </c>
      <c r="Q514" s="168" t="str">
        <f>IFERROR(VLOOKUP(C514,TD!$B$32:$F$36,3,0)," ")</f>
        <v>4599</v>
      </c>
      <c r="R514" s="168">
        <f>IFERROR(VLOOKUP(C514,TD!$B$32:$F$36,4,0)," ")</f>
        <v>20240207</v>
      </c>
      <c r="S514" s="166" t="s">
        <v>185</v>
      </c>
      <c r="T514" s="168" t="str">
        <f>IFERROR(VLOOKUP(S514,TD!$J$33:$K$43,2,0)," ")</f>
        <v>Infraestructura física, mantenimiento y dotación (Sedes construidas, mantenidas reforzadas)</v>
      </c>
      <c r="U514" s="161" t="str">
        <f>CONCATENATE(S514,"-",T514)</f>
        <v>08-Infraestructura física, mantenimiento y dotación (Sedes construidas, mantenidas reforzadas)</v>
      </c>
      <c r="V514" s="166" t="s">
        <v>238</v>
      </c>
      <c r="W514" s="168" t="str">
        <f>IFERROR(VLOOKUP(V514,TD!$N$33:$O$45,2,0)," ")</f>
        <v>Sedes mantenidas</v>
      </c>
      <c r="X514" s="161" t="str">
        <f>CONCATENATE(V514,"_",W514)</f>
        <v>016_Sedes mantenidas</v>
      </c>
      <c r="Y514" s="161" t="str">
        <f>CONCATENATE(U514," ",X514)</f>
        <v>08-Infraestructura física, mantenimiento y dotación (Sedes construidas, mantenidas reforzadas) 016_Sedes mantenidas</v>
      </c>
      <c r="Z514" s="168" t="str">
        <f>CONCATENATE(P514,Q514,R514,S514,V514)</f>
        <v>O23011745992024020708016</v>
      </c>
      <c r="AA514" s="168" t="str">
        <f>IFERROR(VLOOKUP(Y514,TD!$K$46:$L$64,2,0)," ")</f>
        <v>PM/0131/0108/45990160207</v>
      </c>
      <c r="AB514" s="150" t="s">
        <v>120</v>
      </c>
      <c r="AC514" s="169" t="s">
        <v>204</v>
      </c>
    </row>
    <row r="515" spans="2:29" s="28" customFormat="1" ht="99" customHeight="1" x14ac:dyDescent="0.35">
      <c r="B515" s="152">
        <v>20250533</v>
      </c>
      <c r="C515" s="164" t="s">
        <v>209</v>
      </c>
      <c r="D515" s="165" t="s">
        <v>166</v>
      </c>
      <c r="E515" s="166" t="s">
        <v>592</v>
      </c>
      <c r="F515" s="165" t="s">
        <v>656</v>
      </c>
      <c r="G515" s="165" t="s">
        <v>155</v>
      </c>
      <c r="H515" s="167" t="s">
        <v>648</v>
      </c>
      <c r="I515" s="163">
        <v>2</v>
      </c>
      <c r="J515" s="163">
        <v>11</v>
      </c>
      <c r="K515" s="151">
        <v>0</v>
      </c>
      <c r="L515" s="154">
        <v>79406250</v>
      </c>
      <c r="M515" s="165" t="s">
        <v>473</v>
      </c>
      <c r="N515" s="150" t="s">
        <v>649</v>
      </c>
      <c r="O515" s="166" t="s">
        <v>227</v>
      </c>
      <c r="P515" s="168" t="str">
        <f>IFERROR(VLOOKUP(C515,TD!$B$32:$F$36,2,0)," ")</f>
        <v>O230117</v>
      </c>
      <c r="Q515" s="168" t="str">
        <f>IFERROR(VLOOKUP(C515,TD!$B$32:$F$36,3,0)," ")</f>
        <v>4503</v>
      </c>
      <c r="R515" s="168">
        <f>IFERROR(VLOOKUP(C515,TD!$B$32:$F$36,4,0)," ")</f>
        <v>20240255</v>
      </c>
      <c r="S515" s="166" t="s">
        <v>185</v>
      </c>
      <c r="T515" s="168" t="str">
        <f>IFERROR(VLOOKUP(S515,TD!$J$33:$K$43,2,0)," ")</f>
        <v>Infraestructura física, mantenimiento y dotación (Sedes construidas, mantenidas reforzadas)</v>
      </c>
      <c r="U515" s="161" t="str">
        <f>CONCATENATE(S515,"-",T515)</f>
        <v>08-Infraestructura física, mantenimiento y dotación (Sedes construidas, mantenidas reforzadas)</v>
      </c>
      <c r="V515" s="166" t="s">
        <v>236</v>
      </c>
      <c r="W515" s="168" t="str">
        <f>IFERROR(VLOOKUP(V515,TD!$N$33:$O$45,2,0)," ")</f>
        <v>Estaciones de bomberos adecuadas</v>
      </c>
      <c r="X515" s="161" t="str">
        <f>CONCATENATE(V515,"_",W515)</f>
        <v>014_Estaciones de bomberos adecuadas</v>
      </c>
      <c r="Y515" s="161" t="str">
        <f>CONCATENATE(U515," ",X515)</f>
        <v>08-Infraestructura física, mantenimiento y dotación (Sedes construidas, mantenidas reforzadas) 014_Estaciones de bomberos adecuadas</v>
      </c>
      <c r="Z515" s="168" t="str">
        <f>CONCATENATE(P515,Q515,R515,S515,V515)</f>
        <v>O23011745032024025508014</v>
      </c>
      <c r="AA515" s="168" t="str">
        <f>IFERROR(VLOOKUP(Y515,TD!$K$46:$L$64,2,0)," ")</f>
        <v>PM/0131/0108/45030140255</v>
      </c>
      <c r="AB515" s="53" t="s">
        <v>713</v>
      </c>
      <c r="AC515" s="169" t="s">
        <v>204</v>
      </c>
    </row>
    <row r="516" spans="2:29" s="28" customFormat="1" ht="99" customHeight="1" x14ac:dyDescent="0.35">
      <c r="B516" s="77">
        <v>20250534</v>
      </c>
      <c r="C516" s="50" t="s">
        <v>208</v>
      </c>
      <c r="D516" s="158" t="s">
        <v>166</v>
      </c>
      <c r="E516" s="51" t="s">
        <v>592</v>
      </c>
      <c r="F516" s="158" t="s">
        <v>613</v>
      </c>
      <c r="G516" s="158" t="s">
        <v>156</v>
      </c>
      <c r="H516" s="97" t="s">
        <v>648</v>
      </c>
      <c r="I516" s="159">
        <v>2</v>
      </c>
      <c r="J516" s="159">
        <v>11</v>
      </c>
      <c r="K516" s="52">
        <v>0</v>
      </c>
      <c r="L516" s="153">
        <v>33534424</v>
      </c>
      <c r="M516" s="158" t="s">
        <v>473</v>
      </c>
      <c r="N516" s="53" t="s">
        <v>649</v>
      </c>
      <c r="O516" s="51" t="s">
        <v>218</v>
      </c>
      <c r="P516" s="160" t="str">
        <f>IFERROR(VLOOKUP(C516,TD!$B$32:$F$36,2,0)," ")</f>
        <v>O230117</v>
      </c>
      <c r="Q516" s="160" t="str">
        <f>IFERROR(VLOOKUP(C516,TD!$B$32:$F$36,3,0)," ")</f>
        <v>4599</v>
      </c>
      <c r="R516" s="160">
        <f>IFERROR(VLOOKUP(C516,TD!$B$32:$F$36,4,0)," ")</f>
        <v>20240207</v>
      </c>
      <c r="S516" s="51" t="s">
        <v>185</v>
      </c>
      <c r="T516" s="160" t="str">
        <f>IFERROR(VLOOKUP(S516,TD!$J$33:$K$43,2,0)," ")</f>
        <v>Infraestructura física, mantenimiento y dotación (Sedes construidas, mantenidas reforzadas)</v>
      </c>
      <c r="U516" s="161" t="str">
        <f>CONCATENATE(S516,"-",T516)</f>
        <v>08-Infraestructura física, mantenimiento y dotación (Sedes construidas, mantenidas reforzadas)</v>
      </c>
      <c r="V516" s="51" t="s">
        <v>238</v>
      </c>
      <c r="W516" s="160" t="str">
        <f>IFERROR(VLOOKUP(V516,TD!$N$33:$O$45,2,0)," ")</f>
        <v>Sedes mantenidas</v>
      </c>
      <c r="X516" s="161" t="str">
        <f>CONCATENATE(V516,"_",W516)</f>
        <v>016_Sedes mantenidas</v>
      </c>
      <c r="Y516" s="161" t="str">
        <f>CONCATENATE(U516," ",X516)</f>
        <v>08-Infraestructura física, mantenimiento y dotación (Sedes construidas, mantenidas reforzadas) 016_Sedes mantenidas</v>
      </c>
      <c r="Z516" s="160" t="str">
        <f>CONCATENATE(P516,Q516,R516,S516,V516)</f>
        <v>O23011745992024020708016</v>
      </c>
      <c r="AA516" s="160" t="str">
        <f>IFERROR(VLOOKUP(Y516,TD!$K$46:$L$64,2,0)," ")</f>
        <v>PM/0131/0108/45990160207</v>
      </c>
      <c r="AB516" s="53" t="s">
        <v>138</v>
      </c>
      <c r="AC516" s="162" t="s">
        <v>204</v>
      </c>
    </row>
    <row r="517" spans="2:29" s="28" customFormat="1" ht="99" customHeight="1" x14ac:dyDescent="0.35">
      <c r="B517" s="77">
        <v>20250535</v>
      </c>
      <c r="C517" s="50" t="s">
        <v>208</v>
      </c>
      <c r="D517" s="158" t="s">
        <v>166</v>
      </c>
      <c r="E517" s="51" t="s">
        <v>592</v>
      </c>
      <c r="F517" s="158" t="s">
        <v>613</v>
      </c>
      <c r="G517" s="158" t="s">
        <v>156</v>
      </c>
      <c r="H517" s="97" t="s">
        <v>648</v>
      </c>
      <c r="I517" s="159">
        <v>2</v>
      </c>
      <c r="J517" s="159">
        <v>11</v>
      </c>
      <c r="K517" s="52">
        <v>0</v>
      </c>
      <c r="L517" s="153">
        <v>33534424</v>
      </c>
      <c r="M517" s="158" t="s">
        <v>473</v>
      </c>
      <c r="N517" s="53" t="s">
        <v>649</v>
      </c>
      <c r="O517" s="51" t="s">
        <v>218</v>
      </c>
      <c r="P517" s="160" t="str">
        <f>IFERROR(VLOOKUP(C517,TD!$B$32:$F$36,2,0)," ")</f>
        <v>O230117</v>
      </c>
      <c r="Q517" s="160" t="str">
        <f>IFERROR(VLOOKUP(C517,TD!$B$32:$F$36,3,0)," ")</f>
        <v>4599</v>
      </c>
      <c r="R517" s="160">
        <f>IFERROR(VLOOKUP(C517,TD!$B$32:$F$36,4,0)," ")</f>
        <v>20240207</v>
      </c>
      <c r="S517" s="51" t="s">
        <v>185</v>
      </c>
      <c r="T517" s="160" t="str">
        <f>IFERROR(VLOOKUP(S517,TD!$J$33:$K$43,2,0)," ")</f>
        <v>Infraestructura física, mantenimiento y dotación (Sedes construidas, mantenidas reforzadas)</v>
      </c>
      <c r="U517" s="161" t="str">
        <f>CONCATENATE(S517,"-",T517)</f>
        <v>08-Infraestructura física, mantenimiento y dotación (Sedes construidas, mantenidas reforzadas)</v>
      </c>
      <c r="V517" s="51" t="s">
        <v>238</v>
      </c>
      <c r="W517" s="160" t="str">
        <f>IFERROR(VLOOKUP(V517,TD!$N$33:$O$45,2,0)," ")</f>
        <v>Sedes mantenidas</v>
      </c>
      <c r="X517" s="161" t="str">
        <f>CONCATENATE(V517,"_",W517)</f>
        <v>016_Sedes mantenidas</v>
      </c>
      <c r="Y517" s="161" t="str">
        <f>CONCATENATE(U517," ",X517)</f>
        <v>08-Infraestructura física, mantenimiento y dotación (Sedes construidas, mantenidas reforzadas) 016_Sedes mantenidas</v>
      </c>
      <c r="Z517" s="160" t="str">
        <f>CONCATENATE(P517,Q517,R517,S517,V517)</f>
        <v>O23011745992024020708016</v>
      </c>
      <c r="AA517" s="160" t="str">
        <f>IFERROR(VLOOKUP(Y517,TD!$K$46:$L$64,2,0)," ")</f>
        <v>PM/0131/0108/45990160207</v>
      </c>
      <c r="AB517" s="53" t="s">
        <v>138</v>
      </c>
      <c r="AC517" s="162" t="s">
        <v>204</v>
      </c>
    </row>
    <row r="518" spans="2:29" s="28" customFormat="1" ht="99" customHeight="1" x14ac:dyDescent="0.35">
      <c r="B518" s="152">
        <v>20250536</v>
      </c>
      <c r="C518" s="164" t="s">
        <v>208</v>
      </c>
      <c r="D518" s="165" t="s">
        <v>166</v>
      </c>
      <c r="E518" s="166" t="s">
        <v>592</v>
      </c>
      <c r="F518" s="165" t="s">
        <v>695</v>
      </c>
      <c r="G518" s="165" t="s">
        <v>155</v>
      </c>
      <c r="H518" s="167" t="s">
        <v>648</v>
      </c>
      <c r="I518" s="163">
        <v>2</v>
      </c>
      <c r="J518" s="163">
        <v>11</v>
      </c>
      <c r="K518" s="151">
        <v>0</v>
      </c>
      <c r="L518" s="154">
        <v>83482560</v>
      </c>
      <c r="M518" s="165" t="s">
        <v>473</v>
      </c>
      <c r="N518" s="150" t="s">
        <v>649</v>
      </c>
      <c r="O518" s="166" t="s">
        <v>219</v>
      </c>
      <c r="P518" s="168" t="str">
        <f>IFERROR(VLOOKUP(C518,TD!$B$32:$F$36,2,0)," ")</f>
        <v>O230117</v>
      </c>
      <c r="Q518" s="168" t="str">
        <f>IFERROR(VLOOKUP(C518,TD!$B$32:$F$36,3,0)," ")</f>
        <v>4599</v>
      </c>
      <c r="R518" s="168">
        <f>IFERROR(VLOOKUP(C518,TD!$B$32:$F$36,4,0)," ")</f>
        <v>20240207</v>
      </c>
      <c r="S518" s="166" t="s">
        <v>185</v>
      </c>
      <c r="T518" s="168" t="str">
        <f>IFERROR(VLOOKUP(S518,TD!$J$33:$K$43,2,0)," ")</f>
        <v>Infraestructura física, mantenimiento y dotación (Sedes construidas, mantenidas reforzadas)</v>
      </c>
      <c r="U518" s="161" t="str">
        <f>CONCATENATE(S518,"-",T518)</f>
        <v>08-Infraestructura física, mantenimiento y dotación (Sedes construidas, mantenidas reforzadas)</v>
      </c>
      <c r="V518" s="166" t="s">
        <v>238</v>
      </c>
      <c r="W518" s="168" t="str">
        <f>IFERROR(VLOOKUP(V518,TD!$N$33:$O$45,2,0)," ")</f>
        <v>Sedes mantenidas</v>
      </c>
      <c r="X518" s="161" t="str">
        <f>CONCATENATE(V518,"_",W518)</f>
        <v>016_Sedes mantenidas</v>
      </c>
      <c r="Y518" s="161" t="str">
        <f>CONCATENATE(U518," ",X518)</f>
        <v>08-Infraestructura física, mantenimiento y dotación (Sedes construidas, mantenidas reforzadas) 016_Sedes mantenidas</v>
      </c>
      <c r="Z518" s="168" t="str">
        <f>CONCATENATE(P518,Q518,R518,S518,V518)</f>
        <v>O23011745992024020708016</v>
      </c>
      <c r="AA518" s="168" t="str">
        <f>IFERROR(VLOOKUP(Y518,TD!$K$46:$L$64,2,0)," ")</f>
        <v>PM/0131/0108/45990160207</v>
      </c>
      <c r="AB518" s="150" t="s">
        <v>138</v>
      </c>
      <c r="AC518" s="169" t="s">
        <v>204</v>
      </c>
    </row>
    <row r="519" spans="2:29" s="28" customFormat="1" ht="99" customHeight="1" x14ac:dyDescent="0.35">
      <c r="B519" s="77">
        <v>20250537</v>
      </c>
      <c r="C519" s="50" t="s">
        <v>208</v>
      </c>
      <c r="D519" s="158" t="s">
        <v>166</v>
      </c>
      <c r="E519" s="51" t="s">
        <v>592</v>
      </c>
      <c r="F519" s="158" t="s">
        <v>696</v>
      </c>
      <c r="G519" s="158" t="s">
        <v>155</v>
      </c>
      <c r="H519" s="97" t="s">
        <v>648</v>
      </c>
      <c r="I519" s="159">
        <v>2</v>
      </c>
      <c r="J519" s="159">
        <v>11</v>
      </c>
      <c r="K519" s="52">
        <v>0</v>
      </c>
      <c r="L519" s="153">
        <v>76230000</v>
      </c>
      <c r="M519" s="158" t="s">
        <v>473</v>
      </c>
      <c r="N519" s="53" t="s">
        <v>649</v>
      </c>
      <c r="O519" s="51" t="s">
        <v>219</v>
      </c>
      <c r="P519" s="160" t="str">
        <f>IFERROR(VLOOKUP(C519,TD!$B$32:$F$36,2,0)," ")</f>
        <v>O230117</v>
      </c>
      <c r="Q519" s="160" t="str">
        <f>IFERROR(VLOOKUP(C519,TD!$B$32:$F$36,3,0)," ")</f>
        <v>4599</v>
      </c>
      <c r="R519" s="160">
        <f>IFERROR(VLOOKUP(C519,TD!$B$32:$F$36,4,0)," ")</f>
        <v>20240207</v>
      </c>
      <c r="S519" s="51" t="s">
        <v>185</v>
      </c>
      <c r="T519" s="160" t="str">
        <f>IFERROR(VLOOKUP(S519,TD!$J$33:$K$43,2,0)," ")</f>
        <v>Infraestructura física, mantenimiento y dotación (Sedes construidas, mantenidas reforzadas)</v>
      </c>
      <c r="U519" s="161" t="str">
        <f>CONCATENATE(S519,"-",T519)</f>
        <v>08-Infraestructura física, mantenimiento y dotación (Sedes construidas, mantenidas reforzadas)</v>
      </c>
      <c r="V519" s="51" t="s">
        <v>238</v>
      </c>
      <c r="W519" s="160" t="str">
        <f>IFERROR(VLOOKUP(V519,TD!$N$33:$O$45,2,0)," ")</f>
        <v>Sedes mantenidas</v>
      </c>
      <c r="X519" s="161" t="str">
        <f>CONCATENATE(V519,"_",W519)</f>
        <v>016_Sedes mantenidas</v>
      </c>
      <c r="Y519" s="161" t="str">
        <f>CONCATENATE(U519," ",X519)</f>
        <v>08-Infraestructura física, mantenimiento y dotación (Sedes construidas, mantenidas reforzadas) 016_Sedes mantenidas</v>
      </c>
      <c r="Z519" s="160" t="str">
        <f>CONCATENATE(P519,Q519,R519,S519,V519)</f>
        <v>O23011745992024020708016</v>
      </c>
      <c r="AA519" s="160" t="str">
        <f>IFERROR(VLOOKUP(Y519,TD!$K$46:$L$64,2,0)," ")</f>
        <v>PM/0131/0108/45990160207</v>
      </c>
      <c r="AB519" s="53" t="s">
        <v>138</v>
      </c>
      <c r="AC519" s="162" t="s">
        <v>204</v>
      </c>
    </row>
    <row r="520" spans="2:29" s="28" customFormat="1" ht="99" customHeight="1" x14ac:dyDescent="0.35">
      <c r="B520" s="77">
        <v>20250538</v>
      </c>
      <c r="C520" s="50" t="s">
        <v>208</v>
      </c>
      <c r="D520" s="158" t="s">
        <v>166</v>
      </c>
      <c r="E520" s="51" t="s">
        <v>592</v>
      </c>
      <c r="F520" s="158" t="s">
        <v>697</v>
      </c>
      <c r="G520" s="158" t="s">
        <v>155</v>
      </c>
      <c r="H520" s="97" t="s">
        <v>648</v>
      </c>
      <c r="I520" s="159">
        <v>2</v>
      </c>
      <c r="J520" s="159">
        <v>11</v>
      </c>
      <c r="K520" s="52">
        <v>0</v>
      </c>
      <c r="L520" s="153">
        <v>99918896</v>
      </c>
      <c r="M520" s="158" t="s">
        <v>473</v>
      </c>
      <c r="N520" s="53" t="s">
        <v>649</v>
      </c>
      <c r="O520" s="51" t="s">
        <v>219</v>
      </c>
      <c r="P520" s="160" t="str">
        <f>IFERROR(VLOOKUP(C520,TD!$B$32:$F$36,2,0)," ")</f>
        <v>O230117</v>
      </c>
      <c r="Q520" s="160" t="str">
        <f>IFERROR(VLOOKUP(C520,TD!$B$32:$F$36,3,0)," ")</f>
        <v>4599</v>
      </c>
      <c r="R520" s="160">
        <f>IFERROR(VLOOKUP(C520,TD!$B$32:$F$36,4,0)," ")</f>
        <v>20240207</v>
      </c>
      <c r="S520" s="51" t="s">
        <v>185</v>
      </c>
      <c r="T520" s="160" t="str">
        <f>IFERROR(VLOOKUP(S520,TD!$J$33:$K$43,2,0)," ")</f>
        <v>Infraestructura física, mantenimiento y dotación (Sedes construidas, mantenidas reforzadas)</v>
      </c>
      <c r="U520" s="161" t="str">
        <f>CONCATENATE(S520,"-",T520)</f>
        <v>08-Infraestructura física, mantenimiento y dotación (Sedes construidas, mantenidas reforzadas)</v>
      </c>
      <c r="V520" s="51" t="s">
        <v>238</v>
      </c>
      <c r="W520" s="160" t="str">
        <f>IFERROR(VLOOKUP(V520,TD!$N$33:$O$45,2,0)," ")</f>
        <v>Sedes mantenidas</v>
      </c>
      <c r="X520" s="161" t="str">
        <f>CONCATENATE(V520,"_",W520)</f>
        <v>016_Sedes mantenidas</v>
      </c>
      <c r="Y520" s="161" t="str">
        <f>CONCATENATE(U520," ",X520)</f>
        <v>08-Infraestructura física, mantenimiento y dotación (Sedes construidas, mantenidas reforzadas) 016_Sedes mantenidas</v>
      </c>
      <c r="Z520" s="160" t="str">
        <f>CONCATENATE(P520,Q520,R520,S520,V520)</f>
        <v>O23011745992024020708016</v>
      </c>
      <c r="AA520" s="160" t="str">
        <f>IFERROR(VLOOKUP(Y520,TD!$K$46:$L$64,2,0)," ")</f>
        <v>PM/0131/0108/45990160207</v>
      </c>
      <c r="AB520" s="53" t="s">
        <v>120</v>
      </c>
      <c r="AC520" s="162" t="s">
        <v>204</v>
      </c>
    </row>
    <row r="521" spans="2:29" s="28" customFormat="1" ht="99" customHeight="1" x14ac:dyDescent="0.35">
      <c r="B521" s="152">
        <v>20250539</v>
      </c>
      <c r="C521" s="164" t="s">
        <v>208</v>
      </c>
      <c r="D521" s="165" t="s">
        <v>166</v>
      </c>
      <c r="E521" s="166" t="s">
        <v>592</v>
      </c>
      <c r="F521" s="165" t="s">
        <v>698</v>
      </c>
      <c r="G521" s="165" t="s">
        <v>156</v>
      </c>
      <c r="H521" s="167" t="s">
        <v>648</v>
      </c>
      <c r="I521" s="163">
        <v>2</v>
      </c>
      <c r="J521" s="163">
        <v>11</v>
      </c>
      <c r="K521" s="151">
        <v>0</v>
      </c>
      <c r="L521" s="154">
        <v>38607615</v>
      </c>
      <c r="M521" s="165" t="s">
        <v>473</v>
      </c>
      <c r="N521" s="150" t="s">
        <v>649</v>
      </c>
      <c r="O521" s="166" t="s">
        <v>219</v>
      </c>
      <c r="P521" s="168" t="str">
        <f>IFERROR(VLOOKUP(C521,TD!$B$32:$F$36,2,0)," ")</f>
        <v>O230117</v>
      </c>
      <c r="Q521" s="168" t="str">
        <f>IFERROR(VLOOKUP(C521,TD!$B$32:$F$36,3,0)," ")</f>
        <v>4599</v>
      </c>
      <c r="R521" s="168">
        <f>IFERROR(VLOOKUP(C521,TD!$B$32:$F$36,4,0)," ")</f>
        <v>20240207</v>
      </c>
      <c r="S521" s="166" t="s">
        <v>185</v>
      </c>
      <c r="T521" s="168" t="str">
        <f>IFERROR(VLOOKUP(S521,TD!$J$33:$K$43,2,0)," ")</f>
        <v>Infraestructura física, mantenimiento y dotación (Sedes construidas, mantenidas reforzadas)</v>
      </c>
      <c r="U521" s="161" t="str">
        <f>CONCATENATE(S521,"-",T521)</f>
        <v>08-Infraestructura física, mantenimiento y dotación (Sedes construidas, mantenidas reforzadas)</v>
      </c>
      <c r="V521" s="166" t="s">
        <v>238</v>
      </c>
      <c r="W521" s="168" t="str">
        <f>IFERROR(VLOOKUP(V521,TD!$N$33:$O$45,2,0)," ")</f>
        <v>Sedes mantenidas</v>
      </c>
      <c r="X521" s="161" t="str">
        <f>CONCATENATE(V521,"_",W521)</f>
        <v>016_Sedes mantenidas</v>
      </c>
      <c r="Y521" s="161" t="str">
        <f>CONCATENATE(U521," ",X521)</f>
        <v>08-Infraestructura física, mantenimiento y dotación (Sedes construidas, mantenidas reforzadas) 016_Sedes mantenidas</v>
      </c>
      <c r="Z521" s="168" t="str">
        <f>CONCATENATE(P521,Q521,R521,S521,V521)</f>
        <v>O23011745992024020708016</v>
      </c>
      <c r="AA521" s="168" t="str">
        <f>IFERROR(VLOOKUP(Y521,TD!$K$46:$L$64,2,0)," ")</f>
        <v>PM/0131/0108/45990160207</v>
      </c>
      <c r="AB521" s="150" t="s">
        <v>138</v>
      </c>
      <c r="AC521" s="169" t="s">
        <v>204</v>
      </c>
    </row>
    <row r="522" spans="2:29" s="28" customFormat="1" ht="99" customHeight="1" x14ac:dyDescent="0.35">
      <c r="B522" s="77">
        <v>20250540</v>
      </c>
      <c r="C522" s="50" t="s">
        <v>209</v>
      </c>
      <c r="D522" s="158" t="s">
        <v>166</v>
      </c>
      <c r="E522" s="51" t="s">
        <v>592</v>
      </c>
      <c r="F522" s="158" t="s">
        <v>611</v>
      </c>
      <c r="G522" s="158" t="s">
        <v>155</v>
      </c>
      <c r="H522" s="97" t="s">
        <v>648</v>
      </c>
      <c r="I522" s="159">
        <v>2</v>
      </c>
      <c r="J522" s="159">
        <v>11</v>
      </c>
      <c r="K522" s="52">
        <v>0</v>
      </c>
      <c r="L522" s="153">
        <v>99918896</v>
      </c>
      <c r="M522" s="158" t="s">
        <v>473</v>
      </c>
      <c r="N522" s="53" t="s">
        <v>649</v>
      </c>
      <c r="O522" s="51" t="s">
        <v>228</v>
      </c>
      <c r="P522" s="160" t="str">
        <f>IFERROR(VLOOKUP(C522,TD!$B$32:$F$36,2,0)," ")</f>
        <v>O230117</v>
      </c>
      <c r="Q522" s="160" t="str">
        <f>IFERROR(VLOOKUP(C522,TD!$B$32:$F$36,3,0)," ")</f>
        <v>4503</v>
      </c>
      <c r="R522" s="160">
        <f>IFERROR(VLOOKUP(C522,TD!$B$32:$F$36,4,0)," ")</f>
        <v>20240255</v>
      </c>
      <c r="S522" s="51" t="s">
        <v>185</v>
      </c>
      <c r="T522" s="160" t="str">
        <f>IFERROR(VLOOKUP(S522,TD!$J$33:$K$43,2,0)," ")</f>
        <v>Infraestructura física, mantenimiento y dotación (Sedes construidas, mantenidas reforzadas)</v>
      </c>
      <c r="U522" s="161" t="str">
        <f>CONCATENATE(S522,"-",T522)</f>
        <v>08-Infraestructura física, mantenimiento y dotación (Sedes construidas, mantenidas reforzadas)</v>
      </c>
      <c r="V522" s="51" t="s">
        <v>237</v>
      </c>
      <c r="W522" s="160" t="str">
        <f>IFERROR(VLOOKUP(V522,TD!$N$33:$O$45,2,0)," ")</f>
        <v>Estaciones de bomberos construidas</v>
      </c>
      <c r="X522" s="161" t="str">
        <f>CONCATENATE(V522,"_",W522)</f>
        <v>015_Estaciones de bomberos construidas</v>
      </c>
      <c r="Y522" s="161" t="str">
        <f>CONCATENATE(U522," ",X522)</f>
        <v>08-Infraestructura física, mantenimiento y dotación (Sedes construidas, mantenidas reforzadas) 015_Estaciones de bomberos construidas</v>
      </c>
      <c r="Z522" s="160" t="str">
        <f>CONCATENATE(P522,Q522,R522,S522,V522)</f>
        <v>O23011745032024025508015</v>
      </c>
      <c r="AA522" s="160" t="str">
        <f>IFERROR(VLOOKUP(Y522,TD!$K$46:$L$64,2,0)," ")</f>
        <v>PM/0131/0108/45030150255</v>
      </c>
      <c r="AB522" s="53" t="s">
        <v>138</v>
      </c>
      <c r="AC522" s="162" t="s">
        <v>204</v>
      </c>
    </row>
    <row r="523" spans="2:29" s="28" customFormat="1" ht="99" customHeight="1" x14ac:dyDescent="0.35">
      <c r="B523" s="77">
        <v>20250541</v>
      </c>
      <c r="C523" s="50" t="s">
        <v>208</v>
      </c>
      <c r="D523" s="158" t="s">
        <v>166</v>
      </c>
      <c r="E523" s="51" t="s">
        <v>592</v>
      </c>
      <c r="F523" s="158" t="s">
        <v>699</v>
      </c>
      <c r="G523" s="158" t="s">
        <v>156</v>
      </c>
      <c r="H523" s="97" t="s">
        <v>648</v>
      </c>
      <c r="I523" s="159">
        <v>2</v>
      </c>
      <c r="J523" s="159">
        <v>11</v>
      </c>
      <c r="K523" s="52">
        <v>0</v>
      </c>
      <c r="L523" s="153">
        <v>33534424</v>
      </c>
      <c r="M523" s="158" t="s">
        <v>473</v>
      </c>
      <c r="N523" s="53" t="s">
        <v>649</v>
      </c>
      <c r="O523" s="51" t="s">
        <v>219</v>
      </c>
      <c r="P523" s="160" t="str">
        <f>IFERROR(VLOOKUP(C523,TD!$B$32:$F$36,2,0)," ")</f>
        <v>O230117</v>
      </c>
      <c r="Q523" s="160" t="str">
        <f>IFERROR(VLOOKUP(C523,TD!$B$32:$F$36,3,0)," ")</f>
        <v>4599</v>
      </c>
      <c r="R523" s="160">
        <f>IFERROR(VLOOKUP(C523,TD!$B$32:$F$36,4,0)," ")</f>
        <v>20240207</v>
      </c>
      <c r="S523" s="51" t="s">
        <v>185</v>
      </c>
      <c r="T523" s="160" t="str">
        <f>IFERROR(VLOOKUP(S523,TD!$J$33:$K$43,2,0)," ")</f>
        <v>Infraestructura física, mantenimiento y dotación (Sedes construidas, mantenidas reforzadas)</v>
      </c>
      <c r="U523" s="161" t="str">
        <f>CONCATENATE(S523,"-",T523)</f>
        <v>08-Infraestructura física, mantenimiento y dotación (Sedes construidas, mantenidas reforzadas)</v>
      </c>
      <c r="V523" s="51" t="s">
        <v>238</v>
      </c>
      <c r="W523" s="160" t="str">
        <f>IFERROR(VLOOKUP(V523,TD!$N$33:$O$45,2,0)," ")</f>
        <v>Sedes mantenidas</v>
      </c>
      <c r="X523" s="161" t="str">
        <f>CONCATENATE(V523,"_",W523)</f>
        <v>016_Sedes mantenidas</v>
      </c>
      <c r="Y523" s="161" t="str">
        <f>CONCATENATE(U523," ",X523)</f>
        <v>08-Infraestructura física, mantenimiento y dotación (Sedes construidas, mantenidas reforzadas) 016_Sedes mantenidas</v>
      </c>
      <c r="Z523" s="160" t="str">
        <f>CONCATENATE(P523,Q523,R523,S523,V523)</f>
        <v>O23011745992024020708016</v>
      </c>
      <c r="AA523" s="160" t="str">
        <f>IFERROR(VLOOKUP(Y523,TD!$K$46:$L$64,2,0)," ")</f>
        <v>PM/0131/0108/45990160207</v>
      </c>
      <c r="AB523" s="53" t="s">
        <v>138</v>
      </c>
      <c r="AC523" s="162" t="s">
        <v>204</v>
      </c>
    </row>
    <row r="524" spans="2:29" s="28" customFormat="1" ht="99" customHeight="1" x14ac:dyDescent="0.35">
      <c r="B524" s="77">
        <v>20250542</v>
      </c>
      <c r="C524" s="50" t="s">
        <v>208</v>
      </c>
      <c r="D524" s="158" t="s">
        <v>166</v>
      </c>
      <c r="E524" s="51" t="s">
        <v>592</v>
      </c>
      <c r="F524" s="158" t="s">
        <v>700</v>
      </c>
      <c r="G524" s="158" t="s">
        <v>155</v>
      </c>
      <c r="H524" s="97" t="s">
        <v>648</v>
      </c>
      <c r="I524" s="159">
        <v>2</v>
      </c>
      <c r="J524" s="159">
        <v>11</v>
      </c>
      <c r="K524" s="52">
        <v>0</v>
      </c>
      <c r="L524" s="153">
        <v>72600000</v>
      </c>
      <c r="M524" s="158" t="s">
        <v>473</v>
      </c>
      <c r="N524" s="53" t="s">
        <v>649</v>
      </c>
      <c r="O524" s="51" t="s">
        <v>219</v>
      </c>
      <c r="P524" s="160" t="str">
        <f>IFERROR(VLOOKUP(C524,TD!$B$32:$F$36,2,0)," ")</f>
        <v>O230117</v>
      </c>
      <c r="Q524" s="160" t="str">
        <f>IFERROR(VLOOKUP(C524,TD!$B$32:$F$36,3,0)," ")</f>
        <v>4599</v>
      </c>
      <c r="R524" s="160">
        <f>IFERROR(VLOOKUP(C524,TD!$B$32:$F$36,4,0)," ")</f>
        <v>20240207</v>
      </c>
      <c r="S524" s="51" t="s">
        <v>185</v>
      </c>
      <c r="T524" s="160" t="str">
        <f>IFERROR(VLOOKUP(S524,TD!$J$33:$K$43,2,0)," ")</f>
        <v>Infraestructura física, mantenimiento y dotación (Sedes construidas, mantenidas reforzadas)</v>
      </c>
      <c r="U524" s="161" t="str">
        <f>CONCATENATE(S524,"-",T524)</f>
        <v>08-Infraestructura física, mantenimiento y dotación (Sedes construidas, mantenidas reforzadas)</v>
      </c>
      <c r="V524" s="51" t="s">
        <v>238</v>
      </c>
      <c r="W524" s="160" t="str">
        <f>IFERROR(VLOOKUP(V524,TD!$N$33:$O$45,2,0)," ")</f>
        <v>Sedes mantenidas</v>
      </c>
      <c r="X524" s="161" t="str">
        <f>CONCATENATE(V524,"_",W524)</f>
        <v>016_Sedes mantenidas</v>
      </c>
      <c r="Y524" s="161" t="str">
        <f>CONCATENATE(U524," ",X524)</f>
        <v>08-Infraestructura física, mantenimiento y dotación (Sedes construidas, mantenidas reforzadas) 016_Sedes mantenidas</v>
      </c>
      <c r="Z524" s="160" t="str">
        <f>CONCATENATE(P524,Q524,R524,S524,V524)</f>
        <v>O23011745992024020708016</v>
      </c>
      <c r="AA524" s="160" t="str">
        <f>IFERROR(VLOOKUP(Y524,TD!$K$46:$L$64,2,0)," ")</f>
        <v>PM/0131/0108/45990160207</v>
      </c>
      <c r="AB524" s="53" t="s">
        <v>138</v>
      </c>
      <c r="AC524" s="162" t="s">
        <v>204</v>
      </c>
    </row>
    <row r="525" spans="2:29" s="28" customFormat="1" ht="99" customHeight="1" x14ac:dyDescent="0.35">
      <c r="B525" s="77">
        <v>20250543</v>
      </c>
      <c r="C525" s="50" t="s">
        <v>208</v>
      </c>
      <c r="D525" s="158" t="s">
        <v>166</v>
      </c>
      <c r="E525" s="51" t="s">
        <v>592</v>
      </c>
      <c r="F525" s="158" t="s">
        <v>701</v>
      </c>
      <c r="G525" s="158" t="s">
        <v>156</v>
      </c>
      <c r="H525" s="97" t="s">
        <v>648</v>
      </c>
      <c r="I525" s="159">
        <v>2</v>
      </c>
      <c r="J525" s="159">
        <v>11</v>
      </c>
      <c r="K525" s="52">
        <v>0</v>
      </c>
      <c r="L525" s="153">
        <v>37243800</v>
      </c>
      <c r="M525" s="158" t="s">
        <v>473</v>
      </c>
      <c r="N525" s="53" t="s">
        <v>649</v>
      </c>
      <c r="O525" s="51" t="s">
        <v>219</v>
      </c>
      <c r="P525" s="160" t="str">
        <f>IFERROR(VLOOKUP(C525,TD!$B$32:$F$36,2,0)," ")</f>
        <v>O230117</v>
      </c>
      <c r="Q525" s="160" t="str">
        <f>IFERROR(VLOOKUP(C525,TD!$B$32:$F$36,3,0)," ")</f>
        <v>4599</v>
      </c>
      <c r="R525" s="160">
        <f>IFERROR(VLOOKUP(C525,TD!$B$32:$F$36,4,0)," ")</f>
        <v>20240207</v>
      </c>
      <c r="S525" s="51" t="s">
        <v>185</v>
      </c>
      <c r="T525" s="160" t="str">
        <f>IFERROR(VLOOKUP(S525,TD!$J$33:$K$43,2,0)," ")</f>
        <v>Infraestructura física, mantenimiento y dotación (Sedes construidas, mantenidas reforzadas)</v>
      </c>
      <c r="U525" s="161" t="str">
        <f>CONCATENATE(S525,"-",T525)</f>
        <v>08-Infraestructura física, mantenimiento y dotación (Sedes construidas, mantenidas reforzadas)</v>
      </c>
      <c r="V525" s="51" t="s">
        <v>238</v>
      </c>
      <c r="W525" s="160" t="str">
        <f>IFERROR(VLOOKUP(V525,TD!$N$33:$O$45,2,0)," ")</f>
        <v>Sedes mantenidas</v>
      </c>
      <c r="X525" s="161" t="str">
        <f>CONCATENATE(V525,"_",W525)</f>
        <v>016_Sedes mantenidas</v>
      </c>
      <c r="Y525" s="161" t="str">
        <f>CONCATENATE(U525," ",X525)</f>
        <v>08-Infraestructura física, mantenimiento y dotación (Sedes construidas, mantenidas reforzadas) 016_Sedes mantenidas</v>
      </c>
      <c r="Z525" s="160" t="str">
        <f>CONCATENATE(P525,Q525,R525,S525,V525)</f>
        <v>O23011745992024020708016</v>
      </c>
      <c r="AA525" s="160" t="str">
        <f>IFERROR(VLOOKUP(Y525,TD!$K$46:$L$64,2,0)," ")</f>
        <v>PM/0131/0108/45990160207</v>
      </c>
      <c r="AB525" s="53" t="s">
        <v>138</v>
      </c>
      <c r="AC525" s="162" t="s">
        <v>204</v>
      </c>
    </row>
    <row r="526" spans="2:29" s="28" customFormat="1" ht="99" customHeight="1" x14ac:dyDescent="0.35">
      <c r="B526" s="77">
        <v>20250544</v>
      </c>
      <c r="C526" s="50" t="s">
        <v>208</v>
      </c>
      <c r="D526" s="158" t="s">
        <v>166</v>
      </c>
      <c r="E526" s="51" t="s">
        <v>592</v>
      </c>
      <c r="F526" s="158" t="s">
        <v>702</v>
      </c>
      <c r="G526" s="158" t="s">
        <v>155</v>
      </c>
      <c r="H526" s="97" t="s">
        <v>648</v>
      </c>
      <c r="I526" s="159">
        <v>2</v>
      </c>
      <c r="J526" s="159">
        <v>11</v>
      </c>
      <c r="K526" s="52">
        <v>0</v>
      </c>
      <c r="L526" s="153">
        <v>67386352</v>
      </c>
      <c r="M526" s="158" t="s">
        <v>473</v>
      </c>
      <c r="N526" s="53" t="s">
        <v>649</v>
      </c>
      <c r="O526" s="51" t="s">
        <v>219</v>
      </c>
      <c r="P526" s="160" t="str">
        <f>IFERROR(VLOOKUP(C526,TD!$B$32:$F$36,2,0)," ")</f>
        <v>O230117</v>
      </c>
      <c r="Q526" s="160" t="str">
        <f>IFERROR(VLOOKUP(C526,TD!$B$32:$F$36,3,0)," ")</f>
        <v>4599</v>
      </c>
      <c r="R526" s="160">
        <f>IFERROR(VLOOKUP(C526,TD!$B$32:$F$36,4,0)," ")</f>
        <v>20240207</v>
      </c>
      <c r="S526" s="51" t="s">
        <v>185</v>
      </c>
      <c r="T526" s="160" t="str">
        <f>IFERROR(VLOOKUP(S526,TD!$J$33:$K$43,2,0)," ")</f>
        <v>Infraestructura física, mantenimiento y dotación (Sedes construidas, mantenidas reforzadas)</v>
      </c>
      <c r="U526" s="161" t="str">
        <f>CONCATENATE(S526,"-",T526)</f>
        <v>08-Infraestructura física, mantenimiento y dotación (Sedes construidas, mantenidas reforzadas)</v>
      </c>
      <c r="V526" s="51" t="s">
        <v>238</v>
      </c>
      <c r="W526" s="160" t="str">
        <f>IFERROR(VLOOKUP(V526,TD!$N$33:$O$45,2,0)," ")</f>
        <v>Sedes mantenidas</v>
      </c>
      <c r="X526" s="161" t="str">
        <f>CONCATENATE(V526,"_",W526)</f>
        <v>016_Sedes mantenidas</v>
      </c>
      <c r="Y526" s="161" t="str">
        <f>CONCATENATE(U526," ",X526)</f>
        <v>08-Infraestructura física, mantenimiento y dotación (Sedes construidas, mantenidas reforzadas) 016_Sedes mantenidas</v>
      </c>
      <c r="Z526" s="160" t="str">
        <f>CONCATENATE(P526,Q526,R526,S526,V526)</f>
        <v>O23011745992024020708016</v>
      </c>
      <c r="AA526" s="160" t="str">
        <f>IFERROR(VLOOKUP(Y526,TD!$K$46:$L$64,2,0)," ")</f>
        <v>PM/0131/0108/45990160207</v>
      </c>
      <c r="AB526" s="53" t="s">
        <v>138</v>
      </c>
      <c r="AC526" s="162" t="s">
        <v>204</v>
      </c>
    </row>
    <row r="527" spans="2:29" s="28" customFormat="1" ht="99" customHeight="1" x14ac:dyDescent="0.35">
      <c r="B527" s="77">
        <v>20250545</v>
      </c>
      <c r="C527" s="50" t="s">
        <v>208</v>
      </c>
      <c r="D527" s="158" t="s">
        <v>166</v>
      </c>
      <c r="E527" s="51" t="s">
        <v>592</v>
      </c>
      <c r="F527" s="158" t="s">
        <v>703</v>
      </c>
      <c r="G527" s="158" t="s">
        <v>155</v>
      </c>
      <c r="H527" s="97" t="s">
        <v>648</v>
      </c>
      <c r="I527" s="159">
        <v>2</v>
      </c>
      <c r="J527" s="159">
        <v>11</v>
      </c>
      <c r="K527" s="52">
        <v>0</v>
      </c>
      <c r="L527" s="153">
        <v>49066952</v>
      </c>
      <c r="M527" s="158" t="s">
        <v>473</v>
      </c>
      <c r="N527" s="53" t="s">
        <v>649</v>
      </c>
      <c r="O527" s="51" t="s">
        <v>219</v>
      </c>
      <c r="P527" s="160" t="str">
        <f>IFERROR(VLOOKUP(C527,TD!$B$32:$F$36,2,0)," ")</f>
        <v>O230117</v>
      </c>
      <c r="Q527" s="160" t="str">
        <f>IFERROR(VLOOKUP(C527,TD!$B$32:$F$36,3,0)," ")</f>
        <v>4599</v>
      </c>
      <c r="R527" s="160">
        <f>IFERROR(VLOOKUP(C527,TD!$B$32:$F$36,4,0)," ")</f>
        <v>20240207</v>
      </c>
      <c r="S527" s="51" t="s">
        <v>185</v>
      </c>
      <c r="T527" s="160" t="str">
        <f>IFERROR(VLOOKUP(S527,TD!$J$33:$K$43,2,0)," ")</f>
        <v>Infraestructura física, mantenimiento y dotación (Sedes construidas, mantenidas reforzadas)</v>
      </c>
      <c r="U527" s="161" t="str">
        <f>CONCATENATE(S527,"-",T527)</f>
        <v>08-Infraestructura física, mantenimiento y dotación (Sedes construidas, mantenidas reforzadas)</v>
      </c>
      <c r="V527" s="51" t="s">
        <v>238</v>
      </c>
      <c r="W527" s="160" t="str">
        <f>IFERROR(VLOOKUP(V527,TD!$N$33:$O$45,2,0)," ")</f>
        <v>Sedes mantenidas</v>
      </c>
      <c r="X527" s="161" t="str">
        <f>CONCATENATE(V527,"_",W527)</f>
        <v>016_Sedes mantenidas</v>
      </c>
      <c r="Y527" s="161" t="str">
        <f>CONCATENATE(U527," ",X527)</f>
        <v>08-Infraestructura física, mantenimiento y dotación (Sedes construidas, mantenidas reforzadas) 016_Sedes mantenidas</v>
      </c>
      <c r="Z527" s="160" t="str">
        <f>CONCATENATE(P527,Q527,R527,S527,V527)</f>
        <v>O23011745992024020708016</v>
      </c>
      <c r="AA527" s="160" t="str">
        <f>IFERROR(VLOOKUP(Y527,TD!$K$46:$L$64,2,0)," ")</f>
        <v>PM/0131/0108/45990160207</v>
      </c>
      <c r="AB527" s="53" t="s">
        <v>138</v>
      </c>
      <c r="AC527" s="162" t="s">
        <v>204</v>
      </c>
    </row>
    <row r="528" spans="2:29" s="28" customFormat="1" ht="99" customHeight="1" x14ac:dyDescent="0.35">
      <c r="B528" s="77">
        <v>20250546</v>
      </c>
      <c r="C528" s="50" t="s">
        <v>209</v>
      </c>
      <c r="D528" s="158" t="s">
        <v>166</v>
      </c>
      <c r="E528" s="51" t="s">
        <v>592</v>
      </c>
      <c r="F528" s="158" t="s">
        <v>704</v>
      </c>
      <c r="G528" s="158" t="s">
        <v>155</v>
      </c>
      <c r="H528" s="97" t="s">
        <v>648</v>
      </c>
      <c r="I528" s="159">
        <v>2</v>
      </c>
      <c r="J528" s="159">
        <v>11</v>
      </c>
      <c r="K528" s="52">
        <v>0</v>
      </c>
      <c r="L528" s="153">
        <v>60500000</v>
      </c>
      <c r="M528" s="158" t="s">
        <v>473</v>
      </c>
      <c r="N528" s="53" t="s">
        <v>649</v>
      </c>
      <c r="O528" s="51" t="s">
        <v>227</v>
      </c>
      <c r="P528" s="160" t="str">
        <f>IFERROR(VLOOKUP(C528,TD!$B$32:$F$36,2,0)," ")</f>
        <v>O230117</v>
      </c>
      <c r="Q528" s="160" t="str">
        <f>IFERROR(VLOOKUP(C528,TD!$B$32:$F$36,3,0)," ")</f>
        <v>4503</v>
      </c>
      <c r="R528" s="160">
        <f>IFERROR(VLOOKUP(C528,TD!$B$32:$F$36,4,0)," ")</f>
        <v>20240255</v>
      </c>
      <c r="S528" s="51" t="s">
        <v>185</v>
      </c>
      <c r="T528" s="160" t="str">
        <f>IFERROR(VLOOKUP(S528,TD!$J$33:$K$43,2,0)," ")</f>
        <v>Infraestructura física, mantenimiento y dotación (Sedes construidas, mantenidas reforzadas)</v>
      </c>
      <c r="U528" s="161" t="str">
        <f>CONCATENATE(S528,"-",T528)</f>
        <v>08-Infraestructura física, mantenimiento y dotación (Sedes construidas, mantenidas reforzadas)</v>
      </c>
      <c r="V528" s="51" t="s">
        <v>236</v>
      </c>
      <c r="W528" s="160" t="str">
        <f>IFERROR(VLOOKUP(V528,TD!$N$33:$O$45,2,0)," ")</f>
        <v>Estaciones de bomberos adecuadas</v>
      </c>
      <c r="X528" s="161" t="str">
        <f>CONCATENATE(V528,"_",W528)</f>
        <v>014_Estaciones de bomberos adecuadas</v>
      </c>
      <c r="Y528" s="161" t="str">
        <f>CONCATENATE(U528," ",X528)</f>
        <v>08-Infraestructura física, mantenimiento y dotación (Sedes construidas, mantenidas reforzadas) 014_Estaciones de bomberos adecuadas</v>
      </c>
      <c r="Z528" s="160" t="str">
        <f>CONCATENATE(P528,Q528,R528,S528,V528)</f>
        <v>O23011745032024025508014</v>
      </c>
      <c r="AA528" s="160" t="str">
        <f>IFERROR(VLOOKUP(Y528,TD!$K$46:$L$64,2,0)," ")</f>
        <v>PM/0131/0108/45030140255</v>
      </c>
      <c r="AB528" s="53" t="s">
        <v>713</v>
      </c>
      <c r="AC528" s="162" t="s">
        <v>204</v>
      </c>
    </row>
    <row r="529" spans="2:29" s="28" customFormat="1" ht="99" customHeight="1" x14ac:dyDescent="0.35">
      <c r="B529" s="77">
        <v>20250547</v>
      </c>
      <c r="C529" s="50" t="s">
        <v>209</v>
      </c>
      <c r="D529" s="158" t="s">
        <v>166</v>
      </c>
      <c r="E529" s="51" t="s">
        <v>592</v>
      </c>
      <c r="F529" s="158" t="s">
        <v>705</v>
      </c>
      <c r="G529" s="158" t="s">
        <v>155</v>
      </c>
      <c r="H529" s="97" t="s">
        <v>648</v>
      </c>
      <c r="I529" s="159">
        <v>2</v>
      </c>
      <c r="J529" s="159">
        <v>11</v>
      </c>
      <c r="K529" s="52">
        <v>0</v>
      </c>
      <c r="L529" s="153">
        <v>72600000</v>
      </c>
      <c r="M529" s="158" t="s">
        <v>473</v>
      </c>
      <c r="N529" s="53" t="s">
        <v>649</v>
      </c>
      <c r="O529" s="51" t="s">
        <v>228</v>
      </c>
      <c r="P529" s="160" t="str">
        <f>IFERROR(VLOOKUP(C529,TD!$B$32:$F$36,2,0)," ")</f>
        <v>O230117</v>
      </c>
      <c r="Q529" s="160" t="str">
        <f>IFERROR(VLOOKUP(C529,TD!$B$32:$F$36,3,0)," ")</f>
        <v>4503</v>
      </c>
      <c r="R529" s="160">
        <f>IFERROR(VLOOKUP(C529,TD!$B$32:$F$36,4,0)," ")</f>
        <v>20240255</v>
      </c>
      <c r="S529" s="51" t="s">
        <v>185</v>
      </c>
      <c r="T529" s="160" t="str">
        <f>IFERROR(VLOOKUP(S529,TD!$J$33:$K$43,2,0)," ")</f>
        <v>Infraestructura física, mantenimiento y dotación (Sedes construidas, mantenidas reforzadas)</v>
      </c>
      <c r="U529" s="161" t="str">
        <f>CONCATENATE(S529,"-",T529)</f>
        <v>08-Infraestructura física, mantenimiento y dotación (Sedes construidas, mantenidas reforzadas)</v>
      </c>
      <c r="V529" s="51" t="s">
        <v>237</v>
      </c>
      <c r="W529" s="160" t="str">
        <f>IFERROR(VLOOKUP(V529,TD!$N$33:$O$45,2,0)," ")</f>
        <v>Estaciones de bomberos construidas</v>
      </c>
      <c r="X529" s="161" t="str">
        <f>CONCATENATE(V529,"_",W529)</f>
        <v>015_Estaciones de bomberos construidas</v>
      </c>
      <c r="Y529" s="161" t="str">
        <f>CONCATENATE(U529," ",X529)</f>
        <v>08-Infraestructura física, mantenimiento y dotación (Sedes construidas, mantenidas reforzadas) 015_Estaciones de bomberos construidas</v>
      </c>
      <c r="Z529" s="160" t="str">
        <f>CONCATENATE(P529,Q529,R529,S529,V529)</f>
        <v>O23011745032024025508015</v>
      </c>
      <c r="AA529" s="160" t="str">
        <f>IFERROR(VLOOKUP(Y529,TD!$K$46:$L$64,2,0)," ")</f>
        <v>PM/0131/0108/45030150255</v>
      </c>
      <c r="AB529" s="53" t="s">
        <v>120</v>
      </c>
      <c r="AC529" s="162" t="s">
        <v>204</v>
      </c>
    </row>
    <row r="530" spans="2:29" s="28" customFormat="1" ht="99" customHeight="1" x14ac:dyDescent="0.35">
      <c r="B530" s="77">
        <v>20250548</v>
      </c>
      <c r="C530" s="50" t="s">
        <v>209</v>
      </c>
      <c r="D530" s="158" t="s">
        <v>166</v>
      </c>
      <c r="E530" s="51" t="s">
        <v>592</v>
      </c>
      <c r="F530" s="158" t="s">
        <v>706</v>
      </c>
      <c r="G530" s="158" t="s">
        <v>155</v>
      </c>
      <c r="H530" s="97" t="s">
        <v>648</v>
      </c>
      <c r="I530" s="159">
        <v>2</v>
      </c>
      <c r="J530" s="159">
        <v>11</v>
      </c>
      <c r="K530" s="52">
        <v>0</v>
      </c>
      <c r="L530" s="153">
        <v>72600000</v>
      </c>
      <c r="M530" s="158" t="s">
        <v>473</v>
      </c>
      <c r="N530" s="53" t="s">
        <v>649</v>
      </c>
      <c r="O530" s="51" t="s">
        <v>230</v>
      </c>
      <c r="P530" s="160" t="str">
        <f>IFERROR(VLOOKUP(C530,TD!$B$32:$F$36,2,0)," ")</f>
        <v>O230117</v>
      </c>
      <c r="Q530" s="160" t="str">
        <f>IFERROR(VLOOKUP(C530,TD!$B$32:$F$36,3,0)," ")</f>
        <v>4503</v>
      </c>
      <c r="R530" s="160">
        <f>IFERROR(VLOOKUP(C530,TD!$B$32:$F$36,4,0)," ")</f>
        <v>20240255</v>
      </c>
      <c r="S530" s="51" t="s">
        <v>185</v>
      </c>
      <c r="T530" s="160" t="str">
        <f>IFERROR(VLOOKUP(S530,TD!$J$33:$K$43,2,0)," ")</f>
        <v>Infraestructura física, mantenimiento y dotación (Sedes construidas, mantenidas reforzadas)</v>
      </c>
      <c r="U530" s="161" t="str">
        <f>CONCATENATE(S530,"-",T530)</f>
        <v>08-Infraestructura física, mantenimiento y dotación (Sedes construidas, mantenidas reforzadas)</v>
      </c>
      <c r="V530" s="51" t="s">
        <v>294</v>
      </c>
      <c r="W530" s="160" t="str">
        <f>IFERROR(VLOOKUP(V530,TD!$N$33:$O$45,2,0)," ")</f>
        <v>Documentos de lineamientos técnicos</v>
      </c>
      <c r="X530" s="161" t="str">
        <f>CONCATENATE(V530,"_",W530)</f>
        <v>031__Documentos de lineamientos técnicos</v>
      </c>
      <c r="Y530" s="161" t="str">
        <f>CONCATENATE(U530," ",X530)</f>
        <v>08-Infraestructura física, mantenimiento y dotación (Sedes construidas, mantenidas reforzadas) 031__Documentos de lineamientos técnicos</v>
      </c>
      <c r="Z530" s="160" t="str">
        <f>CONCATENATE(P530,Q530,R530,S530,V530)</f>
        <v>O23011745032024025508031_</v>
      </c>
      <c r="AA530" s="160" t="str">
        <f>IFERROR(VLOOKUP(Y530,TD!$K$46:$L$64,2,0)," ")</f>
        <v>PM/0131/0108/45030310255</v>
      </c>
      <c r="AB530" s="53" t="s">
        <v>713</v>
      </c>
      <c r="AC530" s="162" t="s">
        <v>204</v>
      </c>
    </row>
    <row r="531" spans="2:29" s="28" customFormat="1" ht="99" customHeight="1" x14ac:dyDescent="0.35">
      <c r="B531" s="77">
        <v>20250549</v>
      </c>
      <c r="C531" s="50" t="s">
        <v>209</v>
      </c>
      <c r="D531" s="158" t="s">
        <v>166</v>
      </c>
      <c r="E531" s="51" t="s">
        <v>592</v>
      </c>
      <c r="F531" s="158" t="s">
        <v>707</v>
      </c>
      <c r="G531" s="158" t="s">
        <v>155</v>
      </c>
      <c r="H531" s="97" t="s">
        <v>648</v>
      </c>
      <c r="I531" s="159">
        <v>2</v>
      </c>
      <c r="J531" s="159">
        <v>11</v>
      </c>
      <c r="K531" s="52">
        <v>0</v>
      </c>
      <c r="L531" s="153">
        <v>67386352</v>
      </c>
      <c r="M531" s="158" t="s">
        <v>473</v>
      </c>
      <c r="N531" s="53" t="s">
        <v>649</v>
      </c>
      <c r="O531" s="51" t="s">
        <v>227</v>
      </c>
      <c r="P531" s="160" t="str">
        <f>IFERROR(VLOOKUP(C531,TD!$B$32:$F$36,2,0)," ")</f>
        <v>O230117</v>
      </c>
      <c r="Q531" s="160" t="str">
        <f>IFERROR(VLOOKUP(C531,TD!$B$32:$F$36,3,0)," ")</f>
        <v>4503</v>
      </c>
      <c r="R531" s="160">
        <f>IFERROR(VLOOKUP(C531,TD!$B$32:$F$36,4,0)," ")</f>
        <v>20240255</v>
      </c>
      <c r="S531" s="51" t="s">
        <v>185</v>
      </c>
      <c r="T531" s="160" t="str">
        <f>IFERROR(VLOOKUP(S531,TD!$J$33:$K$43,2,0)," ")</f>
        <v>Infraestructura física, mantenimiento y dotación (Sedes construidas, mantenidas reforzadas)</v>
      </c>
      <c r="U531" s="161" t="str">
        <f>CONCATENATE(S531,"-",T531)</f>
        <v>08-Infraestructura física, mantenimiento y dotación (Sedes construidas, mantenidas reforzadas)</v>
      </c>
      <c r="V531" s="51" t="s">
        <v>236</v>
      </c>
      <c r="W531" s="160" t="str">
        <f>IFERROR(VLOOKUP(V531,TD!$N$33:$O$45,2,0)," ")</f>
        <v>Estaciones de bomberos adecuadas</v>
      </c>
      <c r="X531" s="161" t="str">
        <f>CONCATENATE(V531,"_",W531)</f>
        <v>014_Estaciones de bomberos adecuadas</v>
      </c>
      <c r="Y531" s="161" t="str">
        <f>CONCATENATE(U531," ",X531)</f>
        <v>08-Infraestructura física, mantenimiento y dotación (Sedes construidas, mantenidas reforzadas) 014_Estaciones de bomberos adecuadas</v>
      </c>
      <c r="Z531" s="160" t="str">
        <f>CONCATENATE(P531,Q531,R531,S531,V531)</f>
        <v>O23011745032024025508014</v>
      </c>
      <c r="AA531" s="160" t="str">
        <f>IFERROR(VLOOKUP(Y531,TD!$K$46:$L$64,2,0)," ")</f>
        <v>PM/0131/0108/45030140255</v>
      </c>
      <c r="AB531" s="53" t="s">
        <v>713</v>
      </c>
      <c r="AC531" s="162" t="s">
        <v>204</v>
      </c>
    </row>
    <row r="532" spans="2:29" s="28" customFormat="1" ht="99" customHeight="1" x14ac:dyDescent="0.35">
      <c r="B532" s="77">
        <v>20250550</v>
      </c>
      <c r="C532" s="50" t="s">
        <v>209</v>
      </c>
      <c r="D532" s="158" t="s">
        <v>166</v>
      </c>
      <c r="E532" s="51" t="s">
        <v>592</v>
      </c>
      <c r="F532" s="158" t="s">
        <v>708</v>
      </c>
      <c r="G532" s="158" t="s">
        <v>155</v>
      </c>
      <c r="H532" s="97" t="s">
        <v>648</v>
      </c>
      <c r="I532" s="159">
        <v>2</v>
      </c>
      <c r="J532" s="159">
        <v>11</v>
      </c>
      <c r="K532" s="52">
        <v>0</v>
      </c>
      <c r="L532" s="153">
        <v>90750000</v>
      </c>
      <c r="M532" s="158" t="s">
        <v>473</v>
      </c>
      <c r="N532" s="53" t="s">
        <v>649</v>
      </c>
      <c r="O532" s="51" t="s">
        <v>227</v>
      </c>
      <c r="P532" s="160" t="str">
        <f>IFERROR(VLOOKUP(C532,TD!$B$32:$F$36,2,0)," ")</f>
        <v>O230117</v>
      </c>
      <c r="Q532" s="160" t="str">
        <f>IFERROR(VLOOKUP(C532,TD!$B$32:$F$36,3,0)," ")</f>
        <v>4503</v>
      </c>
      <c r="R532" s="160">
        <f>IFERROR(VLOOKUP(C532,TD!$B$32:$F$36,4,0)," ")</f>
        <v>20240255</v>
      </c>
      <c r="S532" s="51" t="s">
        <v>185</v>
      </c>
      <c r="T532" s="160" t="str">
        <f>IFERROR(VLOOKUP(S532,TD!$J$33:$K$43,2,0)," ")</f>
        <v>Infraestructura física, mantenimiento y dotación (Sedes construidas, mantenidas reforzadas)</v>
      </c>
      <c r="U532" s="161" t="str">
        <f>CONCATENATE(S532,"-",T532)</f>
        <v>08-Infraestructura física, mantenimiento y dotación (Sedes construidas, mantenidas reforzadas)</v>
      </c>
      <c r="V532" s="51" t="s">
        <v>236</v>
      </c>
      <c r="W532" s="160" t="str">
        <f>IFERROR(VLOOKUP(V532,TD!$N$33:$O$45,2,0)," ")</f>
        <v>Estaciones de bomberos adecuadas</v>
      </c>
      <c r="X532" s="161" t="str">
        <f>CONCATENATE(V532,"_",W532)</f>
        <v>014_Estaciones de bomberos adecuadas</v>
      </c>
      <c r="Y532" s="161" t="str">
        <f>CONCATENATE(U532," ",X532)</f>
        <v>08-Infraestructura física, mantenimiento y dotación (Sedes construidas, mantenidas reforzadas) 014_Estaciones de bomberos adecuadas</v>
      </c>
      <c r="Z532" s="160" t="str">
        <f>CONCATENATE(P532,Q532,R532,S532,V532)</f>
        <v>O23011745032024025508014</v>
      </c>
      <c r="AA532" s="160" t="str">
        <f>IFERROR(VLOOKUP(Y532,TD!$K$46:$L$64,2,0)," ")</f>
        <v>PM/0131/0108/45030140255</v>
      </c>
      <c r="AB532" s="53" t="s">
        <v>713</v>
      </c>
      <c r="AC532" s="162" t="s">
        <v>204</v>
      </c>
    </row>
    <row r="533" spans="2:29" s="28" customFormat="1" ht="99" customHeight="1" x14ac:dyDescent="0.35">
      <c r="B533" s="77">
        <v>20250551</v>
      </c>
      <c r="C533" s="50" t="s">
        <v>208</v>
      </c>
      <c r="D533" s="158" t="s">
        <v>166</v>
      </c>
      <c r="E533" s="51" t="s">
        <v>592</v>
      </c>
      <c r="F533" s="158" t="s">
        <v>602</v>
      </c>
      <c r="G533" s="158" t="s">
        <v>156</v>
      </c>
      <c r="H533" s="97" t="s">
        <v>648</v>
      </c>
      <c r="I533" s="159">
        <v>2</v>
      </c>
      <c r="J533" s="159">
        <v>11</v>
      </c>
      <c r="K533" s="52">
        <v>0</v>
      </c>
      <c r="L533" s="153">
        <v>33534424</v>
      </c>
      <c r="M533" s="158" t="s">
        <v>473</v>
      </c>
      <c r="N533" s="53" t="s">
        <v>649</v>
      </c>
      <c r="O533" s="51" t="s">
        <v>219</v>
      </c>
      <c r="P533" s="160" t="str">
        <f>IFERROR(VLOOKUP(C533,TD!$B$32:$F$36,2,0)," ")</f>
        <v>O230117</v>
      </c>
      <c r="Q533" s="160" t="str">
        <f>IFERROR(VLOOKUP(C533,TD!$B$32:$F$36,3,0)," ")</f>
        <v>4599</v>
      </c>
      <c r="R533" s="160">
        <f>IFERROR(VLOOKUP(C533,TD!$B$32:$F$36,4,0)," ")</f>
        <v>20240207</v>
      </c>
      <c r="S533" s="51" t="s">
        <v>185</v>
      </c>
      <c r="T533" s="160" t="str">
        <f>IFERROR(VLOOKUP(S533,TD!$J$33:$K$43,2,0)," ")</f>
        <v>Infraestructura física, mantenimiento y dotación (Sedes construidas, mantenidas reforzadas)</v>
      </c>
      <c r="U533" s="161" t="str">
        <f>CONCATENATE(S533,"-",T533)</f>
        <v>08-Infraestructura física, mantenimiento y dotación (Sedes construidas, mantenidas reforzadas)</v>
      </c>
      <c r="V533" s="51" t="s">
        <v>238</v>
      </c>
      <c r="W533" s="160" t="str">
        <f>IFERROR(VLOOKUP(V533,TD!$N$33:$O$45,2,0)," ")</f>
        <v>Sedes mantenidas</v>
      </c>
      <c r="X533" s="161" t="str">
        <f>CONCATENATE(V533,"_",W533)</f>
        <v>016_Sedes mantenidas</v>
      </c>
      <c r="Y533" s="161" t="str">
        <f>CONCATENATE(U533," ",X533)</f>
        <v>08-Infraestructura física, mantenimiento y dotación (Sedes construidas, mantenidas reforzadas) 016_Sedes mantenidas</v>
      </c>
      <c r="Z533" s="160" t="str">
        <f>CONCATENATE(P533,Q533,R533,S533,V533)</f>
        <v>O23011745992024020708016</v>
      </c>
      <c r="AA533" s="160" t="str">
        <f>IFERROR(VLOOKUP(Y533,TD!$K$46:$L$64,2,0)," ")</f>
        <v>PM/0131/0108/45990160207</v>
      </c>
      <c r="AB533" s="53" t="s">
        <v>138</v>
      </c>
      <c r="AC533" s="162" t="s">
        <v>204</v>
      </c>
    </row>
    <row r="534" spans="2:29" s="28" customFormat="1" ht="99" customHeight="1" x14ac:dyDescent="0.35">
      <c r="B534" s="77">
        <v>20250552</v>
      </c>
      <c r="C534" s="50" t="s">
        <v>208</v>
      </c>
      <c r="D534" s="158" t="s">
        <v>166</v>
      </c>
      <c r="E534" s="51" t="s">
        <v>592</v>
      </c>
      <c r="F534" s="158" t="s">
        <v>602</v>
      </c>
      <c r="G534" s="158" t="s">
        <v>156</v>
      </c>
      <c r="H534" s="97" t="s">
        <v>648</v>
      </c>
      <c r="I534" s="159">
        <v>2</v>
      </c>
      <c r="J534" s="159">
        <v>11</v>
      </c>
      <c r="K534" s="52">
        <v>0</v>
      </c>
      <c r="L534" s="153">
        <v>33534424</v>
      </c>
      <c r="M534" s="158" t="s">
        <v>473</v>
      </c>
      <c r="N534" s="53" t="s">
        <v>649</v>
      </c>
      <c r="O534" s="51" t="s">
        <v>219</v>
      </c>
      <c r="P534" s="160" t="str">
        <f>IFERROR(VLOOKUP(C534,TD!$B$32:$F$36,2,0)," ")</f>
        <v>O230117</v>
      </c>
      <c r="Q534" s="160" t="str">
        <f>IFERROR(VLOOKUP(C534,TD!$B$32:$F$36,3,0)," ")</f>
        <v>4599</v>
      </c>
      <c r="R534" s="160">
        <f>IFERROR(VLOOKUP(C534,TD!$B$32:$F$36,4,0)," ")</f>
        <v>20240207</v>
      </c>
      <c r="S534" s="51" t="s">
        <v>185</v>
      </c>
      <c r="T534" s="160" t="str">
        <f>IFERROR(VLOOKUP(S534,TD!$J$33:$K$43,2,0)," ")</f>
        <v>Infraestructura física, mantenimiento y dotación (Sedes construidas, mantenidas reforzadas)</v>
      </c>
      <c r="U534" s="161" t="str">
        <f>CONCATENATE(S534,"-",T534)</f>
        <v>08-Infraestructura física, mantenimiento y dotación (Sedes construidas, mantenidas reforzadas)</v>
      </c>
      <c r="V534" s="51" t="s">
        <v>238</v>
      </c>
      <c r="W534" s="160" t="str">
        <f>IFERROR(VLOOKUP(V534,TD!$N$33:$O$45,2,0)," ")</f>
        <v>Sedes mantenidas</v>
      </c>
      <c r="X534" s="161" t="str">
        <f>CONCATENATE(V534,"_",W534)</f>
        <v>016_Sedes mantenidas</v>
      </c>
      <c r="Y534" s="161" t="str">
        <f>CONCATENATE(U534," ",X534)</f>
        <v>08-Infraestructura física, mantenimiento y dotación (Sedes construidas, mantenidas reforzadas) 016_Sedes mantenidas</v>
      </c>
      <c r="Z534" s="160" t="str">
        <f>CONCATENATE(P534,Q534,R534,S534,V534)</f>
        <v>O23011745992024020708016</v>
      </c>
      <c r="AA534" s="160" t="str">
        <f>IFERROR(VLOOKUP(Y534,TD!$K$46:$L$64,2,0)," ")</f>
        <v>PM/0131/0108/45990160207</v>
      </c>
      <c r="AB534" s="53" t="s">
        <v>138</v>
      </c>
      <c r="AC534" s="162" t="s">
        <v>204</v>
      </c>
    </row>
    <row r="535" spans="2:29" s="28" customFormat="1" ht="99" customHeight="1" x14ac:dyDescent="0.35">
      <c r="B535" s="152">
        <v>20250553</v>
      </c>
      <c r="C535" s="164" t="s">
        <v>208</v>
      </c>
      <c r="D535" s="165" t="s">
        <v>166</v>
      </c>
      <c r="E535" s="166" t="s">
        <v>592</v>
      </c>
      <c r="F535" s="165" t="s">
        <v>927</v>
      </c>
      <c r="G535" s="165" t="s">
        <v>155</v>
      </c>
      <c r="H535" s="167" t="s">
        <v>648</v>
      </c>
      <c r="I535" s="163">
        <v>2</v>
      </c>
      <c r="J535" s="163">
        <v>11</v>
      </c>
      <c r="K535" s="151">
        <v>0</v>
      </c>
      <c r="L535" s="154">
        <v>46585000</v>
      </c>
      <c r="M535" s="165" t="s">
        <v>473</v>
      </c>
      <c r="N535" s="150" t="s">
        <v>649</v>
      </c>
      <c r="O535" s="166" t="s">
        <v>218</v>
      </c>
      <c r="P535" s="168" t="str">
        <f>IFERROR(VLOOKUP(C535,TD!$B$32:$F$36,2,0)," ")</f>
        <v>O230117</v>
      </c>
      <c r="Q535" s="168" t="str">
        <f>IFERROR(VLOOKUP(C535,TD!$B$32:$F$36,3,0)," ")</f>
        <v>4599</v>
      </c>
      <c r="R535" s="168">
        <f>IFERROR(VLOOKUP(C535,TD!$B$32:$F$36,4,0)," ")</f>
        <v>20240207</v>
      </c>
      <c r="S535" s="166" t="s">
        <v>185</v>
      </c>
      <c r="T535" s="168" t="str">
        <f>IFERROR(VLOOKUP(S535,TD!$J$33:$K$43,2,0)," ")</f>
        <v>Infraestructura física, mantenimiento y dotación (Sedes construidas, mantenidas reforzadas)</v>
      </c>
      <c r="U535" s="161" t="str">
        <f>CONCATENATE(S535,"-",T535)</f>
        <v>08-Infraestructura física, mantenimiento y dotación (Sedes construidas, mantenidas reforzadas)</v>
      </c>
      <c r="V535" s="166" t="s">
        <v>238</v>
      </c>
      <c r="W535" s="168" t="str">
        <f>IFERROR(VLOOKUP(V535,TD!$N$33:$O$45,2,0)," ")</f>
        <v>Sedes mantenidas</v>
      </c>
      <c r="X535" s="161" t="str">
        <f>CONCATENATE(V535,"_",W535)</f>
        <v>016_Sedes mantenidas</v>
      </c>
      <c r="Y535" s="161" t="str">
        <f>CONCATENATE(U535," ",X535)</f>
        <v>08-Infraestructura física, mantenimiento y dotación (Sedes construidas, mantenidas reforzadas) 016_Sedes mantenidas</v>
      </c>
      <c r="Z535" s="168" t="str">
        <f>CONCATENATE(P535,Q535,R535,S535,V535)</f>
        <v>O23011745992024020708016</v>
      </c>
      <c r="AA535" s="168" t="str">
        <f>IFERROR(VLOOKUP(Y535,TD!$K$46:$L$64,2,0)," ")</f>
        <v>PM/0131/0108/45990160207</v>
      </c>
      <c r="AB535" s="150" t="s">
        <v>138</v>
      </c>
      <c r="AC535" s="169" t="s">
        <v>204</v>
      </c>
    </row>
    <row r="536" spans="2:29" s="28" customFormat="1" ht="99" customHeight="1" x14ac:dyDescent="0.35">
      <c r="B536" s="77">
        <v>20250554</v>
      </c>
      <c r="C536" s="50" t="s">
        <v>208</v>
      </c>
      <c r="D536" s="158" t="s">
        <v>166</v>
      </c>
      <c r="E536" s="51" t="s">
        <v>592</v>
      </c>
      <c r="F536" s="158" t="s">
        <v>622</v>
      </c>
      <c r="G536" s="158" t="s">
        <v>156</v>
      </c>
      <c r="H536" s="97" t="s">
        <v>648</v>
      </c>
      <c r="I536" s="159">
        <v>2</v>
      </c>
      <c r="J536" s="159">
        <v>11</v>
      </c>
      <c r="K536" s="52">
        <v>0</v>
      </c>
      <c r="L536" s="153">
        <v>33534424</v>
      </c>
      <c r="M536" s="158" t="s">
        <v>473</v>
      </c>
      <c r="N536" s="53" t="s">
        <v>649</v>
      </c>
      <c r="O536" s="51" t="s">
        <v>219</v>
      </c>
      <c r="P536" s="160" t="str">
        <f>IFERROR(VLOOKUP(C536,TD!$B$32:$F$36,2,0)," ")</f>
        <v>O230117</v>
      </c>
      <c r="Q536" s="160" t="str">
        <f>IFERROR(VLOOKUP(C536,TD!$B$32:$F$36,3,0)," ")</f>
        <v>4599</v>
      </c>
      <c r="R536" s="160">
        <f>IFERROR(VLOOKUP(C536,TD!$B$32:$F$36,4,0)," ")</f>
        <v>20240207</v>
      </c>
      <c r="S536" s="51" t="s">
        <v>185</v>
      </c>
      <c r="T536" s="160" t="str">
        <f>IFERROR(VLOOKUP(S536,TD!$J$33:$K$43,2,0)," ")</f>
        <v>Infraestructura física, mantenimiento y dotación (Sedes construidas, mantenidas reforzadas)</v>
      </c>
      <c r="U536" s="161" t="str">
        <f>CONCATENATE(S536,"-",T536)</f>
        <v>08-Infraestructura física, mantenimiento y dotación (Sedes construidas, mantenidas reforzadas)</v>
      </c>
      <c r="V536" s="51" t="s">
        <v>238</v>
      </c>
      <c r="W536" s="160" t="str">
        <f>IFERROR(VLOOKUP(V536,TD!$N$33:$O$45,2,0)," ")</f>
        <v>Sedes mantenidas</v>
      </c>
      <c r="X536" s="161" t="str">
        <f>CONCATENATE(V536,"_",W536)</f>
        <v>016_Sedes mantenidas</v>
      </c>
      <c r="Y536" s="161" t="str">
        <f>CONCATENATE(U536," ",X536)</f>
        <v>08-Infraestructura física, mantenimiento y dotación (Sedes construidas, mantenidas reforzadas) 016_Sedes mantenidas</v>
      </c>
      <c r="Z536" s="160" t="str">
        <f>CONCATENATE(P536,Q536,R536,S536,V536)</f>
        <v>O23011745992024020708016</v>
      </c>
      <c r="AA536" s="160" t="str">
        <f>IFERROR(VLOOKUP(Y536,TD!$K$46:$L$64,2,0)," ")</f>
        <v>PM/0131/0108/45990160207</v>
      </c>
      <c r="AB536" s="53" t="s">
        <v>138</v>
      </c>
      <c r="AC536" s="162" t="s">
        <v>204</v>
      </c>
    </row>
    <row r="537" spans="2:29" s="28" customFormat="1" ht="99" customHeight="1" x14ac:dyDescent="0.35">
      <c r="B537" s="77">
        <v>20250555</v>
      </c>
      <c r="C537" s="50" t="s">
        <v>208</v>
      </c>
      <c r="D537" s="158" t="s">
        <v>166</v>
      </c>
      <c r="E537" s="51" t="s">
        <v>592</v>
      </c>
      <c r="F537" s="158" t="s">
        <v>622</v>
      </c>
      <c r="G537" s="158" t="s">
        <v>156</v>
      </c>
      <c r="H537" s="97" t="s">
        <v>648</v>
      </c>
      <c r="I537" s="159">
        <v>2</v>
      </c>
      <c r="J537" s="159">
        <v>11</v>
      </c>
      <c r="K537" s="52">
        <v>0</v>
      </c>
      <c r="L537" s="153">
        <v>33534424</v>
      </c>
      <c r="M537" s="158" t="s">
        <v>473</v>
      </c>
      <c r="N537" s="53" t="s">
        <v>649</v>
      </c>
      <c r="O537" s="51" t="s">
        <v>219</v>
      </c>
      <c r="P537" s="160" t="str">
        <f>IFERROR(VLOOKUP(C537,TD!$B$32:$F$36,2,0)," ")</f>
        <v>O230117</v>
      </c>
      <c r="Q537" s="160" t="str">
        <f>IFERROR(VLOOKUP(C537,TD!$B$32:$F$36,3,0)," ")</f>
        <v>4599</v>
      </c>
      <c r="R537" s="160">
        <f>IFERROR(VLOOKUP(C537,TD!$B$32:$F$36,4,0)," ")</f>
        <v>20240207</v>
      </c>
      <c r="S537" s="51" t="s">
        <v>185</v>
      </c>
      <c r="T537" s="160" t="str">
        <f>IFERROR(VLOOKUP(S537,TD!$J$33:$K$43,2,0)," ")</f>
        <v>Infraestructura física, mantenimiento y dotación (Sedes construidas, mantenidas reforzadas)</v>
      </c>
      <c r="U537" s="161" t="str">
        <f>CONCATENATE(S537,"-",T537)</f>
        <v>08-Infraestructura física, mantenimiento y dotación (Sedes construidas, mantenidas reforzadas)</v>
      </c>
      <c r="V537" s="51" t="s">
        <v>238</v>
      </c>
      <c r="W537" s="160" t="str">
        <f>IFERROR(VLOOKUP(V537,TD!$N$33:$O$45,2,0)," ")</f>
        <v>Sedes mantenidas</v>
      </c>
      <c r="X537" s="161" t="str">
        <f>CONCATENATE(V537,"_",W537)</f>
        <v>016_Sedes mantenidas</v>
      </c>
      <c r="Y537" s="161" t="str">
        <f>CONCATENATE(U537," ",X537)</f>
        <v>08-Infraestructura física, mantenimiento y dotación (Sedes construidas, mantenidas reforzadas) 016_Sedes mantenidas</v>
      </c>
      <c r="Z537" s="160" t="str">
        <f>CONCATENATE(P537,Q537,R537,S537,V537)</f>
        <v>O23011745992024020708016</v>
      </c>
      <c r="AA537" s="160" t="str">
        <f>IFERROR(VLOOKUP(Y537,TD!$K$46:$L$64,2,0)," ")</f>
        <v>PM/0131/0108/45990160207</v>
      </c>
      <c r="AB537" s="53" t="s">
        <v>138</v>
      </c>
      <c r="AC537" s="162" t="s">
        <v>204</v>
      </c>
    </row>
    <row r="538" spans="2:29" s="28" customFormat="1" ht="99" customHeight="1" x14ac:dyDescent="0.35">
      <c r="B538" s="77">
        <v>20250556</v>
      </c>
      <c r="C538" s="50" t="s">
        <v>208</v>
      </c>
      <c r="D538" s="158" t="s">
        <v>166</v>
      </c>
      <c r="E538" s="51" t="s">
        <v>592</v>
      </c>
      <c r="F538" s="158" t="s">
        <v>709</v>
      </c>
      <c r="G538" s="158" t="s">
        <v>156</v>
      </c>
      <c r="H538" s="97" t="s">
        <v>648</v>
      </c>
      <c r="I538" s="159">
        <v>2</v>
      </c>
      <c r="J538" s="159">
        <v>11</v>
      </c>
      <c r="K538" s="52">
        <v>0</v>
      </c>
      <c r="L538" s="153">
        <v>33534424</v>
      </c>
      <c r="M538" s="158" t="s">
        <v>473</v>
      </c>
      <c r="N538" s="53" t="s">
        <v>649</v>
      </c>
      <c r="O538" s="51" t="s">
        <v>219</v>
      </c>
      <c r="P538" s="160" t="str">
        <f>IFERROR(VLOOKUP(C538,TD!$B$32:$F$36,2,0)," ")</f>
        <v>O230117</v>
      </c>
      <c r="Q538" s="160" t="str">
        <f>IFERROR(VLOOKUP(C538,TD!$B$32:$F$36,3,0)," ")</f>
        <v>4599</v>
      </c>
      <c r="R538" s="160">
        <f>IFERROR(VLOOKUP(C538,TD!$B$32:$F$36,4,0)," ")</f>
        <v>20240207</v>
      </c>
      <c r="S538" s="51" t="s">
        <v>185</v>
      </c>
      <c r="T538" s="160" t="str">
        <f>IFERROR(VLOOKUP(S538,TD!$J$33:$K$43,2,0)," ")</f>
        <v>Infraestructura física, mantenimiento y dotación (Sedes construidas, mantenidas reforzadas)</v>
      </c>
      <c r="U538" s="161" t="str">
        <f>CONCATENATE(S538,"-",T538)</f>
        <v>08-Infraestructura física, mantenimiento y dotación (Sedes construidas, mantenidas reforzadas)</v>
      </c>
      <c r="V538" s="51" t="s">
        <v>238</v>
      </c>
      <c r="W538" s="160" t="str">
        <f>IFERROR(VLOOKUP(V538,TD!$N$33:$O$45,2,0)," ")</f>
        <v>Sedes mantenidas</v>
      </c>
      <c r="X538" s="161" t="str">
        <f>CONCATENATE(V538,"_",W538)</f>
        <v>016_Sedes mantenidas</v>
      </c>
      <c r="Y538" s="161" t="str">
        <f>CONCATENATE(U538," ",X538)</f>
        <v>08-Infraestructura física, mantenimiento y dotación (Sedes construidas, mantenidas reforzadas) 016_Sedes mantenidas</v>
      </c>
      <c r="Z538" s="160" t="str">
        <f>CONCATENATE(P538,Q538,R538,S538,V538)</f>
        <v>O23011745992024020708016</v>
      </c>
      <c r="AA538" s="160" t="str">
        <f>IFERROR(VLOOKUP(Y538,TD!$K$46:$L$64,2,0)," ")</f>
        <v>PM/0131/0108/45990160207</v>
      </c>
      <c r="AB538" s="53" t="s">
        <v>138</v>
      </c>
      <c r="AC538" s="162" t="s">
        <v>204</v>
      </c>
    </row>
    <row r="539" spans="2:29" s="28" customFormat="1" ht="99" customHeight="1" x14ac:dyDescent="0.35">
      <c r="B539" s="77">
        <v>20250557</v>
      </c>
      <c r="C539" s="50" t="s">
        <v>208</v>
      </c>
      <c r="D539" s="158" t="s">
        <v>166</v>
      </c>
      <c r="E539" s="51" t="s">
        <v>592</v>
      </c>
      <c r="F539" s="158" t="s">
        <v>710</v>
      </c>
      <c r="G539" s="158" t="s">
        <v>156</v>
      </c>
      <c r="H539" s="97" t="s">
        <v>648</v>
      </c>
      <c r="I539" s="159">
        <v>2</v>
      </c>
      <c r="J539" s="159">
        <v>11</v>
      </c>
      <c r="K539" s="52">
        <v>0</v>
      </c>
      <c r="L539" s="153">
        <v>45853192</v>
      </c>
      <c r="M539" s="158" t="s">
        <v>473</v>
      </c>
      <c r="N539" s="53" t="s">
        <v>649</v>
      </c>
      <c r="O539" s="51" t="s">
        <v>219</v>
      </c>
      <c r="P539" s="160" t="str">
        <f>IFERROR(VLOOKUP(C539,TD!$B$32:$F$36,2,0)," ")</f>
        <v>O230117</v>
      </c>
      <c r="Q539" s="160" t="str">
        <f>IFERROR(VLOOKUP(C539,TD!$B$32:$F$36,3,0)," ")</f>
        <v>4599</v>
      </c>
      <c r="R539" s="160">
        <f>IFERROR(VLOOKUP(C539,TD!$B$32:$F$36,4,0)," ")</f>
        <v>20240207</v>
      </c>
      <c r="S539" s="51" t="s">
        <v>185</v>
      </c>
      <c r="T539" s="160" t="str">
        <f>IFERROR(VLOOKUP(S539,TD!$J$33:$K$43,2,0)," ")</f>
        <v>Infraestructura física, mantenimiento y dotación (Sedes construidas, mantenidas reforzadas)</v>
      </c>
      <c r="U539" s="161" t="str">
        <f>CONCATENATE(S539,"-",T539)</f>
        <v>08-Infraestructura física, mantenimiento y dotación (Sedes construidas, mantenidas reforzadas)</v>
      </c>
      <c r="V539" s="51" t="s">
        <v>238</v>
      </c>
      <c r="W539" s="160" t="str">
        <f>IFERROR(VLOOKUP(V539,TD!$N$33:$O$45,2,0)," ")</f>
        <v>Sedes mantenidas</v>
      </c>
      <c r="X539" s="161" t="str">
        <f>CONCATENATE(V539,"_",W539)</f>
        <v>016_Sedes mantenidas</v>
      </c>
      <c r="Y539" s="161" t="str">
        <f>CONCATENATE(U539," ",X539)</f>
        <v>08-Infraestructura física, mantenimiento y dotación (Sedes construidas, mantenidas reforzadas) 016_Sedes mantenidas</v>
      </c>
      <c r="Z539" s="160" t="str">
        <f>CONCATENATE(P539,Q539,R539,S539,V539)</f>
        <v>O23011745992024020708016</v>
      </c>
      <c r="AA539" s="160" t="str">
        <f>IFERROR(VLOOKUP(Y539,TD!$K$46:$L$64,2,0)," ")</f>
        <v>PM/0131/0108/45990160207</v>
      </c>
      <c r="AB539" s="53" t="s">
        <v>138</v>
      </c>
      <c r="AC539" s="162" t="s">
        <v>204</v>
      </c>
    </row>
    <row r="540" spans="2:29" s="28" customFormat="1" ht="99" customHeight="1" x14ac:dyDescent="0.35">
      <c r="B540" s="152">
        <v>20250558</v>
      </c>
      <c r="C540" s="50" t="s">
        <v>346</v>
      </c>
      <c r="D540" s="158" t="s">
        <v>166</v>
      </c>
      <c r="E540" s="51" t="s">
        <v>592</v>
      </c>
      <c r="F540" s="158" t="s">
        <v>692</v>
      </c>
      <c r="G540" s="158" t="s">
        <v>96</v>
      </c>
      <c r="H540" s="97" t="s">
        <v>671</v>
      </c>
      <c r="I540" s="159">
        <v>2</v>
      </c>
      <c r="J540" s="159">
        <v>4</v>
      </c>
      <c r="K540" s="52">
        <v>0</v>
      </c>
      <c r="L540" s="153">
        <f>240000000+200000000</f>
        <v>440000000</v>
      </c>
      <c r="M540" s="158" t="s">
        <v>172</v>
      </c>
      <c r="N540" s="53" t="s">
        <v>85</v>
      </c>
      <c r="O540" s="51" t="s">
        <v>347</v>
      </c>
      <c r="P540" s="160" t="str">
        <f>IFERROR(VLOOKUP(C540,TD!$B$32:$F$36,2,0)," ")</f>
        <v>NA</v>
      </c>
      <c r="Q540" s="160" t="str">
        <f>IFERROR(VLOOKUP(C540,TD!$B$32:$F$36,3,0)," ")</f>
        <v>NA</v>
      </c>
      <c r="R540" s="160" t="str">
        <f>IFERROR(VLOOKUP(C540,TD!$B$32:$F$36,4,0)," ")</f>
        <v>NA</v>
      </c>
      <c r="S540" s="51" t="s">
        <v>406</v>
      </c>
      <c r="T540" s="160" t="str">
        <f>IFERROR(VLOOKUP(S540,TD!$J$33:$K$43,2,0)," ")</f>
        <v>N/A</v>
      </c>
      <c r="U540" s="161" t="str">
        <f>CONCATENATE(S540,"-",T540)</f>
        <v>N/A-N/A</v>
      </c>
      <c r="V540" s="51" t="s">
        <v>406</v>
      </c>
      <c r="W540" s="160" t="str">
        <f>IFERROR(VLOOKUP(V540,TD!$N$33:$O$45,2,0)," ")</f>
        <v>N/A</v>
      </c>
      <c r="X540" s="161" t="str">
        <f>CONCATENATE(V540,"_",W540)</f>
        <v>N/A_N/A</v>
      </c>
      <c r="Y540" s="161" t="str">
        <f>CONCATENATE(U540," ",X540)</f>
        <v>N/A-N/A N/A_N/A</v>
      </c>
      <c r="Z540" s="160" t="str">
        <f>CONCATENATE(P540,Q540,R540,S540,V540)</f>
        <v>NANANAN/AN/A</v>
      </c>
      <c r="AA540" s="160" t="str">
        <f>IFERROR(VLOOKUP(Y540,TD!$K$46:$L$64,2,0)," ")</f>
        <v>N/A</v>
      </c>
      <c r="AB540" s="53" t="s">
        <v>715</v>
      </c>
      <c r="AC540" s="162" t="s">
        <v>205</v>
      </c>
    </row>
    <row r="541" spans="2:29" s="28" customFormat="1" ht="99" customHeight="1" x14ac:dyDescent="0.35">
      <c r="B541" s="186">
        <v>20250559</v>
      </c>
      <c r="C541" s="187" t="s">
        <v>346</v>
      </c>
      <c r="D541" s="188" t="s">
        <v>162</v>
      </c>
      <c r="E541" s="189" t="s">
        <v>355</v>
      </c>
      <c r="F541" s="188" t="s">
        <v>716</v>
      </c>
      <c r="G541" s="188" t="s">
        <v>157</v>
      </c>
      <c r="H541" s="190" t="s">
        <v>720</v>
      </c>
      <c r="I541" s="191">
        <v>5</v>
      </c>
      <c r="J541" s="191">
        <v>8</v>
      </c>
      <c r="K541" s="192">
        <v>0</v>
      </c>
      <c r="L541" s="193">
        <v>96870000</v>
      </c>
      <c r="M541" s="188" t="s">
        <v>172</v>
      </c>
      <c r="N541" s="194" t="s">
        <v>95</v>
      </c>
      <c r="O541" s="189" t="s">
        <v>347</v>
      </c>
      <c r="P541" s="195" t="str">
        <f>IFERROR(VLOOKUP(C541,TD!$B$32:$F$36,2,0)," ")</f>
        <v>NA</v>
      </c>
      <c r="Q541" s="195" t="str">
        <f>IFERROR(VLOOKUP(C541,TD!$B$32:$F$36,3,0)," ")</f>
        <v>NA</v>
      </c>
      <c r="R541" s="195" t="str">
        <f>IFERROR(VLOOKUP(C541,TD!$B$32:$F$36,4,0)," ")</f>
        <v>NA</v>
      </c>
      <c r="S541" s="189" t="s">
        <v>406</v>
      </c>
      <c r="T541" s="195" t="str">
        <f>IFERROR(VLOOKUP(S541,TD!$J$33:$K$43,2,0)," ")</f>
        <v>N/A</v>
      </c>
      <c r="U541" s="161" t="str">
        <f>CONCATENATE(S541,"-",T541)</f>
        <v>N/A-N/A</v>
      </c>
      <c r="V541" s="189" t="s">
        <v>406</v>
      </c>
      <c r="W541" s="195" t="str">
        <f>IFERROR(VLOOKUP(V541,TD!$N$33:$O$45,2,0)," ")</f>
        <v>N/A</v>
      </c>
      <c r="X541" s="161" t="str">
        <f>CONCATENATE(V541,"_",W541)</f>
        <v>N/A_N/A</v>
      </c>
      <c r="Y541" s="161" t="str">
        <f>CONCATENATE(U541," ",X541)</f>
        <v>N/A-N/A N/A_N/A</v>
      </c>
      <c r="Z541" s="195" t="str">
        <f>CONCATENATE(P541,Q541,R541,S541,V541)</f>
        <v>NANANAN/AN/A</v>
      </c>
      <c r="AA541" s="195" t="str">
        <f>IFERROR(VLOOKUP(Y541,TD!$K$46:$L$64,2,0)," ")</f>
        <v>N/A</v>
      </c>
      <c r="AB541" s="194" t="s">
        <v>448</v>
      </c>
      <c r="AC541" s="196" t="s">
        <v>204</v>
      </c>
    </row>
    <row r="542" spans="2:29" s="28" customFormat="1" ht="99" customHeight="1" x14ac:dyDescent="0.35">
      <c r="B542" s="186">
        <v>20250560</v>
      </c>
      <c r="C542" s="187" t="s">
        <v>346</v>
      </c>
      <c r="D542" s="188" t="s">
        <v>162</v>
      </c>
      <c r="E542" s="189" t="s">
        <v>355</v>
      </c>
      <c r="F542" s="188" t="s">
        <v>717</v>
      </c>
      <c r="G542" s="188" t="s">
        <v>154</v>
      </c>
      <c r="H542" s="190">
        <v>81112100</v>
      </c>
      <c r="I542" s="191">
        <v>3</v>
      </c>
      <c r="J542" s="191">
        <v>11</v>
      </c>
      <c r="K542" s="192">
        <v>0</v>
      </c>
      <c r="L542" s="193">
        <v>560000000</v>
      </c>
      <c r="M542" s="188" t="s">
        <v>172</v>
      </c>
      <c r="N542" s="194" t="s">
        <v>113</v>
      </c>
      <c r="O542" s="189" t="s">
        <v>347</v>
      </c>
      <c r="P542" s="195" t="str">
        <f>IFERROR(VLOOKUP(C542,TD!$B$32:$F$36,2,0)," ")</f>
        <v>NA</v>
      </c>
      <c r="Q542" s="195" t="str">
        <f>IFERROR(VLOOKUP(C542,TD!$B$32:$F$36,3,0)," ")</f>
        <v>NA</v>
      </c>
      <c r="R542" s="195" t="str">
        <f>IFERROR(VLOOKUP(C542,TD!$B$32:$F$36,4,0)," ")</f>
        <v>NA</v>
      </c>
      <c r="S542" s="189" t="s">
        <v>406</v>
      </c>
      <c r="T542" s="195" t="str">
        <f>IFERROR(VLOOKUP(S542,TD!$J$33:$K$43,2,0)," ")</f>
        <v>N/A</v>
      </c>
      <c r="U542" s="161" t="str">
        <f>CONCATENATE(S542,"-",T542)</f>
        <v>N/A-N/A</v>
      </c>
      <c r="V542" s="189" t="s">
        <v>406</v>
      </c>
      <c r="W542" s="195" t="str">
        <f>IFERROR(VLOOKUP(V542,TD!$N$33:$O$45,2,0)," ")</f>
        <v>N/A</v>
      </c>
      <c r="X542" s="161" t="str">
        <f>CONCATENATE(V542,"_",W542)</f>
        <v>N/A_N/A</v>
      </c>
      <c r="Y542" s="161" t="str">
        <f>CONCATENATE(U542," ",X542)</f>
        <v>N/A-N/A N/A_N/A</v>
      </c>
      <c r="Z542" s="195" t="str">
        <f>CONCATENATE(P542,Q542,R542,S542,V542)</f>
        <v>NANANAN/AN/A</v>
      </c>
      <c r="AA542" s="195" t="str">
        <f>IFERROR(VLOOKUP(Y542,TD!$K$46:$L$64,2,0)," ")</f>
        <v>N/A</v>
      </c>
      <c r="AB542" s="194" t="s">
        <v>449</v>
      </c>
      <c r="AC542" s="196" t="s">
        <v>204</v>
      </c>
    </row>
    <row r="543" spans="2:29" s="28" customFormat="1" ht="99" customHeight="1" x14ac:dyDescent="0.35">
      <c r="B543" s="186">
        <v>20250561</v>
      </c>
      <c r="C543" s="187" t="s">
        <v>346</v>
      </c>
      <c r="D543" s="188" t="s">
        <v>162</v>
      </c>
      <c r="E543" s="189" t="s">
        <v>355</v>
      </c>
      <c r="F543" s="188" t="s">
        <v>718</v>
      </c>
      <c r="G543" s="188" t="s">
        <v>149</v>
      </c>
      <c r="H543" s="190" t="s">
        <v>721</v>
      </c>
      <c r="I543" s="191">
        <v>11</v>
      </c>
      <c r="J543" s="191">
        <v>12</v>
      </c>
      <c r="K543" s="192">
        <v>0</v>
      </c>
      <c r="L543" s="193">
        <v>53000000</v>
      </c>
      <c r="M543" s="188" t="s">
        <v>172</v>
      </c>
      <c r="N543" s="194" t="s">
        <v>100</v>
      </c>
      <c r="O543" s="189" t="s">
        <v>347</v>
      </c>
      <c r="P543" s="195" t="str">
        <f>IFERROR(VLOOKUP(C543,TD!$B$32:$F$36,2,0)," ")</f>
        <v>NA</v>
      </c>
      <c r="Q543" s="195" t="str">
        <f>IFERROR(VLOOKUP(C543,TD!$B$32:$F$36,3,0)," ")</f>
        <v>NA</v>
      </c>
      <c r="R543" s="195" t="str">
        <f>IFERROR(VLOOKUP(C543,TD!$B$32:$F$36,4,0)," ")</f>
        <v>NA</v>
      </c>
      <c r="S543" s="189" t="s">
        <v>406</v>
      </c>
      <c r="T543" s="195" t="str">
        <f>IFERROR(VLOOKUP(S543,TD!$J$33:$K$43,2,0)," ")</f>
        <v>N/A</v>
      </c>
      <c r="U543" s="161" t="str">
        <f>CONCATENATE(S543,"-",T543)</f>
        <v>N/A-N/A</v>
      </c>
      <c r="V543" s="189" t="s">
        <v>406</v>
      </c>
      <c r="W543" s="195" t="str">
        <f>IFERROR(VLOOKUP(V543,TD!$N$33:$O$45,2,0)," ")</f>
        <v>N/A</v>
      </c>
      <c r="X543" s="161" t="str">
        <f>CONCATENATE(V543,"_",W543)</f>
        <v>N/A_N/A</v>
      </c>
      <c r="Y543" s="161" t="str">
        <f>CONCATENATE(U543," ",X543)</f>
        <v>N/A-N/A N/A_N/A</v>
      </c>
      <c r="Z543" s="195" t="str">
        <f>CONCATENATE(P543,Q543,R543,S543,V543)</f>
        <v>NANANAN/AN/A</v>
      </c>
      <c r="AA543" s="195" t="str">
        <f>IFERROR(VLOOKUP(Y543,TD!$K$46:$L$64,2,0)," ")</f>
        <v>N/A</v>
      </c>
      <c r="AB543" s="194" t="s">
        <v>450</v>
      </c>
      <c r="AC543" s="196" t="s">
        <v>204</v>
      </c>
    </row>
    <row r="544" spans="2:29" s="28" customFormat="1" ht="99" customHeight="1" x14ac:dyDescent="0.35">
      <c r="B544" s="186">
        <v>20250562</v>
      </c>
      <c r="C544" s="187" t="s">
        <v>346</v>
      </c>
      <c r="D544" s="188" t="s">
        <v>162</v>
      </c>
      <c r="E544" s="189" t="s">
        <v>355</v>
      </c>
      <c r="F544" s="188" t="s">
        <v>719</v>
      </c>
      <c r="G544" s="188" t="s">
        <v>158</v>
      </c>
      <c r="H544" s="190" t="s">
        <v>722</v>
      </c>
      <c r="I544" s="191">
        <v>11</v>
      </c>
      <c r="J544" s="191">
        <v>12</v>
      </c>
      <c r="K544" s="192">
        <v>0</v>
      </c>
      <c r="L544" s="193">
        <v>13000000</v>
      </c>
      <c r="M544" s="188" t="s">
        <v>172</v>
      </c>
      <c r="N544" s="194" t="s">
        <v>100</v>
      </c>
      <c r="O544" s="189" t="s">
        <v>347</v>
      </c>
      <c r="P544" s="195" t="str">
        <f>IFERROR(VLOOKUP(C544,TD!$B$32:$F$36,2,0)," ")</f>
        <v>NA</v>
      </c>
      <c r="Q544" s="195" t="str">
        <f>IFERROR(VLOOKUP(C544,TD!$B$32:$F$36,3,0)," ")</f>
        <v>NA</v>
      </c>
      <c r="R544" s="195" t="str">
        <f>IFERROR(VLOOKUP(C544,TD!$B$32:$F$36,4,0)," ")</f>
        <v>NA</v>
      </c>
      <c r="S544" s="189" t="s">
        <v>406</v>
      </c>
      <c r="T544" s="195" t="str">
        <f>IFERROR(VLOOKUP(S544,TD!$J$33:$K$43,2,0)," ")</f>
        <v>N/A</v>
      </c>
      <c r="U544" s="161" t="str">
        <f>CONCATENATE(S544,"-",T544)</f>
        <v>N/A-N/A</v>
      </c>
      <c r="V544" s="189" t="s">
        <v>406</v>
      </c>
      <c r="W544" s="195" t="str">
        <f>IFERROR(VLOOKUP(V544,TD!$N$33:$O$45,2,0)," ")</f>
        <v>N/A</v>
      </c>
      <c r="X544" s="161" t="str">
        <f>CONCATENATE(V544,"_",W544)</f>
        <v>N/A_N/A</v>
      </c>
      <c r="Y544" s="161" t="str">
        <f>CONCATENATE(U544," ",X544)</f>
        <v>N/A-N/A N/A_N/A</v>
      </c>
      <c r="Z544" s="195" t="str">
        <f>CONCATENATE(P544,Q544,R544,S544,V544)</f>
        <v>NANANAN/AN/A</v>
      </c>
      <c r="AA544" s="195" t="str">
        <f>IFERROR(VLOOKUP(Y544,TD!$K$46:$L$64,2,0)," ")</f>
        <v>N/A</v>
      </c>
      <c r="AB544" s="194" t="s">
        <v>449</v>
      </c>
      <c r="AC544" s="196" t="s">
        <v>204</v>
      </c>
    </row>
    <row r="545" spans="2:29" s="28" customFormat="1" ht="99" customHeight="1" x14ac:dyDescent="0.35">
      <c r="B545" s="77">
        <v>20250563</v>
      </c>
      <c r="C545" s="50" t="s">
        <v>208</v>
      </c>
      <c r="D545" s="158" t="s">
        <v>45</v>
      </c>
      <c r="E545" s="51" t="s">
        <v>355</v>
      </c>
      <c r="F545" s="158" t="s">
        <v>723</v>
      </c>
      <c r="G545" s="158" t="s">
        <v>155</v>
      </c>
      <c r="H545" s="97">
        <v>80111600</v>
      </c>
      <c r="I545" s="159">
        <v>2</v>
      </c>
      <c r="J545" s="159">
        <v>8</v>
      </c>
      <c r="K545" s="52">
        <v>0</v>
      </c>
      <c r="L545" s="153">
        <v>64000000</v>
      </c>
      <c r="M545" s="158" t="s">
        <v>473</v>
      </c>
      <c r="N545" s="53" t="s">
        <v>113</v>
      </c>
      <c r="O545" s="51" t="s">
        <v>219</v>
      </c>
      <c r="P545" s="160" t="str">
        <f>IFERROR(VLOOKUP(C545,TD!$B$32:$F$36,2,0)," ")</f>
        <v>O230117</v>
      </c>
      <c r="Q545" s="160" t="str">
        <f>IFERROR(VLOOKUP(C545,TD!$B$32:$F$36,3,0)," ")</f>
        <v>4599</v>
      </c>
      <c r="R545" s="160">
        <f>IFERROR(VLOOKUP(C545,TD!$B$32:$F$36,4,0)," ")</f>
        <v>20240207</v>
      </c>
      <c r="S545" s="51" t="s">
        <v>185</v>
      </c>
      <c r="T545" s="160" t="str">
        <f>IFERROR(VLOOKUP(S545,TD!$J$33:$K$43,2,0)," ")</f>
        <v>Infraestructura física, mantenimiento y dotación (Sedes construidas, mantenidas reforzadas)</v>
      </c>
      <c r="U545" s="161" t="str">
        <f>CONCATENATE(S545,"-",T545)</f>
        <v>08-Infraestructura física, mantenimiento y dotación (Sedes construidas, mantenidas reforzadas)</v>
      </c>
      <c r="V545" s="51" t="s">
        <v>238</v>
      </c>
      <c r="W545" s="160" t="str">
        <f>IFERROR(VLOOKUP(V545,TD!$N$33:$O$45,2,0)," ")</f>
        <v>Sedes mantenidas</v>
      </c>
      <c r="X545" s="161" t="str">
        <f>CONCATENATE(V545,"_",W545)</f>
        <v>016_Sedes mantenidas</v>
      </c>
      <c r="Y545" s="161" t="str">
        <f>CONCATENATE(U545," ",X545)</f>
        <v>08-Infraestructura física, mantenimiento y dotación (Sedes construidas, mantenidas reforzadas) 016_Sedes mantenidas</v>
      </c>
      <c r="Z545" s="160" t="str">
        <f>CONCATENATE(P545,Q545,R545,S545,V545)</f>
        <v>O23011745992024020708016</v>
      </c>
      <c r="AA545" s="160" t="str">
        <f>IFERROR(VLOOKUP(Y545,TD!$K$46:$L$64,2,0)," ")</f>
        <v>PM/0131/0108/45990160207</v>
      </c>
      <c r="AB545" s="53" t="s">
        <v>138</v>
      </c>
      <c r="AC545" s="162" t="s">
        <v>204</v>
      </c>
    </row>
    <row r="546" spans="2:29" s="28" customFormat="1" ht="99" customHeight="1" x14ac:dyDescent="0.35">
      <c r="B546" s="77">
        <v>20250564</v>
      </c>
      <c r="C546" s="50" t="s">
        <v>208</v>
      </c>
      <c r="D546" s="158" t="s">
        <v>45</v>
      </c>
      <c r="E546" s="51" t="s">
        <v>355</v>
      </c>
      <c r="F546" s="158" t="s">
        <v>724</v>
      </c>
      <c r="G546" s="158" t="s">
        <v>155</v>
      </c>
      <c r="H546" s="97">
        <v>80111600</v>
      </c>
      <c r="I546" s="159">
        <v>2</v>
      </c>
      <c r="J546" s="159">
        <v>8</v>
      </c>
      <c r="K546" s="52">
        <v>0</v>
      </c>
      <c r="L546" s="153">
        <v>72000000</v>
      </c>
      <c r="M546" s="158" t="s">
        <v>473</v>
      </c>
      <c r="N546" s="53" t="s">
        <v>113</v>
      </c>
      <c r="O546" s="51" t="s">
        <v>219</v>
      </c>
      <c r="P546" s="160" t="str">
        <f>IFERROR(VLOOKUP(C546,TD!$B$32:$F$36,2,0)," ")</f>
        <v>O230117</v>
      </c>
      <c r="Q546" s="160" t="str">
        <f>IFERROR(VLOOKUP(C546,TD!$B$32:$F$36,3,0)," ")</f>
        <v>4599</v>
      </c>
      <c r="R546" s="160">
        <f>IFERROR(VLOOKUP(C546,TD!$B$32:$F$36,4,0)," ")</f>
        <v>20240207</v>
      </c>
      <c r="S546" s="51" t="s">
        <v>185</v>
      </c>
      <c r="T546" s="160" t="str">
        <f>IFERROR(VLOOKUP(S546,TD!$J$33:$K$43,2,0)," ")</f>
        <v>Infraestructura física, mantenimiento y dotación (Sedes construidas, mantenidas reforzadas)</v>
      </c>
      <c r="U546" s="161" t="str">
        <f>CONCATENATE(S546,"-",T546)</f>
        <v>08-Infraestructura física, mantenimiento y dotación (Sedes construidas, mantenidas reforzadas)</v>
      </c>
      <c r="V546" s="51" t="s">
        <v>238</v>
      </c>
      <c r="W546" s="160" t="str">
        <f>IFERROR(VLOOKUP(V546,TD!$N$33:$O$45,2,0)," ")</f>
        <v>Sedes mantenidas</v>
      </c>
      <c r="X546" s="161" t="str">
        <f>CONCATENATE(V546,"_",W546)</f>
        <v>016_Sedes mantenidas</v>
      </c>
      <c r="Y546" s="161" t="str">
        <f>CONCATENATE(U546," ",X546)</f>
        <v>08-Infraestructura física, mantenimiento y dotación (Sedes construidas, mantenidas reforzadas) 016_Sedes mantenidas</v>
      </c>
      <c r="Z546" s="160" t="str">
        <f>CONCATENATE(P546,Q546,R546,S546,V546)</f>
        <v>O23011745992024020708016</v>
      </c>
      <c r="AA546" s="160" t="str">
        <f>IFERROR(VLOOKUP(Y546,TD!$K$46:$L$64,2,0)," ")</f>
        <v>PM/0131/0108/45990160207</v>
      </c>
      <c r="AB546" s="53" t="s">
        <v>138</v>
      </c>
      <c r="AC546" s="162" t="s">
        <v>204</v>
      </c>
    </row>
    <row r="547" spans="2:29" s="28" customFormat="1" ht="99" customHeight="1" x14ac:dyDescent="0.35">
      <c r="B547" s="77">
        <v>20250565</v>
      </c>
      <c r="C547" s="50" t="s">
        <v>208</v>
      </c>
      <c r="D547" s="158" t="s">
        <v>161</v>
      </c>
      <c r="E547" s="51" t="s">
        <v>355</v>
      </c>
      <c r="F547" s="158" t="s">
        <v>755</v>
      </c>
      <c r="G547" s="158" t="s">
        <v>156</v>
      </c>
      <c r="H547" s="97">
        <v>80111600</v>
      </c>
      <c r="I547" s="159">
        <v>2</v>
      </c>
      <c r="J547" s="159">
        <v>6</v>
      </c>
      <c r="K547" s="52">
        <v>0</v>
      </c>
      <c r="L547" s="153">
        <v>26400000</v>
      </c>
      <c r="M547" s="158" t="s">
        <v>473</v>
      </c>
      <c r="N547" s="53" t="s">
        <v>113</v>
      </c>
      <c r="O547" s="51" t="s">
        <v>220</v>
      </c>
      <c r="P547" s="160" t="str">
        <f>IFERROR(VLOOKUP(C547,TD!$B$32:$F$36,2,0)," ")</f>
        <v>O230117</v>
      </c>
      <c r="Q547" s="160" t="str">
        <f>IFERROR(VLOOKUP(C547,TD!$B$32:$F$36,3,0)," ")</f>
        <v>4599</v>
      </c>
      <c r="R547" s="160">
        <f>IFERROR(VLOOKUP(C547,TD!$B$32:$F$36,4,0)," ")</f>
        <v>20240207</v>
      </c>
      <c r="S547" s="51" t="s">
        <v>193</v>
      </c>
      <c r="T547" s="160" t="str">
        <f>IFERROR(VLOOKUP(S547,TD!$J$33:$K$43,2,0)," ")</f>
        <v>Servicios para la planeación y sistemas de gestión y comunicación estratégica</v>
      </c>
      <c r="U547" s="161" t="str">
        <f>CONCATENATE(S547,"-",T547)</f>
        <v>13-Servicios para la planeación y sistemas de gestión y comunicación estratégica</v>
      </c>
      <c r="V547" s="51" t="s">
        <v>242</v>
      </c>
      <c r="W547" s="160" t="str">
        <f>IFERROR(VLOOKUP(V547,TD!$N$33:$O$45,2,0)," ")</f>
        <v>Documentos de planeación</v>
      </c>
      <c r="X547" s="161" t="str">
        <f>CONCATENATE(V547,"_",W547)</f>
        <v>019_Documentos de planeación</v>
      </c>
      <c r="Y547" s="161" t="str">
        <f>CONCATENATE(U547," ",X547)</f>
        <v>13-Servicios para la planeación y sistemas de gestión y comunicación estratégica 019_Documentos de planeación</v>
      </c>
      <c r="Z547" s="160" t="str">
        <f>CONCATENATE(P547,Q547,R547,S547,V547)</f>
        <v>O23011745992024020713019</v>
      </c>
      <c r="AA547" s="160" t="str">
        <f>IFERROR(VLOOKUP(Y547,TD!$K$46:$L$64,2,0)," ")</f>
        <v>PM/0131/0113/45990190207</v>
      </c>
      <c r="AB547" s="53" t="s">
        <v>138</v>
      </c>
      <c r="AC547" s="162" t="s">
        <v>204</v>
      </c>
    </row>
    <row r="548" spans="2:29" s="28" customFormat="1" ht="99" customHeight="1" x14ac:dyDescent="0.35">
      <c r="B548" s="186">
        <v>20250566</v>
      </c>
      <c r="C548" s="187" t="s">
        <v>208</v>
      </c>
      <c r="D548" s="188" t="s">
        <v>161</v>
      </c>
      <c r="E548" s="189" t="s">
        <v>355</v>
      </c>
      <c r="F548" s="188" t="s">
        <v>725</v>
      </c>
      <c r="G548" s="188" t="s">
        <v>155</v>
      </c>
      <c r="H548" s="190">
        <v>80111600</v>
      </c>
      <c r="I548" s="191">
        <v>2</v>
      </c>
      <c r="J548" s="191">
        <v>3</v>
      </c>
      <c r="K548" s="192">
        <v>0</v>
      </c>
      <c r="L548" s="193">
        <f>27000000-9000000</f>
        <v>18000000</v>
      </c>
      <c r="M548" s="188" t="s">
        <v>473</v>
      </c>
      <c r="N548" s="194" t="s">
        <v>113</v>
      </c>
      <c r="O548" s="189" t="s">
        <v>220</v>
      </c>
      <c r="P548" s="195" t="str">
        <f>IFERROR(VLOOKUP(C548,TD!$B$32:$F$36,2,0)," ")</f>
        <v>O230117</v>
      </c>
      <c r="Q548" s="195" t="str">
        <f>IFERROR(VLOOKUP(C548,TD!$B$32:$F$36,3,0)," ")</f>
        <v>4599</v>
      </c>
      <c r="R548" s="195">
        <f>IFERROR(VLOOKUP(C548,TD!$B$32:$F$36,4,0)," ")</f>
        <v>20240207</v>
      </c>
      <c r="S548" s="189" t="s">
        <v>193</v>
      </c>
      <c r="T548" s="195" t="str">
        <f>IFERROR(VLOOKUP(S548,TD!$J$33:$K$43,2,0)," ")</f>
        <v>Servicios para la planeación y sistemas de gestión y comunicación estratégica</v>
      </c>
      <c r="U548" s="161" t="str">
        <f>CONCATENATE(S548,"-",T548)</f>
        <v>13-Servicios para la planeación y sistemas de gestión y comunicación estratégica</v>
      </c>
      <c r="V548" s="189" t="s">
        <v>242</v>
      </c>
      <c r="W548" s="195" t="str">
        <f>IFERROR(VLOOKUP(V548,TD!$N$33:$O$45,2,0)," ")</f>
        <v>Documentos de planeación</v>
      </c>
      <c r="X548" s="161" t="str">
        <f>CONCATENATE(V548,"_",W548)</f>
        <v>019_Documentos de planeación</v>
      </c>
      <c r="Y548" s="161" t="str">
        <f>CONCATENATE(U548," ",X548)</f>
        <v>13-Servicios para la planeación y sistemas de gestión y comunicación estratégica 019_Documentos de planeación</v>
      </c>
      <c r="Z548" s="195" t="str">
        <f>CONCATENATE(P548,Q548,R548,S548,V548)</f>
        <v>O23011745992024020713019</v>
      </c>
      <c r="AA548" s="195" t="str">
        <f>IFERROR(VLOOKUP(Y548,TD!$K$46:$L$64,2,0)," ")</f>
        <v>PM/0131/0113/45990190207</v>
      </c>
      <c r="AB548" s="194" t="s">
        <v>138</v>
      </c>
      <c r="AC548" s="196" t="s">
        <v>204</v>
      </c>
    </row>
    <row r="549" spans="2:29" s="28" customFormat="1" ht="99" customHeight="1" x14ac:dyDescent="0.35">
      <c r="B549" s="77">
        <v>20250567</v>
      </c>
      <c r="C549" s="50" t="s">
        <v>208</v>
      </c>
      <c r="D549" s="158" t="s">
        <v>45</v>
      </c>
      <c r="E549" s="51" t="s">
        <v>355</v>
      </c>
      <c r="F549" s="158" t="s">
        <v>726</v>
      </c>
      <c r="G549" s="158" t="s">
        <v>155</v>
      </c>
      <c r="H549" s="97">
        <v>80111600</v>
      </c>
      <c r="I549" s="159">
        <v>2</v>
      </c>
      <c r="J549" s="159">
        <v>8</v>
      </c>
      <c r="K549" s="52">
        <v>0</v>
      </c>
      <c r="L549" s="153">
        <v>64000000</v>
      </c>
      <c r="M549" s="158" t="s">
        <v>473</v>
      </c>
      <c r="N549" s="53" t="s">
        <v>113</v>
      </c>
      <c r="O549" s="51" t="s">
        <v>219</v>
      </c>
      <c r="P549" s="160" t="str">
        <f>IFERROR(VLOOKUP(C549,TD!$B$32:$F$36,2,0)," ")</f>
        <v>O230117</v>
      </c>
      <c r="Q549" s="160" t="str">
        <f>IFERROR(VLOOKUP(C549,TD!$B$32:$F$36,3,0)," ")</f>
        <v>4599</v>
      </c>
      <c r="R549" s="160">
        <f>IFERROR(VLOOKUP(C549,TD!$B$32:$F$36,4,0)," ")</f>
        <v>20240207</v>
      </c>
      <c r="S549" s="51" t="s">
        <v>185</v>
      </c>
      <c r="T549" s="160" t="str">
        <f>IFERROR(VLOOKUP(S549,TD!$J$33:$K$43,2,0)," ")</f>
        <v>Infraestructura física, mantenimiento y dotación (Sedes construidas, mantenidas reforzadas)</v>
      </c>
      <c r="U549" s="161" t="str">
        <f>CONCATENATE(S549,"-",T549)</f>
        <v>08-Infraestructura física, mantenimiento y dotación (Sedes construidas, mantenidas reforzadas)</v>
      </c>
      <c r="V549" s="51" t="s">
        <v>238</v>
      </c>
      <c r="W549" s="160" t="str">
        <f>IFERROR(VLOOKUP(V549,TD!$N$33:$O$45,2,0)," ")</f>
        <v>Sedes mantenidas</v>
      </c>
      <c r="X549" s="161" t="str">
        <f>CONCATENATE(V549,"_",W549)</f>
        <v>016_Sedes mantenidas</v>
      </c>
      <c r="Y549" s="161" t="str">
        <f>CONCATENATE(U549," ",X549)</f>
        <v>08-Infraestructura física, mantenimiento y dotación (Sedes construidas, mantenidas reforzadas) 016_Sedes mantenidas</v>
      </c>
      <c r="Z549" s="160" t="str">
        <f>CONCATENATE(P549,Q549,R549,S549,V549)</f>
        <v>O23011745992024020708016</v>
      </c>
      <c r="AA549" s="160" t="str">
        <f>IFERROR(VLOOKUP(Y549,TD!$K$46:$L$64,2,0)," ")</f>
        <v>PM/0131/0108/45990160207</v>
      </c>
      <c r="AB549" s="53" t="s">
        <v>138</v>
      </c>
      <c r="AC549" s="162" t="s">
        <v>204</v>
      </c>
    </row>
    <row r="550" spans="2:29" s="28" customFormat="1" ht="99" customHeight="1" x14ac:dyDescent="0.35">
      <c r="B550" s="186">
        <v>20250568</v>
      </c>
      <c r="C550" s="187" t="s">
        <v>208</v>
      </c>
      <c r="D550" s="188" t="s">
        <v>161</v>
      </c>
      <c r="E550" s="189" t="s">
        <v>355</v>
      </c>
      <c r="F550" s="188" t="s">
        <v>727</v>
      </c>
      <c r="G550" s="188" t="s">
        <v>155</v>
      </c>
      <c r="H550" s="190">
        <v>80111600</v>
      </c>
      <c r="I550" s="191">
        <v>2</v>
      </c>
      <c r="J550" s="191">
        <v>11</v>
      </c>
      <c r="K550" s="192">
        <v>0</v>
      </c>
      <c r="L550" s="193">
        <v>73600000</v>
      </c>
      <c r="M550" s="188" t="s">
        <v>473</v>
      </c>
      <c r="N550" s="194" t="s">
        <v>113</v>
      </c>
      <c r="O550" s="189" t="s">
        <v>220</v>
      </c>
      <c r="P550" s="195" t="str">
        <f>IFERROR(VLOOKUP(C550,TD!$B$32:$F$36,2,0)," ")</f>
        <v>O230117</v>
      </c>
      <c r="Q550" s="195" t="str">
        <f>IFERROR(VLOOKUP(C550,TD!$B$32:$F$36,3,0)," ")</f>
        <v>4599</v>
      </c>
      <c r="R550" s="195">
        <f>IFERROR(VLOOKUP(C550,TD!$B$32:$F$36,4,0)," ")</f>
        <v>20240207</v>
      </c>
      <c r="S550" s="189" t="s">
        <v>193</v>
      </c>
      <c r="T550" s="195" t="str">
        <f>IFERROR(VLOOKUP(S550,TD!$J$33:$K$43,2,0)," ")</f>
        <v>Servicios para la planeación y sistemas de gestión y comunicación estratégica</v>
      </c>
      <c r="U550" s="161" t="str">
        <f>CONCATENATE(S550,"-",T550)</f>
        <v>13-Servicios para la planeación y sistemas de gestión y comunicación estratégica</v>
      </c>
      <c r="V550" s="189" t="s">
        <v>242</v>
      </c>
      <c r="W550" s="195" t="str">
        <f>IFERROR(VLOOKUP(V550,TD!$N$33:$O$45,2,0)," ")</f>
        <v>Documentos de planeación</v>
      </c>
      <c r="X550" s="161" t="str">
        <f>CONCATENATE(V550,"_",W550)</f>
        <v>019_Documentos de planeación</v>
      </c>
      <c r="Y550" s="161" t="str">
        <f>CONCATENATE(U550," ",X550)</f>
        <v>13-Servicios para la planeación y sistemas de gestión y comunicación estratégica 019_Documentos de planeación</v>
      </c>
      <c r="Z550" s="195" t="str">
        <f>CONCATENATE(P550,Q550,R550,S550,V550)</f>
        <v>O23011745992024020713019</v>
      </c>
      <c r="AA550" s="195" t="str">
        <f>IFERROR(VLOOKUP(Y550,TD!$K$46:$L$64,2,0)," ")</f>
        <v>PM/0131/0113/45990190207</v>
      </c>
      <c r="AB550" s="194" t="s">
        <v>138</v>
      </c>
      <c r="AC550" s="196" t="s">
        <v>204</v>
      </c>
    </row>
    <row r="551" spans="2:29" s="28" customFormat="1" ht="99" customHeight="1" x14ac:dyDescent="0.35">
      <c r="B551" s="77">
        <v>20250569</v>
      </c>
      <c r="C551" s="50" t="s">
        <v>209</v>
      </c>
      <c r="D551" s="158" t="s">
        <v>165</v>
      </c>
      <c r="E551" s="51" t="s">
        <v>495</v>
      </c>
      <c r="F551" s="158" t="s">
        <v>735</v>
      </c>
      <c r="G551" s="158" t="s">
        <v>155</v>
      </c>
      <c r="H551" s="97">
        <v>80111600</v>
      </c>
      <c r="I551" s="159">
        <v>2</v>
      </c>
      <c r="J551" s="159">
        <v>8</v>
      </c>
      <c r="K551" s="52">
        <v>15</v>
      </c>
      <c r="L551" s="153">
        <v>51272000</v>
      </c>
      <c r="M551" s="158" t="s">
        <v>473</v>
      </c>
      <c r="N551" s="53" t="s">
        <v>113</v>
      </c>
      <c r="O551" s="51" t="s">
        <v>229</v>
      </c>
      <c r="P551" s="160" t="str">
        <f>IFERROR(VLOOKUP(C551,TD!$B$32:$F$36,2,0)," ")</f>
        <v>O230117</v>
      </c>
      <c r="Q551" s="160" t="str">
        <f>IFERROR(VLOOKUP(C551,TD!$B$32:$F$36,3,0)," ")</f>
        <v>4503</v>
      </c>
      <c r="R551" s="160">
        <f>IFERROR(VLOOKUP(C551,TD!$B$32:$F$36,4,0)," ")</f>
        <v>20240255</v>
      </c>
      <c r="S551" s="51" t="s">
        <v>183</v>
      </c>
      <c r="T551" s="160" t="str">
        <f>IFERROR(VLOOKUP(S551,TD!$J$33:$K$43,2,0)," ")</f>
        <v>Servicio de formación en gestión del riesgo de incendios para el personal UAECOB</v>
      </c>
      <c r="U551" s="161" t="str">
        <f>CONCATENATE(S551,"-",T551)</f>
        <v>07-Servicio de formación en gestión del riesgo de incendios para el personal UAECOB</v>
      </c>
      <c r="V551" s="51" t="s">
        <v>233</v>
      </c>
      <c r="W551" s="160" t="str">
        <f>IFERROR(VLOOKUP(V551,TD!$N$33:$O$45,2,0)," ")</f>
        <v>Servicio de educación informal</v>
      </c>
      <c r="X551" s="161" t="str">
        <f>CONCATENATE(V551,"_",W551)</f>
        <v>002_Servicio de educación informal</v>
      </c>
      <c r="Y551" s="161" t="str">
        <f>CONCATENATE(U551," ",X551)</f>
        <v>07-Servicio de formación en gestión del riesgo de incendios para el personal UAECOB 002_Servicio de educación informal</v>
      </c>
      <c r="Z551" s="160" t="str">
        <f>CONCATENATE(P551,Q551,R551,S551,V551)</f>
        <v>O23011745032024025507002</v>
      </c>
      <c r="AA551" s="160" t="str">
        <f>IFERROR(VLOOKUP(Y551,TD!$K$46:$L$64,2,0)," ")</f>
        <v>PM/0131/0107/45030020255</v>
      </c>
      <c r="AB551" s="150" t="s">
        <v>138</v>
      </c>
      <c r="AC551" s="162" t="s">
        <v>204</v>
      </c>
    </row>
    <row r="552" spans="2:29" s="28" customFormat="1" ht="99" customHeight="1" x14ac:dyDescent="0.35">
      <c r="B552" s="77">
        <f>B551+1</f>
        <v>20250570</v>
      </c>
      <c r="C552" s="50" t="s">
        <v>209</v>
      </c>
      <c r="D552" s="158" t="s">
        <v>165</v>
      </c>
      <c r="E552" s="51" t="s">
        <v>495</v>
      </c>
      <c r="F552" s="158" t="s">
        <v>736</v>
      </c>
      <c r="G552" s="158" t="s">
        <v>156</v>
      </c>
      <c r="H552" s="97">
        <v>80111600</v>
      </c>
      <c r="I552" s="159">
        <v>2</v>
      </c>
      <c r="J552" s="159">
        <v>10</v>
      </c>
      <c r="K552" s="52">
        <v>0</v>
      </c>
      <c r="L552" s="153">
        <v>22118946</v>
      </c>
      <c r="M552" s="158" t="s">
        <v>473</v>
      </c>
      <c r="N552" s="53" t="s">
        <v>113</v>
      </c>
      <c r="O552" s="51" t="s">
        <v>229</v>
      </c>
      <c r="P552" s="160" t="str">
        <f>IFERROR(VLOOKUP(C552,TD!$B$32:$F$36,2,0)," ")</f>
        <v>O230117</v>
      </c>
      <c r="Q552" s="160" t="str">
        <f>IFERROR(VLOOKUP(C552,TD!$B$32:$F$36,3,0)," ")</f>
        <v>4503</v>
      </c>
      <c r="R552" s="160">
        <f>IFERROR(VLOOKUP(C552,TD!$B$32:$F$36,4,0)," ")</f>
        <v>20240255</v>
      </c>
      <c r="S552" s="51" t="s">
        <v>183</v>
      </c>
      <c r="T552" s="160" t="str">
        <f>IFERROR(VLOOKUP(S552,TD!$J$33:$K$43,2,0)," ")</f>
        <v>Servicio de formación en gestión del riesgo de incendios para el personal UAECOB</v>
      </c>
      <c r="U552" s="161" t="str">
        <f>CONCATENATE(S552,"-",T552)</f>
        <v>07-Servicio de formación en gestión del riesgo de incendios para el personal UAECOB</v>
      </c>
      <c r="V552" s="51" t="s">
        <v>233</v>
      </c>
      <c r="W552" s="160" t="str">
        <f>IFERROR(VLOOKUP(V552,TD!$N$33:$O$45,2,0)," ")</f>
        <v>Servicio de educación informal</v>
      </c>
      <c r="X552" s="161" t="str">
        <f>CONCATENATE(V552,"_",W552)</f>
        <v>002_Servicio de educación informal</v>
      </c>
      <c r="Y552" s="161" t="str">
        <f>CONCATENATE(U552," ",X552)</f>
        <v>07-Servicio de formación en gestión del riesgo de incendios para el personal UAECOB 002_Servicio de educación informal</v>
      </c>
      <c r="Z552" s="160" t="str">
        <f>CONCATENATE(P552,Q552,R552,S552,V552)</f>
        <v>O23011745032024025507002</v>
      </c>
      <c r="AA552" s="160" t="str">
        <f>IFERROR(VLOOKUP(Y552,TD!$K$46:$L$64,2,0)," ")</f>
        <v>PM/0131/0107/45030020255</v>
      </c>
      <c r="AB552" s="150" t="s">
        <v>138</v>
      </c>
      <c r="AC552" s="162" t="s">
        <v>204</v>
      </c>
    </row>
    <row r="553" spans="2:29" s="28" customFormat="1" ht="99" customHeight="1" x14ac:dyDescent="0.35">
      <c r="B553" s="77">
        <f>B552+1</f>
        <v>20250571</v>
      </c>
      <c r="C553" s="50" t="s">
        <v>209</v>
      </c>
      <c r="D553" s="158" t="s">
        <v>165</v>
      </c>
      <c r="E553" s="51" t="s">
        <v>495</v>
      </c>
      <c r="F553" s="158" t="s">
        <v>737</v>
      </c>
      <c r="G553" s="158" t="s">
        <v>155</v>
      </c>
      <c r="H553" s="97">
        <v>80111600</v>
      </c>
      <c r="I553" s="159">
        <v>2</v>
      </c>
      <c r="J553" s="159">
        <v>11</v>
      </c>
      <c r="K553" s="52">
        <v>0</v>
      </c>
      <c r="L553" s="153">
        <v>49500000</v>
      </c>
      <c r="M553" s="158" t="s">
        <v>473</v>
      </c>
      <c r="N553" s="53" t="s">
        <v>113</v>
      </c>
      <c r="O553" s="51" t="s">
        <v>229</v>
      </c>
      <c r="P553" s="160" t="str">
        <f>IFERROR(VLOOKUP(C553,TD!$B$32:$F$36,2,0)," ")</f>
        <v>O230117</v>
      </c>
      <c r="Q553" s="160" t="str">
        <f>IFERROR(VLOOKUP(C553,TD!$B$32:$F$36,3,0)," ")</f>
        <v>4503</v>
      </c>
      <c r="R553" s="160">
        <f>IFERROR(VLOOKUP(C553,TD!$B$32:$F$36,4,0)," ")</f>
        <v>20240255</v>
      </c>
      <c r="S553" s="51" t="s">
        <v>183</v>
      </c>
      <c r="T553" s="160" t="str">
        <f>IFERROR(VLOOKUP(S553,TD!$J$33:$K$43,2,0)," ")</f>
        <v>Servicio de formación en gestión del riesgo de incendios para el personal UAECOB</v>
      </c>
      <c r="U553" s="161" t="str">
        <f>CONCATENATE(S553,"-",T553)</f>
        <v>07-Servicio de formación en gestión del riesgo de incendios para el personal UAECOB</v>
      </c>
      <c r="V553" s="51" t="s">
        <v>233</v>
      </c>
      <c r="W553" s="160" t="str">
        <f>IFERROR(VLOOKUP(V553,TD!$N$33:$O$45,2,0)," ")</f>
        <v>Servicio de educación informal</v>
      </c>
      <c r="X553" s="161" t="str">
        <f>CONCATENATE(V553,"_",W553)</f>
        <v>002_Servicio de educación informal</v>
      </c>
      <c r="Y553" s="161" t="str">
        <f>CONCATENATE(U553," ",X553)</f>
        <v>07-Servicio de formación en gestión del riesgo de incendios para el personal UAECOB 002_Servicio de educación informal</v>
      </c>
      <c r="Z553" s="160" t="str">
        <f>CONCATENATE(P553,Q553,R553,S553,V553)</f>
        <v>O23011745032024025507002</v>
      </c>
      <c r="AA553" s="160" t="str">
        <f>IFERROR(VLOOKUP(Y553,TD!$K$46:$L$64,2,0)," ")</f>
        <v>PM/0131/0107/45030020255</v>
      </c>
      <c r="AB553" s="150" t="s">
        <v>138</v>
      </c>
      <c r="AC553" s="162" t="s">
        <v>204</v>
      </c>
    </row>
    <row r="554" spans="2:29" s="28" customFormat="1" ht="99" customHeight="1" x14ac:dyDescent="0.35">
      <c r="B554" s="77">
        <f>B553+1</f>
        <v>20250572</v>
      </c>
      <c r="C554" s="50" t="s">
        <v>209</v>
      </c>
      <c r="D554" s="158" t="s">
        <v>165</v>
      </c>
      <c r="E554" s="51" t="s">
        <v>495</v>
      </c>
      <c r="F554" s="158" t="s">
        <v>392</v>
      </c>
      <c r="G554" s="158" t="s">
        <v>155</v>
      </c>
      <c r="H554" s="97">
        <v>80111600</v>
      </c>
      <c r="I554" s="159">
        <v>2</v>
      </c>
      <c r="J554" s="159">
        <v>11</v>
      </c>
      <c r="K554" s="52">
        <v>0</v>
      </c>
      <c r="L554" s="153">
        <v>48828675</v>
      </c>
      <c r="M554" s="158" t="s">
        <v>473</v>
      </c>
      <c r="N554" s="53" t="s">
        <v>113</v>
      </c>
      <c r="O554" s="51" t="s">
        <v>229</v>
      </c>
      <c r="P554" s="160" t="str">
        <f>IFERROR(VLOOKUP(C554,TD!$B$32:$F$36,2,0)," ")</f>
        <v>O230117</v>
      </c>
      <c r="Q554" s="160" t="str">
        <f>IFERROR(VLOOKUP(C554,TD!$B$32:$F$36,3,0)," ")</f>
        <v>4503</v>
      </c>
      <c r="R554" s="160">
        <f>IFERROR(VLOOKUP(C554,TD!$B$32:$F$36,4,0)," ")</f>
        <v>20240255</v>
      </c>
      <c r="S554" s="51" t="s">
        <v>183</v>
      </c>
      <c r="T554" s="160" t="str">
        <f>IFERROR(VLOOKUP(S554,TD!$J$33:$K$43,2,0)," ")</f>
        <v>Servicio de formación en gestión del riesgo de incendios para el personal UAECOB</v>
      </c>
      <c r="U554" s="161" t="str">
        <f>CONCATENATE(S554,"-",T554)</f>
        <v>07-Servicio de formación en gestión del riesgo de incendios para el personal UAECOB</v>
      </c>
      <c r="V554" s="51" t="s">
        <v>233</v>
      </c>
      <c r="W554" s="160" t="str">
        <f>IFERROR(VLOOKUP(V554,TD!$N$33:$O$45,2,0)," ")</f>
        <v>Servicio de educación informal</v>
      </c>
      <c r="X554" s="161" t="str">
        <f>CONCATENATE(V554,"_",W554)</f>
        <v>002_Servicio de educación informal</v>
      </c>
      <c r="Y554" s="161" t="str">
        <f>CONCATENATE(U554," ",X554)</f>
        <v>07-Servicio de formación en gestión del riesgo de incendios para el personal UAECOB 002_Servicio de educación informal</v>
      </c>
      <c r="Z554" s="160" t="str">
        <f>CONCATENATE(P554,Q554,R554,S554,V554)</f>
        <v>O23011745032024025507002</v>
      </c>
      <c r="AA554" s="160" t="str">
        <f>IFERROR(VLOOKUP(Y554,TD!$K$46:$L$64,2,0)," ")</f>
        <v>PM/0131/0107/45030020255</v>
      </c>
      <c r="AB554" s="150" t="s">
        <v>138</v>
      </c>
      <c r="AC554" s="162" t="s">
        <v>204</v>
      </c>
    </row>
    <row r="555" spans="2:29" s="28" customFormat="1" ht="99" customHeight="1" x14ac:dyDescent="0.35">
      <c r="B555" s="77">
        <f>B554+1</f>
        <v>20250573</v>
      </c>
      <c r="C555" s="50" t="s">
        <v>209</v>
      </c>
      <c r="D555" s="158" t="s">
        <v>165</v>
      </c>
      <c r="E555" s="51" t="s">
        <v>495</v>
      </c>
      <c r="F555" s="158" t="s">
        <v>738</v>
      </c>
      <c r="G555" s="158" t="s">
        <v>155</v>
      </c>
      <c r="H555" s="97">
        <v>80111600</v>
      </c>
      <c r="I555" s="159">
        <v>2</v>
      </c>
      <c r="J555" s="159">
        <v>11</v>
      </c>
      <c r="K555" s="52">
        <v>0</v>
      </c>
      <c r="L555" s="153">
        <v>56230900</v>
      </c>
      <c r="M555" s="158" t="s">
        <v>473</v>
      </c>
      <c r="N555" s="53" t="s">
        <v>113</v>
      </c>
      <c r="O555" s="51" t="s">
        <v>229</v>
      </c>
      <c r="P555" s="160" t="str">
        <f>IFERROR(VLOOKUP(C555,TD!$B$32:$F$36,2,0)," ")</f>
        <v>O230117</v>
      </c>
      <c r="Q555" s="160" t="str">
        <f>IFERROR(VLOOKUP(C555,TD!$B$32:$F$36,3,0)," ")</f>
        <v>4503</v>
      </c>
      <c r="R555" s="160">
        <f>IFERROR(VLOOKUP(C555,TD!$B$32:$F$36,4,0)," ")</f>
        <v>20240255</v>
      </c>
      <c r="S555" s="51" t="s">
        <v>183</v>
      </c>
      <c r="T555" s="160" t="str">
        <f>IFERROR(VLOOKUP(S555,TD!$J$33:$K$43,2,0)," ")</f>
        <v>Servicio de formación en gestión del riesgo de incendios para el personal UAECOB</v>
      </c>
      <c r="U555" s="161" t="str">
        <f>CONCATENATE(S555,"-",T555)</f>
        <v>07-Servicio de formación en gestión del riesgo de incendios para el personal UAECOB</v>
      </c>
      <c r="V555" s="51" t="s">
        <v>233</v>
      </c>
      <c r="W555" s="160" t="str">
        <f>IFERROR(VLOOKUP(V555,TD!$N$33:$O$45,2,0)," ")</f>
        <v>Servicio de educación informal</v>
      </c>
      <c r="X555" s="161" t="str">
        <f>CONCATENATE(V555,"_",W555)</f>
        <v>002_Servicio de educación informal</v>
      </c>
      <c r="Y555" s="161" t="str">
        <f>CONCATENATE(U555," ",X555)</f>
        <v>07-Servicio de formación en gestión del riesgo de incendios para el personal UAECOB 002_Servicio de educación informal</v>
      </c>
      <c r="Z555" s="160" t="str">
        <f>CONCATENATE(P555,Q555,R555,S555,V555)</f>
        <v>O23011745032024025507002</v>
      </c>
      <c r="AA555" s="160" t="str">
        <f>IFERROR(VLOOKUP(Y555,TD!$K$46:$L$64,2,0)," ")</f>
        <v>PM/0131/0107/45030020255</v>
      </c>
      <c r="AB555" s="150" t="s">
        <v>138</v>
      </c>
      <c r="AC555" s="162" t="s">
        <v>204</v>
      </c>
    </row>
    <row r="556" spans="2:29" s="28" customFormat="1" ht="99" customHeight="1" x14ac:dyDescent="0.35">
      <c r="B556" s="77">
        <f>B555+1</f>
        <v>20250574</v>
      </c>
      <c r="C556" s="50" t="s">
        <v>209</v>
      </c>
      <c r="D556" s="158" t="s">
        <v>165</v>
      </c>
      <c r="E556" s="51" t="s">
        <v>495</v>
      </c>
      <c r="F556" s="158" t="s">
        <v>739</v>
      </c>
      <c r="G556" s="158" t="s">
        <v>155</v>
      </c>
      <c r="H556" s="98">
        <v>80111600</v>
      </c>
      <c r="I556" s="98">
        <v>2</v>
      </c>
      <c r="J556" s="98">
        <v>11</v>
      </c>
      <c r="K556" s="52">
        <v>0</v>
      </c>
      <c r="L556" s="153">
        <v>56230900</v>
      </c>
      <c r="M556" s="158" t="s">
        <v>473</v>
      </c>
      <c r="N556" s="53" t="s">
        <v>113</v>
      </c>
      <c r="O556" s="51" t="s">
        <v>229</v>
      </c>
      <c r="P556" s="160" t="str">
        <f>IFERROR(VLOOKUP(C556,TD!$B$32:$F$36,2,0)," ")</f>
        <v>O230117</v>
      </c>
      <c r="Q556" s="160" t="str">
        <f>IFERROR(VLOOKUP(C556,TD!$B$32:$F$36,3,0)," ")</f>
        <v>4503</v>
      </c>
      <c r="R556" s="160">
        <f>IFERROR(VLOOKUP(C556,TD!$B$32:$F$36,4,0)," ")</f>
        <v>20240255</v>
      </c>
      <c r="S556" s="51" t="s">
        <v>183</v>
      </c>
      <c r="T556" s="160" t="str">
        <f>IFERROR(VLOOKUP(S556,TD!$J$33:$K$43,2,0)," ")</f>
        <v>Servicio de formación en gestión del riesgo de incendios para el personal UAECOB</v>
      </c>
      <c r="U556" s="161" t="str">
        <f>CONCATENATE(S556,"-",T556)</f>
        <v>07-Servicio de formación en gestión del riesgo de incendios para el personal UAECOB</v>
      </c>
      <c r="V556" s="51" t="s">
        <v>233</v>
      </c>
      <c r="W556" s="160" t="str">
        <f>IFERROR(VLOOKUP(V556,TD!$N$33:$O$45,2,0)," ")</f>
        <v>Servicio de educación informal</v>
      </c>
      <c r="X556" s="161" t="str">
        <f>CONCATENATE(V556,"_",W556)</f>
        <v>002_Servicio de educación informal</v>
      </c>
      <c r="Y556" s="161" t="str">
        <f>CONCATENATE(U556," ",X556)</f>
        <v>07-Servicio de formación en gestión del riesgo de incendios para el personal UAECOB 002_Servicio de educación informal</v>
      </c>
      <c r="Z556" s="160" t="str">
        <f>CONCATENATE(P556,Q556,R556,S556,V556)</f>
        <v>O23011745032024025507002</v>
      </c>
      <c r="AA556" s="160" t="str">
        <f>IFERROR(VLOOKUP(Y556,TD!$K$46:$L$64,2,0)," ")</f>
        <v>PM/0131/0107/45030020255</v>
      </c>
      <c r="AB556" s="150" t="s">
        <v>138</v>
      </c>
      <c r="AC556" s="162" t="s">
        <v>204</v>
      </c>
    </row>
    <row r="557" spans="2:29" s="28" customFormat="1" ht="99" customHeight="1" x14ac:dyDescent="0.35">
      <c r="B557" s="77">
        <f>B556+1</f>
        <v>20250575</v>
      </c>
      <c r="C557" s="50" t="s">
        <v>209</v>
      </c>
      <c r="D557" s="158" t="s">
        <v>165</v>
      </c>
      <c r="E557" s="51" t="s">
        <v>495</v>
      </c>
      <c r="F557" s="158" t="s">
        <v>740</v>
      </c>
      <c r="G557" s="158" t="s">
        <v>155</v>
      </c>
      <c r="H557" s="98">
        <v>80111600</v>
      </c>
      <c r="I557" s="98">
        <v>2</v>
      </c>
      <c r="J557" s="98">
        <v>11</v>
      </c>
      <c r="K557" s="52">
        <v>0</v>
      </c>
      <c r="L557" s="153">
        <v>76500000</v>
      </c>
      <c r="M557" s="158" t="s">
        <v>473</v>
      </c>
      <c r="N557" s="53" t="s">
        <v>113</v>
      </c>
      <c r="O557" s="51" t="s">
        <v>229</v>
      </c>
      <c r="P557" s="160" t="str">
        <f>IFERROR(VLOOKUP(C557,TD!$B$32:$F$36,2,0)," ")</f>
        <v>O230117</v>
      </c>
      <c r="Q557" s="160" t="str">
        <f>IFERROR(VLOOKUP(C557,TD!$B$32:$F$36,3,0)," ")</f>
        <v>4503</v>
      </c>
      <c r="R557" s="160">
        <f>IFERROR(VLOOKUP(C557,TD!$B$32:$F$36,4,0)," ")</f>
        <v>20240255</v>
      </c>
      <c r="S557" s="51" t="s">
        <v>183</v>
      </c>
      <c r="T557" s="160" t="str">
        <f>IFERROR(VLOOKUP(S557,TD!$J$33:$K$43,2,0)," ")</f>
        <v>Servicio de formación en gestión del riesgo de incendios para el personal UAECOB</v>
      </c>
      <c r="U557" s="161" t="str">
        <f>CONCATENATE(S557,"-",T557)</f>
        <v>07-Servicio de formación en gestión del riesgo de incendios para el personal UAECOB</v>
      </c>
      <c r="V557" s="51" t="s">
        <v>233</v>
      </c>
      <c r="W557" s="160" t="str">
        <f>IFERROR(VLOOKUP(V557,TD!$N$33:$O$45,2,0)," ")</f>
        <v>Servicio de educación informal</v>
      </c>
      <c r="X557" s="161" t="str">
        <f>CONCATENATE(V557,"_",W557)</f>
        <v>002_Servicio de educación informal</v>
      </c>
      <c r="Y557" s="161" t="str">
        <f>CONCATENATE(U557," ",X557)</f>
        <v>07-Servicio de formación en gestión del riesgo de incendios para el personal UAECOB 002_Servicio de educación informal</v>
      </c>
      <c r="Z557" s="160" t="str">
        <f>CONCATENATE(P557,Q557,R557,S557,V557)</f>
        <v>O23011745032024025507002</v>
      </c>
      <c r="AA557" s="160" t="str">
        <f>IFERROR(VLOOKUP(Y557,TD!$K$46:$L$64,2,0)," ")</f>
        <v>PM/0131/0107/45030020255</v>
      </c>
      <c r="AB557" s="150" t="s">
        <v>138</v>
      </c>
      <c r="AC557" s="162" t="s">
        <v>204</v>
      </c>
    </row>
    <row r="558" spans="2:29" s="28" customFormat="1" ht="99" customHeight="1" x14ac:dyDescent="0.35">
      <c r="B558" s="77">
        <v>20250576</v>
      </c>
      <c r="C558" s="50" t="s">
        <v>209</v>
      </c>
      <c r="D558" s="158" t="s">
        <v>165</v>
      </c>
      <c r="E558" s="51" t="s">
        <v>495</v>
      </c>
      <c r="F558" s="158" t="s">
        <v>741</v>
      </c>
      <c r="G558" s="158" t="s">
        <v>156</v>
      </c>
      <c r="H558" s="97">
        <v>80111600</v>
      </c>
      <c r="I558" s="159">
        <v>2</v>
      </c>
      <c r="J558" s="159">
        <v>8</v>
      </c>
      <c r="K558" s="52">
        <v>0</v>
      </c>
      <c r="L558" s="153">
        <v>29600000</v>
      </c>
      <c r="M558" s="158" t="s">
        <v>473</v>
      </c>
      <c r="N558" s="53" t="s">
        <v>113</v>
      </c>
      <c r="O558" s="51" t="s">
        <v>229</v>
      </c>
      <c r="P558" s="160" t="str">
        <f>IFERROR(VLOOKUP(C558,TD!$B$32:$F$36,2,0)," ")</f>
        <v>O230117</v>
      </c>
      <c r="Q558" s="160" t="str">
        <f>IFERROR(VLOOKUP(C558,TD!$B$32:$F$36,3,0)," ")</f>
        <v>4503</v>
      </c>
      <c r="R558" s="160">
        <f>IFERROR(VLOOKUP(C558,TD!$B$32:$F$36,4,0)," ")</f>
        <v>20240255</v>
      </c>
      <c r="S558" s="51" t="s">
        <v>183</v>
      </c>
      <c r="T558" s="160" t="str">
        <f>IFERROR(VLOOKUP(S558,TD!$J$33:$K$43,2,0)," ")</f>
        <v>Servicio de formación en gestión del riesgo de incendios para el personal UAECOB</v>
      </c>
      <c r="U558" s="161" t="str">
        <f>CONCATENATE(S558,"-",T558)</f>
        <v>07-Servicio de formación en gestión del riesgo de incendios para el personal UAECOB</v>
      </c>
      <c r="V558" s="51" t="s">
        <v>233</v>
      </c>
      <c r="W558" s="160" t="str">
        <f>IFERROR(VLOOKUP(V558,TD!$N$33:$O$45,2,0)," ")</f>
        <v>Servicio de educación informal</v>
      </c>
      <c r="X558" s="161" t="str">
        <f>CONCATENATE(V558,"_",W558)</f>
        <v>002_Servicio de educación informal</v>
      </c>
      <c r="Y558" s="161" t="str">
        <f>CONCATENATE(U558," ",X558)</f>
        <v>07-Servicio de formación en gestión del riesgo de incendios para el personal UAECOB 002_Servicio de educación informal</v>
      </c>
      <c r="Z558" s="160" t="str">
        <f>CONCATENATE(P558,Q558,R558,S558,V558)</f>
        <v>O23011745032024025507002</v>
      </c>
      <c r="AA558" s="160" t="str">
        <f>IFERROR(VLOOKUP(Y558,TD!$K$46:$L$64,2,0)," ")</f>
        <v>PM/0131/0107/45030020255</v>
      </c>
      <c r="AB558" s="150" t="s">
        <v>138</v>
      </c>
      <c r="AC558" s="162" t="s">
        <v>204</v>
      </c>
    </row>
    <row r="559" spans="2:29" s="28" customFormat="1" ht="99" customHeight="1" x14ac:dyDescent="0.35">
      <c r="B559" s="77">
        <v>20250577</v>
      </c>
      <c r="C559" s="50" t="s">
        <v>209</v>
      </c>
      <c r="D559" s="158" t="s">
        <v>165</v>
      </c>
      <c r="E559" s="51" t="s">
        <v>495</v>
      </c>
      <c r="F559" s="158" t="s">
        <v>742</v>
      </c>
      <c r="G559" s="158" t="s">
        <v>156</v>
      </c>
      <c r="H559" s="97">
        <v>80111600</v>
      </c>
      <c r="I559" s="159">
        <v>2</v>
      </c>
      <c r="J559" s="159">
        <v>8</v>
      </c>
      <c r="K559" s="52">
        <v>0</v>
      </c>
      <c r="L559" s="153">
        <v>27600000</v>
      </c>
      <c r="M559" s="158" t="s">
        <v>473</v>
      </c>
      <c r="N559" s="53" t="s">
        <v>113</v>
      </c>
      <c r="O559" s="51" t="s">
        <v>229</v>
      </c>
      <c r="P559" s="160" t="str">
        <f>IFERROR(VLOOKUP(C559,TD!$B$32:$F$36,2,0)," ")</f>
        <v>O230117</v>
      </c>
      <c r="Q559" s="160" t="str">
        <f>IFERROR(VLOOKUP(C559,TD!$B$32:$F$36,3,0)," ")</f>
        <v>4503</v>
      </c>
      <c r="R559" s="160">
        <f>IFERROR(VLOOKUP(C559,TD!$B$32:$F$36,4,0)," ")</f>
        <v>20240255</v>
      </c>
      <c r="S559" s="51" t="s">
        <v>183</v>
      </c>
      <c r="T559" s="160" t="str">
        <f>IFERROR(VLOOKUP(S559,TD!$J$33:$K$43,2,0)," ")</f>
        <v>Servicio de formación en gestión del riesgo de incendios para el personal UAECOB</v>
      </c>
      <c r="U559" s="161" t="str">
        <f>CONCATENATE(S559,"-",T559)</f>
        <v>07-Servicio de formación en gestión del riesgo de incendios para el personal UAECOB</v>
      </c>
      <c r="V559" s="51" t="s">
        <v>233</v>
      </c>
      <c r="W559" s="160" t="str">
        <f>IFERROR(VLOOKUP(V559,TD!$N$33:$O$45,2,0)," ")</f>
        <v>Servicio de educación informal</v>
      </c>
      <c r="X559" s="161" t="str">
        <f>CONCATENATE(V559,"_",W559)</f>
        <v>002_Servicio de educación informal</v>
      </c>
      <c r="Y559" s="161" t="str">
        <f>CONCATENATE(U559," ",X559)</f>
        <v>07-Servicio de formación en gestión del riesgo de incendios para el personal UAECOB 002_Servicio de educación informal</v>
      </c>
      <c r="Z559" s="160" t="str">
        <f>CONCATENATE(P559,Q559,R559,S559,V559)</f>
        <v>O23011745032024025507002</v>
      </c>
      <c r="AA559" s="160" t="str">
        <f>IFERROR(VLOOKUP(Y559,TD!$K$46:$L$64,2,0)," ")</f>
        <v>PM/0131/0107/45030020255</v>
      </c>
      <c r="AB559" s="150" t="s">
        <v>138</v>
      </c>
      <c r="AC559" s="162" t="s">
        <v>204</v>
      </c>
    </row>
    <row r="560" spans="2:29" s="28" customFormat="1" ht="99" customHeight="1" x14ac:dyDescent="0.35">
      <c r="B560" s="77">
        <v>20250578</v>
      </c>
      <c r="C560" s="50" t="s">
        <v>209</v>
      </c>
      <c r="D560" s="158" t="s">
        <v>165</v>
      </c>
      <c r="E560" s="51" t="s">
        <v>495</v>
      </c>
      <c r="F560" s="158" t="s">
        <v>743</v>
      </c>
      <c r="G560" s="158" t="s">
        <v>155</v>
      </c>
      <c r="H560" s="97">
        <v>80111600</v>
      </c>
      <c r="I560" s="159">
        <v>2</v>
      </c>
      <c r="J560" s="159">
        <v>11</v>
      </c>
      <c r="K560" s="52">
        <v>0</v>
      </c>
      <c r="L560" s="153">
        <v>45000000</v>
      </c>
      <c r="M560" s="158" t="s">
        <v>473</v>
      </c>
      <c r="N560" s="53" t="s">
        <v>113</v>
      </c>
      <c r="O560" s="51" t="s">
        <v>229</v>
      </c>
      <c r="P560" s="160" t="str">
        <f>IFERROR(VLOOKUP(C560,TD!$B$32:$F$36,2,0)," ")</f>
        <v>O230117</v>
      </c>
      <c r="Q560" s="160" t="str">
        <f>IFERROR(VLOOKUP(C560,TD!$B$32:$F$36,3,0)," ")</f>
        <v>4503</v>
      </c>
      <c r="R560" s="160">
        <f>IFERROR(VLOOKUP(C560,TD!$B$32:$F$36,4,0)," ")</f>
        <v>20240255</v>
      </c>
      <c r="S560" s="51" t="s">
        <v>183</v>
      </c>
      <c r="T560" s="160" t="str">
        <f>IFERROR(VLOOKUP(S560,TD!$J$33:$K$43,2,0)," ")</f>
        <v>Servicio de formación en gestión del riesgo de incendios para el personal UAECOB</v>
      </c>
      <c r="U560" s="161" t="str">
        <f>CONCATENATE(S560,"-",T560)</f>
        <v>07-Servicio de formación en gestión del riesgo de incendios para el personal UAECOB</v>
      </c>
      <c r="V560" s="51" t="s">
        <v>233</v>
      </c>
      <c r="W560" s="160" t="str">
        <f>IFERROR(VLOOKUP(V560,TD!$N$33:$O$45,2,0)," ")</f>
        <v>Servicio de educación informal</v>
      </c>
      <c r="X560" s="161" t="str">
        <f>CONCATENATE(V560,"_",W560)</f>
        <v>002_Servicio de educación informal</v>
      </c>
      <c r="Y560" s="161" t="str">
        <f>CONCATENATE(U560," ",X560)</f>
        <v>07-Servicio de formación en gestión del riesgo de incendios para el personal UAECOB 002_Servicio de educación informal</v>
      </c>
      <c r="Z560" s="160" t="str">
        <f>CONCATENATE(P560,Q560,R560,S560,V560)</f>
        <v>O23011745032024025507002</v>
      </c>
      <c r="AA560" s="160" t="str">
        <f>IFERROR(VLOOKUP(Y560,TD!$K$46:$L$64,2,0)," ")</f>
        <v>PM/0131/0107/45030020255</v>
      </c>
      <c r="AB560" s="150" t="s">
        <v>138</v>
      </c>
      <c r="AC560" s="162" t="s">
        <v>204</v>
      </c>
    </row>
    <row r="561" spans="2:29" s="28" customFormat="1" ht="99" customHeight="1" x14ac:dyDescent="0.35">
      <c r="B561" s="77">
        <v>20250579</v>
      </c>
      <c r="C561" s="50" t="s">
        <v>209</v>
      </c>
      <c r="D561" s="158" t="s">
        <v>165</v>
      </c>
      <c r="E561" s="51" t="s">
        <v>495</v>
      </c>
      <c r="F561" s="158" t="s">
        <v>744</v>
      </c>
      <c r="G561" s="158" t="s">
        <v>155</v>
      </c>
      <c r="H561" s="97">
        <v>80111600</v>
      </c>
      <c r="I561" s="159">
        <v>2</v>
      </c>
      <c r="J561" s="159">
        <v>11</v>
      </c>
      <c r="K561" s="52">
        <v>0</v>
      </c>
      <c r="L561" s="153">
        <v>88065000</v>
      </c>
      <c r="M561" s="158" t="s">
        <v>473</v>
      </c>
      <c r="N561" s="53" t="s">
        <v>113</v>
      </c>
      <c r="O561" s="51" t="s">
        <v>229</v>
      </c>
      <c r="P561" s="160" t="str">
        <f>IFERROR(VLOOKUP(C561,TD!$B$32:$F$36,2,0)," ")</f>
        <v>O230117</v>
      </c>
      <c r="Q561" s="160" t="str">
        <f>IFERROR(VLOOKUP(C561,TD!$B$32:$F$36,3,0)," ")</f>
        <v>4503</v>
      </c>
      <c r="R561" s="160">
        <f>IFERROR(VLOOKUP(C561,TD!$B$32:$F$36,4,0)," ")</f>
        <v>20240255</v>
      </c>
      <c r="S561" s="51" t="s">
        <v>183</v>
      </c>
      <c r="T561" s="160" t="str">
        <f>IFERROR(VLOOKUP(S561,TD!$J$33:$K$43,2,0)," ")</f>
        <v>Servicio de formación en gestión del riesgo de incendios para el personal UAECOB</v>
      </c>
      <c r="U561" s="161" t="str">
        <f>CONCATENATE(S561,"-",T561)</f>
        <v>07-Servicio de formación en gestión del riesgo de incendios para el personal UAECOB</v>
      </c>
      <c r="V561" s="51" t="s">
        <v>233</v>
      </c>
      <c r="W561" s="160" t="str">
        <f>IFERROR(VLOOKUP(V561,TD!$N$33:$O$45,2,0)," ")</f>
        <v>Servicio de educación informal</v>
      </c>
      <c r="X561" s="161" t="str">
        <f>CONCATENATE(V561,"_",W561)</f>
        <v>002_Servicio de educación informal</v>
      </c>
      <c r="Y561" s="161" t="str">
        <f>CONCATENATE(U561," ",X561)</f>
        <v>07-Servicio de formación en gestión del riesgo de incendios para el personal UAECOB 002_Servicio de educación informal</v>
      </c>
      <c r="Z561" s="160" t="str">
        <f>CONCATENATE(P561,Q561,R561,S561,V561)</f>
        <v>O23011745032024025507002</v>
      </c>
      <c r="AA561" s="160" t="str">
        <f>IFERROR(VLOOKUP(Y561,TD!$K$46:$L$64,2,0)," ")</f>
        <v>PM/0131/0107/45030020255</v>
      </c>
      <c r="AB561" s="150" t="s">
        <v>120</v>
      </c>
      <c r="AC561" s="162" t="s">
        <v>204</v>
      </c>
    </row>
    <row r="562" spans="2:29" s="28" customFormat="1" ht="99" customHeight="1" x14ac:dyDescent="0.35">
      <c r="B562" s="77">
        <v>20250580</v>
      </c>
      <c r="C562" s="50" t="s">
        <v>209</v>
      </c>
      <c r="D562" s="158" t="s">
        <v>165</v>
      </c>
      <c r="E562" s="51" t="s">
        <v>495</v>
      </c>
      <c r="F562" s="158" t="s">
        <v>745</v>
      </c>
      <c r="G562" s="158" t="s">
        <v>155</v>
      </c>
      <c r="H562" s="97">
        <v>80111600</v>
      </c>
      <c r="I562" s="159">
        <v>2</v>
      </c>
      <c r="J562" s="159">
        <v>11</v>
      </c>
      <c r="K562" s="52">
        <v>0</v>
      </c>
      <c r="L562" s="153">
        <v>38500000</v>
      </c>
      <c r="M562" s="158" t="s">
        <v>473</v>
      </c>
      <c r="N562" s="53" t="s">
        <v>113</v>
      </c>
      <c r="O562" s="51" t="s">
        <v>229</v>
      </c>
      <c r="P562" s="160" t="str">
        <f>IFERROR(VLOOKUP(C562,TD!$B$32:$F$36,2,0)," ")</f>
        <v>O230117</v>
      </c>
      <c r="Q562" s="160" t="str">
        <f>IFERROR(VLOOKUP(C562,TD!$B$32:$F$36,3,0)," ")</f>
        <v>4503</v>
      </c>
      <c r="R562" s="160">
        <f>IFERROR(VLOOKUP(C562,TD!$B$32:$F$36,4,0)," ")</f>
        <v>20240255</v>
      </c>
      <c r="S562" s="51" t="s">
        <v>183</v>
      </c>
      <c r="T562" s="160" t="str">
        <f>IFERROR(VLOOKUP(S562,TD!$J$33:$K$43,2,0)," ")</f>
        <v>Servicio de formación en gestión del riesgo de incendios para el personal UAECOB</v>
      </c>
      <c r="U562" s="161" t="str">
        <f>CONCATENATE(S562,"-",T562)</f>
        <v>07-Servicio de formación en gestión del riesgo de incendios para el personal UAECOB</v>
      </c>
      <c r="V562" s="51" t="s">
        <v>233</v>
      </c>
      <c r="W562" s="160" t="str">
        <f>IFERROR(VLOOKUP(V562,TD!$N$33:$O$45,2,0)," ")</f>
        <v>Servicio de educación informal</v>
      </c>
      <c r="X562" s="161" t="str">
        <f>CONCATENATE(V562,"_",W562)</f>
        <v>002_Servicio de educación informal</v>
      </c>
      <c r="Y562" s="161" t="str">
        <f>CONCATENATE(U562," ",X562)</f>
        <v>07-Servicio de formación en gestión del riesgo de incendios para el personal UAECOB 002_Servicio de educación informal</v>
      </c>
      <c r="Z562" s="160" t="str">
        <f>CONCATENATE(P562,Q562,R562,S562,V562)</f>
        <v>O23011745032024025507002</v>
      </c>
      <c r="AA562" s="160" t="str">
        <f>IFERROR(VLOOKUP(Y562,TD!$K$46:$L$64,2,0)," ")</f>
        <v>PM/0131/0107/45030020255</v>
      </c>
      <c r="AB562" s="150" t="s">
        <v>138</v>
      </c>
      <c r="AC562" s="162" t="s">
        <v>204</v>
      </c>
    </row>
    <row r="563" spans="2:29" s="28" customFormat="1" ht="99" customHeight="1" x14ac:dyDescent="0.35">
      <c r="B563" s="77">
        <v>20250581</v>
      </c>
      <c r="C563" s="50" t="s">
        <v>209</v>
      </c>
      <c r="D563" s="158" t="s">
        <v>165</v>
      </c>
      <c r="E563" s="51" t="s">
        <v>495</v>
      </c>
      <c r="F563" s="158" t="s">
        <v>746</v>
      </c>
      <c r="G563" s="158" t="s">
        <v>155</v>
      </c>
      <c r="H563" s="97">
        <v>80111600</v>
      </c>
      <c r="I563" s="159">
        <v>2</v>
      </c>
      <c r="J563" s="159">
        <v>11</v>
      </c>
      <c r="K563" s="52">
        <v>0</v>
      </c>
      <c r="L563" s="153">
        <v>64000000</v>
      </c>
      <c r="M563" s="158" t="s">
        <v>473</v>
      </c>
      <c r="N563" s="53" t="s">
        <v>113</v>
      </c>
      <c r="O563" s="51" t="s">
        <v>229</v>
      </c>
      <c r="P563" s="160" t="str">
        <f>IFERROR(VLOOKUP(C563,TD!$B$32:$F$36,2,0)," ")</f>
        <v>O230117</v>
      </c>
      <c r="Q563" s="160" t="str">
        <f>IFERROR(VLOOKUP(C563,TD!$B$32:$F$36,3,0)," ")</f>
        <v>4503</v>
      </c>
      <c r="R563" s="160">
        <f>IFERROR(VLOOKUP(C563,TD!$B$32:$F$36,4,0)," ")</f>
        <v>20240255</v>
      </c>
      <c r="S563" s="51" t="s">
        <v>183</v>
      </c>
      <c r="T563" s="160" t="str">
        <f>IFERROR(VLOOKUP(S563,TD!$J$33:$K$43,2,0)," ")</f>
        <v>Servicio de formación en gestión del riesgo de incendios para el personal UAECOB</v>
      </c>
      <c r="U563" s="161" t="str">
        <f>CONCATENATE(S563,"-",T563)</f>
        <v>07-Servicio de formación en gestión del riesgo de incendios para el personal UAECOB</v>
      </c>
      <c r="V563" s="51" t="s">
        <v>233</v>
      </c>
      <c r="W563" s="160" t="str">
        <f>IFERROR(VLOOKUP(V563,TD!$N$33:$O$45,2,0)," ")</f>
        <v>Servicio de educación informal</v>
      </c>
      <c r="X563" s="161" t="str">
        <f>CONCATENATE(V563,"_",W563)</f>
        <v>002_Servicio de educación informal</v>
      </c>
      <c r="Y563" s="161" t="str">
        <f>CONCATENATE(U563," ",X563)</f>
        <v>07-Servicio de formación en gestión del riesgo de incendios para el personal UAECOB 002_Servicio de educación informal</v>
      </c>
      <c r="Z563" s="160" t="str">
        <f>CONCATENATE(P563,Q563,R563,S563,V563)</f>
        <v>O23011745032024025507002</v>
      </c>
      <c r="AA563" s="160" t="str">
        <f>IFERROR(VLOOKUP(Y563,TD!$K$46:$L$64,2,0)," ")</f>
        <v>PM/0131/0107/45030020255</v>
      </c>
      <c r="AB563" s="150" t="s">
        <v>138</v>
      </c>
      <c r="AC563" s="162" t="s">
        <v>204</v>
      </c>
    </row>
    <row r="564" spans="2:29" s="28" customFormat="1" ht="99" customHeight="1" x14ac:dyDescent="0.35">
      <c r="B564" s="77">
        <v>20250582</v>
      </c>
      <c r="C564" s="50" t="s">
        <v>209</v>
      </c>
      <c r="D564" s="158" t="s">
        <v>165</v>
      </c>
      <c r="E564" s="51" t="s">
        <v>495</v>
      </c>
      <c r="F564" s="158" t="s">
        <v>880</v>
      </c>
      <c r="G564" s="158" t="s">
        <v>155</v>
      </c>
      <c r="H564" s="97">
        <v>80111600</v>
      </c>
      <c r="I564" s="159">
        <v>2</v>
      </c>
      <c r="J564" s="159">
        <v>8</v>
      </c>
      <c r="K564" s="52">
        <v>0</v>
      </c>
      <c r="L564" s="153">
        <v>56000000</v>
      </c>
      <c r="M564" s="158" t="s">
        <v>473</v>
      </c>
      <c r="N564" s="53" t="s">
        <v>113</v>
      </c>
      <c r="O564" s="51" t="s">
        <v>229</v>
      </c>
      <c r="P564" s="160" t="str">
        <f>IFERROR(VLOOKUP(C564,TD!$B$32:$F$36,2,0)," ")</f>
        <v>O230117</v>
      </c>
      <c r="Q564" s="160" t="str">
        <f>IFERROR(VLOOKUP(C564,TD!$B$32:$F$36,3,0)," ")</f>
        <v>4503</v>
      </c>
      <c r="R564" s="160">
        <f>IFERROR(VLOOKUP(C564,TD!$B$32:$F$36,4,0)," ")</f>
        <v>20240255</v>
      </c>
      <c r="S564" s="51" t="s">
        <v>183</v>
      </c>
      <c r="T564" s="160" t="str">
        <f>IFERROR(VLOOKUP(S564,TD!$J$33:$K$43,2,0)," ")</f>
        <v>Servicio de formación en gestión del riesgo de incendios para el personal UAECOB</v>
      </c>
      <c r="U564" s="161" t="str">
        <f>CONCATENATE(S564,"-",T564)</f>
        <v>07-Servicio de formación en gestión del riesgo de incendios para el personal UAECOB</v>
      </c>
      <c r="V564" s="51" t="s">
        <v>233</v>
      </c>
      <c r="W564" s="160" t="str">
        <f>IFERROR(VLOOKUP(V564,TD!$N$33:$O$45,2,0)," ")</f>
        <v>Servicio de educación informal</v>
      </c>
      <c r="X564" s="161" t="str">
        <f>CONCATENATE(V564,"_",W564)</f>
        <v>002_Servicio de educación informal</v>
      </c>
      <c r="Y564" s="161" t="str">
        <f>CONCATENATE(U564," ",X564)</f>
        <v>07-Servicio de formación en gestión del riesgo de incendios para el personal UAECOB 002_Servicio de educación informal</v>
      </c>
      <c r="Z564" s="160" t="str">
        <f>CONCATENATE(P564,Q564,R564,S564,V564)</f>
        <v>O23011745032024025507002</v>
      </c>
      <c r="AA564" s="160" t="str">
        <f>IFERROR(VLOOKUP(Y564,TD!$K$46:$L$64,2,0)," ")</f>
        <v>PM/0131/0107/45030020255</v>
      </c>
      <c r="AB564" s="150" t="s">
        <v>138</v>
      </c>
      <c r="AC564" s="162" t="s">
        <v>204</v>
      </c>
    </row>
    <row r="565" spans="2:29" s="28" customFormat="1" ht="99" customHeight="1" x14ac:dyDescent="0.35">
      <c r="B565" s="77">
        <v>20250583</v>
      </c>
      <c r="C565" s="50" t="s">
        <v>209</v>
      </c>
      <c r="D565" s="158" t="s">
        <v>165</v>
      </c>
      <c r="E565" s="51" t="s">
        <v>495</v>
      </c>
      <c r="F565" s="158" t="s">
        <v>747</v>
      </c>
      <c r="G565" s="158" t="s">
        <v>155</v>
      </c>
      <c r="H565" s="97">
        <v>80111600</v>
      </c>
      <c r="I565" s="159">
        <v>2</v>
      </c>
      <c r="J565" s="159">
        <v>11</v>
      </c>
      <c r="K565" s="52">
        <v>0</v>
      </c>
      <c r="L565" s="153">
        <v>40849200</v>
      </c>
      <c r="M565" s="158" t="s">
        <v>473</v>
      </c>
      <c r="N565" s="53" t="s">
        <v>113</v>
      </c>
      <c r="O565" s="51" t="s">
        <v>229</v>
      </c>
      <c r="P565" s="160" t="str">
        <f>IFERROR(VLOOKUP(C565,TD!$B$32:$F$36,2,0)," ")</f>
        <v>O230117</v>
      </c>
      <c r="Q565" s="160" t="str">
        <f>IFERROR(VLOOKUP(C565,TD!$B$32:$F$36,3,0)," ")</f>
        <v>4503</v>
      </c>
      <c r="R565" s="160">
        <f>IFERROR(VLOOKUP(C565,TD!$B$32:$F$36,4,0)," ")</f>
        <v>20240255</v>
      </c>
      <c r="S565" s="51" t="s">
        <v>183</v>
      </c>
      <c r="T565" s="160" t="str">
        <f>IFERROR(VLOOKUP(S565,TD!$J$33:$K$43,2,0)," ")</f>
        <v>Servicio de formación en gestión del riesgo de incendios para el personal UAECOB</v>
      </c>
      <c r="U565" s="161" t="str">
        <f>CONCATENATE(S565,"-",T565)</f>
        <v>07-Servicio de formación en gestión del riesgo de incendios para el personal UAECOB</v>
      </c>
      <c r="V565" s="51" t="s">
        <v>233</v>
      </c>
      <c r="W565" s="160" t="str">
        <f>IFERROR(VLOOKUP(V565,TD!$N$33:$O$45,2,0)," ")</f>
        <v>Servicio de educación informal</v>
      </c>
      <c r="X565" s="161" t="str">
        <f>CONCATENATE(V565,"_",W565)</f>
        <v>002_Servicio de educación informal</v>
      </c>
      <c r="Y565" s="161" t="str">
        <f>CONCATENATE(U565," ",X565)</f>
        <v>07-Servicio de formación en gestión del riesgo de incendios para el personal UAECOB 002_Servicio de educación informal</v>
      </c>
      <c r="Z565" s="160" t="str">
        <f>CONCATENATE(P565,Q565,R565,S565,V565)</f>
        <v>O23011745032024025507002</v>
      </c>
      <c r="AA565" s="160" t="str">
        <f>IFERROR(VLOOKUP(Y565,TD!$K$46:$L$64,2,0)," ")</f>
        <v>PM/0131/0107/45030020255</v>
      </c>
      <c r="AB565" s="150" t="s">
        <v>138</v>
      </c>
      <c r="AC565" s="162" t="s">
        <v>204</v>
      </c>
    </row>
    <row r="566" spans="2:29" s="28" customFormat="1" ht="99" customHeight="1" x14ac:dyDescent="0.35">
      <c r="B566" s="77">
        <v>20250584</v>
      </c>
      <c r="C566" s="50" t="s">
        <v>209</v>
      </c>
      <c r="D566" s="158" t="s">
        <v>165</v>
      </c>
      <c r="E566" s="51" t="s">
        <v>495</v>
      </c>
      <c r="F566" s="158" t="s">
        <v>882</v>
      </c>
      <c r="G566" s="158" t="s">
        <v>155</v>
      </c>
      <c r="H566" s="97">
        <v>80111600</v>
      </c>
      <c r="I566" s="159">
        <v>2</v>
      </c>
      <c r="J566" s="159">
        <v>11</v>
      </c>
      <c r="K566" s="52">
        <v>0</v>
      </c>
      <c r="L566" s="153">
        <v>27344000</v>
      </c>
      <c r="M566" s="158" t="s">
        <v>473</v>
      </c>
      <c r="N566" s="53" t="s">
        <v>113</v>
      </c>
      <c r="O566" s="51" t="s">
        <v>229</v>
      </c>
      <c r="P566" s="160" t="str">
        <f>IFERROR(VLOOKUP(C566,TD!$B$32:$F$36,2,0)," ")</f>
        <v>O230117</v>
      </c>
      <c r="Q566" s="160" t="str">
        <f>IFERROR(VLOOKUP(C566,TD!$B$32:$F$36,3,0)," ")</f>
        <v>4503</v>
      </c>
      <c r="R566" s="160">
        <f>IFERROR(VLOOKUP(C566,TD!$B$32:$F$36,4,0)," ")</f>
        <v>20240255</v>
      </c>
      <c r="S566" s="51" t="s">
        <v>183</v>
      </c>
      <c r="T566" s="160" t="str">
        <f>IFERROR(VLOOKUP(S566,TD!$J$33:$K$43,2,0)," ")</f>
        <v>Servicio de formación en gestión del riesgo de incendios para el personal UAECOB</v>
      </c>
      <c r="U566" s="161" t="str">
        <f>CONCATENATE(S566,"-",T566)</f>
        <v>07-Servicio de formación en gestión del riesgo de incendios para el personal UAECOB</v>
      </c>
      <c r="V566" s="51" t="s">
        <v>233</v>
      </c>
      <c r="W566" s="160" t="str">
        <f>IFERROR(VLOOKUP(V566,TD!$N$33:$O$45,2,0)," ")</f>
        <v>Servicio de educación informal</v>
      </c>
      <c r="X566" s="161" t="str">
        <f>CONCATENATE(V566,"_",W566)</f>
        <v>002_Servicio de educación informal</v>
      </c>
      <c r="Y566" s="161" t="str">
        <f>CONCATENATE(U566," ",X566)</f>
        <v>07-Servicio de formación en gestión del riesgo de incendios para el personal UAECOB 002_Servicio de educación informal</v>
      </c>
      <c r="Z566" s="160" t="str">
        <f>CONCATENATE(P566,Q566,R566,S566,V566)</f>
        <v>O23011745032024025507002</v>
      </c>
      <c r="AA566" s="160" t="str">
        <f>IFERROR(VLOOKUP(Y566,TD!$K$46:$L$64,2,0)," ")</f>
        <v>PM/0131/0107/45030020255</v>
      </c>
      <c r="AB566" s="150" t="s">
        <v>138</v>
      </c>
      <c r="AC566" s="162" t="s">
        <v>204</v>
      </c>
    </row>
    <row r="567" spans="2:29" s="28" customFormat="1" ht="99" customHeight="1" x14ac:dyDescent="0.35">
      <c r="B567" s="77">
        <v>20250585</v>
      </c>
      <c r="C567" s="50" t="s">
        <v>209</v>
      </c>
      <c r="D567" s="158" t="s">
        <v>165</v>
      </c>
      <c r="E567" s="51" t="s">
        <v>495</v>
      </c>
      <c r="F567" s="158" t="s">
        <v>748</v>
      </c>
      <c r="G567" s="158" t="s">
        <v>155</v>
      </c>
      <c r="H567" s="97">
        <v>80111600</v>
      </c>
      <c r="I567" s="159">
        <v>2</v>
      </c>
      <c r="J567" s="159">
        <v>11</v>
      </c>
      <c r="K567" s="52">
        <v>0</v>
      </c>
      <c r="L567" s="153">
        <v>27344000</v>
      </c>
      <c r="M567" s="158" t="s">
        <v>473</v>
      </c>
      <c r="N567" s="53" t="s">
        <v>113</v>
      </c>
      <c r="O567" s="51" t="s">
        <v>229</v>
      </c>
      <c r="P567" s="160" t="str">
        <f>IFERROR(VLOOKUP(C567,TD!$B$32:$F$36,2,0)," ")</f>
        <v>O230117</v>
      </c>
      <c r="Q567" s="160" t="str">
        <f>IFERROR(VLOOKUP(C567,TD!$B$32:$F$36,3,0)," ")</f>
        <v>4503</v>
      </c>
      <c r="R567" s="160">
        <f>IFERROR(VLOOKUP(C567,TD!$B$32:$F$36,4,0)," ")</f>
        <v>20240255</v>
      </c>
      <c r="S567" s="51" t="s">
        <v>183</v>
      </c>
      <c r="T567" s="160" t="str">
        <f>IFERROR(VLOOKUP(S567,TD!$J$33:$K$43,2,0)," ")</f>
        <v>Servicio de formación en gestión del riesgo de incendios para el personal UAECOB</v>
      </c>
      <c r="U567" s="161" t="str">
        <f>CONCATENATE(S567,"-",T567)</f>
        <v>07-Servicio de formación en gestión del riesgo de incendios para el personal UAECOB</v>
      </c>
      <c r="V567" s="51" t="s">
        <v>233</v>
      </c>
      <c r="W567" s="160" t="str">
        <f>IFERROR(VLOOKUP(V567,TD!$N$33:$O$45,2,0)," ")</f>
        <v>Servicio de educación informal</v>
      </c>
      <c r="X567" s="161" t="str">
        <f>CONCATENATE(V567,"_",W567)</f>
        <v>002_Servicio de educación informal</v>
      </c>
      <c r="Y567" s="161" t="str">
        <f>CONCATENATE(U567," ",X567)</f>
        <v>07-Servicio de formación en gestión del riesgo de incendios para el personal UAECOB 002_Servicio de educación informal</v>
      </c>
      <c r="Z567" s="160" t="str">
        <f>CONCATENATE(P567,Q567,R567,S567,V567)</f>
        <v>O23011745032024025507002</v>
      </c>
      <c r="AA567" s="160" t="str">
        <f>IFERROR(VLOOKUP(Y567,TD!$K$46:$L$64,2,0)," ")</f>
        <v>PM/0131/0107/45030020255</v>
      </c>
      <c r="AB567" s="150" t="s">
        <v>138</v>
      </c>
      <c r="AC567" s="162" t="s">
        <v>204</v>
      </c>
    </row>
    <row r="568" spans="2:29" s="28" customFormat="1" ht="99" customHeight="1" x14ac:dyDescent="0.35">
      <c r="B568" s="77">
        <v>20250586</v>
      </c>
      <c r="C568" s="50" t="s">
        <v>208</v>
      </c>
      <c r="D568" s="158" t="s">
        <v>164</v>
      </c>
      <c r="E568" s="51" t="s">
        <v>389</v>
      </c>
      <c r="F568" s="158" t="s">
        <v>757</v>
      </c>
      <c r="G568" s="158" t="s">
        <v>155</v>
      </c>
      <c r="H568" s="97">
        <v>80111600</v>
      </c>
      <c r="I568" s="159">
        <v>2</v>
      </c>
      <c r="J568" s="159">
        <v>11</v>
      </c>
      <c r="K568" s="52">
        <v>0</v>
      </c>
      <c r="L568" s="153">
        <v>79450000</v>
      </c>
      <c r="M568" s="158" t="s">
        <v>473</v>
      </c>
      <c r="N568" s="53" t="s">
        <v>113</v>
      </c>
      <c r="O568" s="51" t="s">
        <v>219</v>
      </c>
      <c r="P568" s="160" t="str">
        <f>IFERROR(VLOOKUP(C568,TD!$B$32:$F$36,2,0)," ")</f>
        <v>O230117</v>
      </c>
      <c r="Q568" s="160" t="str">
        <f>IFERROR(VLOOKUP(C568,TD!$B$32:$F$36,3,0)," ")</f>
        <v>4599</v>
      </c>
      <c r="R568" s="160">
        <f>IFERROR(VLOOKUP(C568,TD!$B$32:$F$36,4,0)," ")</f>
        <v>20240207</v>
      </c>
      <c r="S568" s="51" t="s">
        <v>185</v>
      </c>
      <c r="T568" s="160" t="str">
        <f>IFERROR(VLOOKUP(S568,TD!$J$33:$K$43,2,0)," ")</f>
        <v>Infraestructura física, mantenimiento y dotación (Sedes construidas, mantenidas reforzadas)</v>
      </c>
      <c r="U568" s="161" t="str">
        <f>CONCATENATE(S568,"-",T568)</f>
        <v>08-Infraestructura física, mantenimiento y dotación (Sedes construidas, mantenidas reforzadas)</v>
      </c>
      <c r="V568" s="51" t="s">
        <v>238</v>
      </c>
      <c r="W568" s="160" t="str">
        <f>IFERROR(VLOOKUP(V568,TD!$N$33:$O$45,2,0)," ")</f>
        <v>Sedes mantenidas</v>
      </c>
      <c r="X568" s="161" t="str">
        <f>CONCATENATE(V568,"_",W568)</f>
        <v>016_Sedes mantenidas</v>
      </c>
      <c r="Y568" s="161" t="str">
        <f>CONCATENATE(U568," ",X568)</f>
        <v>08-Infraestructura física, mantenimiento y dotación (Sedes construidas, mantenidas reforzadas) 016_Sedes mantenidas</v>
      </c>
      <c r="Z568" s="160" t="str">
        <f>CONCATENATE(P568,Q568,R568,S568,V568)</f>
        <v>O23011745992024020708016</v>
      </c>
      <c r="AA568" s="160" t="str">
        <f>IFERROR(VLOOKUP(Y568,TD!$K$46:$L$64,2,0)," ")</f>
        <v>PM/0131/0108/45990160207</v>
      </c>
      <c r="AB568" s="53" t="s">
        <v>120</v>
      </c>
      <c r="AC568" s="162" t="s">
        <v>204</v>
      </c>
    </row>
    <row r="569" spans="2:29" s="28" customFormat="1" ht="99" customHeight="1" x14ac:dyDescent="0.35">
      <c r="B569" s="77">
        <v>20250587</v>
      </c>
      <c r="C569" s="50" t="s">
        <v>208</v>
      </c>
      <c r="D569" s="158" t="s">
        <v>164</v>
      </c>
      <c r="E569" s="51" t="s">
        <v>389</v>
      </c>
      <c r="F569" s="158" t="s">
        <v>761</v>
      </c>
      <c r="G569" s="158" t="s">
        <v>156</v>
      </c>
      <c r="H569" s="97">
        <v>80111600</v>
      </c>
      <c r="I569" s="159">
        <v>2</v>
      </c>
      <c r="J569" s="159">
        <v>4</v>
      </c>
      <c r="K569" s="52">
        <v>0</v>
      </c>
      <c r="L569" s="153">
        <v>24800000</v>
      </c>
      <c r="M569" s="158" t="s">
        <v>473</v>
      </c>
      <c r="N569" s="53" t="s">
        <v>113</v>
      </c>
      <c r="O569" s="51" t="s">
        <v>219</v>
      </c>
      <c r="P569" s="160" t="str">
        <f>IFERROR(VLOOKUP(C569,TD!$B$32:$F$36,2,0)," ")</f>
        <v>O230117</v>
      </c>
      <c r="Q569" s="160" t="str">
        <f>IFERROR(VLOOKUP(C569,TD!$B$32:$F$36,3,0)," ")</f>
        <v>4599</v>
      </c>
      <c r="R569" s="160">
        <f>IFERROR(VLOOKUP(C569,TD!$B$32:$F$36,4,0)," ")</f>
        <v>20240207</v>
      </c>
      <c r="S569" s="51" t="s">
        <v>185</v>
      </c>
      <c r="T569" s="160" t="str">
        <f>IFERROR(VLOOKUP(S569,TD!$J$33:$K$43,2,0)," ")</f>
        <v>Infraestructura física, mantenimiento y dotación (Sedes construidas, mantenidas reforzadas)</v>
      </c>
      <c r="U569" s="161" t="str">
        <f>CONCATENATE(S569,"-",T569)</f>
        <v>08-Infraestructura física, mantenimiento y dotación (Sedes construidas, mantenidas reforzadas)</v>
      </c>
      <c r="V569" s="51" t="s">
        <v>238</v>
      </c>
      <c r="W569" s="160" t="str">
        <f>IFERROR(VLOOKUP(V569,TD!$N$33:$O$45,2,0)," ")</f>
        <v>Sedes mantenidas</v>
      </c>
      <c r="X569" s="161" t="str">
        <f>CONCATENATE(V569,"_",W569)</f>
        <v>016_Sedes mantenidas</v>
      </c>
      <c r="Y569" s="161" t="str">
        <f>CONCATENATE(U569," ",X569)</f>
        <v>08-Infraestructura física, mantenimiento y dotación (Sedes construidas, mantenidas reforzadas) 016_Sedes mantenidas</v>
      </c>
      <c r="Z569" s="160" t="str">
        <f>CONCATENATE(P569,Q569,R569,S569,V569)</f>
        <v>O23011745992024020708016</v>
      </c>
      <c r="AA569" s="160" t="str">
        <f>IFERROR(VLOOKUP(Y569,TD!$K$46:$L$64,2,0)," ")</f>
        <v>PM/0131/0108/45990160207</v>
      </c>
      <c r="AB569" s="53" t="s">
        <v>138</v>
      </c>
      <c r="AC569" s="162" t="s">
        <v>204</v>
      </c>
    </row>
    <row r="570" spans="2:29" s="28" customFormat="1" ht="99" customHeight="1" x14ac:dyDescent="0.35">
      <c r="B570" s="197">
        <v>20250588</v>
      </c>
      <c r="C570" s="187" t="s">
        <v>346</v>
      </c>
      <c r="D570" s="188" t="s">
        <v>166</v>
      </c>
      <c r="E570" s="189" t="s">
        <v>592</v>
      </c>
      <c r="F570" s="188" t="s">
        <v>785</v>
      </c>
      <c r="G570" s="188" t="s">
        <v>129</v>
      </c>
      <c r="H570" s="190" t="s">
        <v>673</v>
      </c>
      <c r="I570" s="191">
        <v>2</v>
      </c>
      <c r="J570" s="191">
        <v>0</v>
      </c>
      <c r="K570" s="192">
        <v>0</v>
      </c>
      <c r="L570" s="193">
        <v>5684125</v>
      </c>
      <c r="M570" s="188" t="s">
        <v>172</v>
      </c>
      <c r="N570" s="194" t="s">
        <v>90</v>
      </c>
      <c r="O570" s="189" t="s">
        <v>347</v>
      </c>
      <c r="P570" s="195" t="str">
        <f>IFERROR(VLOOKUP(C570,TD!$B$32:$F$36,2,0)," ")</f>
        <v>NA</v>
      </c>
      <c r="Q570" s="195" t="str">
        <f>IFERROR(VLOOKUP(C570,TD!$B$32:$F$36,3,0)," ")</f>
        <v>NA</v>
      </c>
      <c r="R570" s="195" t="str">
        <f>IFERROR(VLOOKUP(C570,TD!$B$32:$F$36,4,0)," ")</f>
        <v>NA</v>
      </c>
      <c r="S570" s="189" t="s">
        <v>406</v>
      </c>
      <c r="T570" s="195" t="str">
        <f>IFERROR(VLOOKUP(S570,TD!$J$33:$K$43,2,0)," ")</f>
        <v>N/A</v>
      </c>
      <c r="U570" s="161" t="str">
        <f>CONCATENATE(S570,"-",T570)</f>
        <v>N/A-N/A</v>
      </c>
      <c r="V570" s="189" t="s">
        <v>406</v>
      </c>
      <c r="W570" s="195" t="str">
        <f>IFERROR(VLOOKUP(V570,TD!$N$33:$O$45,2,0)," ")</f>
        <v>N/A</v>
      </c>
      <c r="X570" s="161" t="str">
        <f>CONCATENATE(V570,"_",W570)</f>
        <v>N/A_N/A</v>
      </c>
      <c r="Y570" s="161" t="str">
        <f>CONCATENATE(U570," ",X570)</f>
        <v>N/A-N/A N/A_N/A</v>
      </c>
      <c r="Z570" s="195" t="str">
        <f>CONCATENATE(P570,Q570,R570,S570,V570)</f>
        <v>NANANAN/AN/A</v>
      </c>
      <c r="AA570" s="195" t="str">
        <f>IFERROR(VLOOKUP(Y570,TD!$K$46:$L$64,2,0)," ")</f>
        <v>N/A</v>
      </c>
      <c r="AB570" s="194" t="s">
        <v>348</v>
      </c>
      <c r="AC570" s="196" t="s">
        <v>205</v>
      </c>
    </row>
    <row r="571" spans="2:29" s="28" customFormat="1" ht="99" customHeight="1" x14ac:dyDescent="0.35">
      <c r="B571" s="77">
        <v>20250590</v>
      </c>
      <c r="C571" s="50" t="s">
        <v>208</v>
      </c>
      <c r="D571" s="158" t="s">
        <v>166</v>
      </c>
      <c r="E571" s="51" t="s">
        <v>592</v>
      </c>
      <c r="F571" s="158" t="s">
        <v>595</v>
      </c>
      <c r="G571" s="158" t="s">
        <v>156</v>
      </c>
      <c r="H571" s="97" t="s">
        <v>648</v>
      </c>
      <c r="I571" s="159">
        <v>2</v>
      </c>
      <c r="J571" s="159">
        <v>9</v>
      </c>
      <c r="K571" s="52">
        <v>0</v>
      </c>
      <c r="L571" s="153">
        <v>29558952</v>
      </c>
      <c r="M571" s="158" t="s">
        <v>473</v>
      </c>
      <c r="N571" s="53" t="s">
        <v>113</v>
      </c>
      <c r="O571" s="51" t="s">
        <v>219</v>
      </c>
      <c r="P571" s="160" t="str">
        <f>IFERROR(VLOOKUP(C571,TD!$B$32:$F$36,2,0)," ")</f>
        <v>O230117</v>
      </c>
      <c r="Q571" s="160" t="str">
        <f>IFERROR(VLOOKUP(C571,TD!$B$32:$F$36,3,0)," ")</f>
        <v>4599</v>
      </c>
      <c r="R571" s="160">
        <f>IFERROR(VLOOKUP(C571,TD!$B$32:$F$36,4,0)," ")</f>
        <v>20240207</v>
      </c>
      <c r="S571" s="51" t="s">
        <v>185</v>
      </c>
      <c r="T571" s="160" t="str">
        <f>IFERROR(VLOOKUP(S571,TD!$J$33:$K$43,2,0)," ")</f>
        <v>Infraestructura física, mantenimiento y dotación (Sedes construidas, mantenidas reforzadas)</v>
      </c>
      <c r="U571" s="161" t="str">
        <f>CONCATENATE(S571,"-",T571)</f>
        <v>08-Infraestructura física, mantenimiento y dotación (Sedes construidas, mantenidas reforzadas)</v>
      </c>
      <c r="V571" s="51" t="s">
        <v>238</v>
      </c>
      <c r="W571" s="160" t="str">
        <f>IFERROR(VLOOKUP(V571,TD!$N$33:$O$45,2,0)," ")</f>
        <v>Sedes mantenidas</v>
      </c>
      <c r="X571" s="161" t="str">
        <f>CONCATENATE(V571,"_",W571)</f>
        <v>016_Sedes mantenidas</v>
      </c>
      <c r="Y571" s="161" t="str">
        <f>CONCATENATE(U571," ",X571)</f>
        <v>08-Infraestructura física, mantenimiento y dotación (Sedes construidas, mantenidas reforzadas) 016_Sedes mantenidas</v>
      </c>
      <c r="Z571" s="160" t="str">
        <f>CONCATENATE(P571,Q571,R571,S571,V571)</f>
        <v>O23011745992024020708016</v>
      </c>
      <c r="AA571" s="160" t="str">
        <f>IFERROR(VLOOKUP(Y571,TD!$K$46:$L$64,2,0)," ")</f>
        <v>PM/0131/0108/45990160207</v>
      </c>
      <c r="AB571" s="53" t="s">
        <v>138</v>
      </c>
      <c r="AC571" s="162" t="s">
        <v>204</v>
      </c>
    </row>
    <row r="572" spans="2:29" s="28" customFormat="1" ht="99" customHeight="1" x14ac:dyDescent="0.35">
      <c r="B572" s="77">
        <v>20250591</v>
      </c>
      <c r="C572" s="50" t="s">
        <v>208</v>
      </c>
      <c r="D572" s="158" t="s">
        <v>166</v>
      </c>
      <c r="E572" s="51" t="s">
        <v>592</v>
      </c>
      <c r="F572" s="158" t="s">
        <v>595</v>
      </c>
      <c r="G572" s="158" t="s">
        <v>156</v>
      </c>
      <c r="H572" s="97" t="s">
        <v>648</v>
      </c>
      <c r="I572" s="159">
        <v>2</v>
      </c>
      <c r="J572" s="159">
        <v>9</v>
      </c>
      <c r="K572" s="52">
        <v>0</v>
      </c>
      <c r="L572" s="153">
        <v>29558952</v>
      </c>
      <c r="M572" s="158" t="s">
        <v>473</v>
      </c>
      <c r="N572" s="53" t="s">
        <v>113</v>
      </c>
      <c r="O572" s="51" t="s">
        <v>219</v>
      </c>
      <c r="P572" s="160" t="str">
        <f>IFERROR(VLOOKUP(C572,TD!$B$32:$F$36,2,0)," ")</f>
        <v>O230117</v>
      </c>
      <c r="Q572" s="160" t="str">
        <f>IFERROR(VLOOKUP(C572,TD!$B$32:$F$36,3,0)," ")</f>
        <v>4599</v>
      </c>
      <c r="R572" s="160">
        <f>IFERROR(VLOOKUP(C572,TD!$B$32:$F$36,4,0)," ")</f>
        <v>20240207</v>
      </c>
      <c r="S572" s="51" t="s">
        <v>185</v>
      </c>
      <c r="T572" s="160" t="str">
        <f>IFERROR(VLOOKUP(S572,TD!$J$33:$K$43,2,0)," ")</f>
        <v>Infraestructura física, mantenimiento y dotación (Sedes construidas, mantenidas reforzadas)</v>
      </c>
      <c r="U572" s="161" t="str">
        <f>CONCATENATE(S572,"-",T572)</f>
        <v>08-Infraestructura física, mantenimiento y dotación (Sedes construidas, mantenidas reforzadas)</v>
      </c>
      <c r="V572" s="51" t="s">
        <v>238</v>
      </c>
      <c r="W572" s="160" t="str">
        <f>IFERROR(VLOOKUP(V572,TD!$N$33:$O$45,2,0)," ")</f>
        <v>Sedes mantenidas</v>
      </c>
      <c r="X572" s="161" t="str">
        <f>CONCATENATE(V572,"_",W572)</f>
        <v>016_Sedes mantenidas</v>
      </c>
      <c r="Y572" s="161" t="str">
        <f>CONCATENATE(U572," ",X572)</f>
        <v>08-Infraestructura física, mantenimiento y dotación (Sedes construidas, mantenidas reforzadas) 016_Sedes mantenidas</v>
      </c>
      <c r="Z572" s="160" t="str">
        <f>CONCATENATE(P572,Q572,R572,S572,V572)</f>
        <v>O23011745992024020708016</v>
      </c>
      <c r="AA572" s="160" t="str">
        <f>IFERROR(VLOOKUP(Y572,TD!$K$46:$L$64,2,0)," ")</f>
        <v>PM/0131/0108/45990160207</v>
      </c>
      <c r="AB572" s="53" t="s">
        <v>138</v>
      </c>
      <c r="AC572" s="162" t="s">
        <v>204</v>
      </c>
    </row>
    <row r="573" spans="2:29" s="28" customFormat="1" ht="99" customHeight="1" x14ac:dyDescent="0.35">
      <c r="B573" s="77">
        <v>20250592</v>
      </c>
      <c r="C573" s="50" t="s">
        <v>208</v>
      </c>
      <c r="D573" s="158" t="s">
        <v>166</v>
      </c>
      <c r="E573" s="51" t="s">
        <v>592</v>
      </c>
      <c r="F573" s="158" t="s">
        <v>595</v>
      </c>
      <c r="G573" s="158" t="s">
        <v>156</v>
      </c>
      <c r="H573" s="97" t="s">
        <v>648</v>
      </c>
      <c r="I573" s="159">
        <v>2</v>
      </c>
      <c r="J573" s="159">
        <v>9</v>
      </c>
      <c r="K573" s="52">
        <v>0</v>
      </c>
      <c r="L573" s="153">
        <v>29558952</v>
      </c>
      <c r="M573" s="158" t="s">
        <v>473</v>
      </c>
      <c r="N573" s="53" t="s">
        <v>113</v>
      </c>
      <c r="O573" s="51" t="s">
        <v>219</v>
      </c>
      <c r="P573" s="160" t="str">
        <f>IFERROR(VLOOKUP(C573,TD!$B$32:$F$36,2,0)," ")</f>
        <v>O230117</v>
      </c>
      <c r="Q573" s="160" t="str">
        <f>IFERROR(VLOOKUP(C573,TD!$B$32:$F$36,3,0)," ")</f>
        <v>4599</v>
      </c>
      <c r="R573" s="160">
        <f>IFERROR(VLOOKUP(C573,TD!$B$32:$F$36,4,0)," ")</f>
        <v>20240207</v>
      </c>
      <c r="S573" s="51" t="s">
        <v>185</v>
      </c>
      <c r="T573" s="160" t="str">
        <f>IFERROR(VLOOKUP(S573,TD!$J$33:$K$43,2,0)," ")</f>
        <v>Infraestructura física, mantenimiento y dotación (Sedes construidas, mantenidas reforzadas)</v>
      </c>
      <c r="U573" s="161" t="str">
        <f>CONCATENATE(S573,"-",T573)</f>
        <v>08-Infraestructura física, mantenimiento y dotación (Sedes construidas, mantenidas reforzadas)</v>
      </c>
      <c r="V573" s="51" t="s">
        <v>238</v>
      </c>
      <c r="W573" s="160" t="str">
        <f>IFERROR(VLOOKUP(V573,TD!$N$33:$O$45,2,0)," ")</f>
        <v>Sedes mantenidas</v>
      </c>
      <c r="X573" s="161" t="str">
        <f>CONCATENATE(V573,"_",W573)</f>
        <v>016_Sedes mantenidas</v>
      </c>
      <c r="Y573" s="161" t="str">
        <f>CONCATENATE(U573," ",X573)</f>
        <v>08-Infraestructura física, mantenimiento y dotación (Sedes construidas, mantenidas reforzadas) 016_Sedes mantenidas</v>
      </c>
      <c r="Z573" s="160" t="str">
        <f>CONCATENATE(P573,Q573,R573,S573,V573)</f>
        <v>O23011745992024020708016</v>
      </c>
      <c r="AA573" s="160" t="str">
        <f>IFERROR(VLOOKUP(Y573,TD!$K$46:$L$64,2,0)," ")</f>
        <v>PM/0131/0108/45990160207</v>
      </c>
      <c r="AB573" s="53" t="s">
        <v>138</v>
      </c>
      <c r="AC573" s="162" t="s">
        <v>204</v>
      </c>
    </row>
    <row r="574" spans="2:29" s="28" customFormat="1" ht="99" customHeight="1" x14ac:dyDescent="0.35">
      <c r="B574" s="77">
        <v>20250593</v>
      </c>
      <c r="C574" s="50" t="s">
        <v>208</v>
      </c>
      <c r="D574" s="158" t="s">
        <v>166</v>
      </c>
      <c r="E574" s="51" t="s">
        <v>592</v>
      </c>
      <c r="F574" s="158" t="s">
        <v>595</v>
      </c>
      <c r="G574" s="158" t="s">
        <v>156</v>
      </c>
      <c r="H574" s="97" t="s">
        <v>648</v>
      </c>
      <c r="I574" s="159">
        <v>2</v>
      </c>
      <c r="J574" s="159">
        <v>9</v>
      </c>
      <c r="K574" s="52">
        <v>0</v>
      </c>
      <c r="L574" s="153">
        <v>29558952</v>
      </c>
      <c r="M574" s="158" t="s">
        <v>473</v>
      </c>
      <c r="N574" s="53" t="s">
        <v>113</v>
      </c>
      <c r="O574" s="51" t="s">
        <v>219</v>
      </c>
      <c r="P574" s="160" t="str">
        <f>IFERROR(VLOOKUP(C574,TD!$B$32:$F$36,2,0)," ")</f>
        <v>O230117</v>
      </c>
      <c r="Q574" s="160" t="str">
        <f>IFERROR(VLOOKUP(C574,TD!$B$32:$F$36,3,0)," ")</f>
        <v>4599</v>
      </c>
      <c r="R574" s="160">
        <f>IFERROR(VLOOKUP(C574,TD!$B$32:$F$36,4,0)," ")</f>
        <v>20240207</v>
      </c>
      <c r="S574" s="51" t="s">
        <v>185</v>
      </c>
      <c r="T574" s="160" t="str">
        <f>IFERROR(VLOOKUP(S574,TD!$J$33:$K$43,2,0)," ")</f>
        <v>Infraestructura física, mantenimiento y dotación (Sedes construidas, mantenidas reforzadas)</v>
      </c>
      <c r="U574" s="161" t="str">
        <f>CONCATENATE(S574,"-",T574)</f>
        <v>08-Infraestructura física, mantenimiento y dotación (Sedes construidas, mantenidas reforzadas)</v>
      </c>
      <c r="V574" s="51" t="s">
        <v>238</v>
      </c>
      <c r="W574" s="160" t="str">
        <f>IFERROR(VLOOKUP(V574,TD!$N$33:$O$45,2,0)," ")</f>
        <v>Sedes mantenidas</v>
      </c>
      <c r="X574" s="161" t="str">
        <f>CONCATENATE(V574,"_",W574)</f>
        <v>016_Sedes mantenidas</v>
      </c>
      <c r="Y574" s="161" t="str">
        <f>CONCATENATE(U574," ",X574)</f>
        <v>08-Infraestructura física, mantenimiento y dotación (Sedes construidas, mantenidas reforzadas) 016_Sedes mantenidas</v>
      </c>
      <c r="Z574" s="160" t="str">
        <f>CONCATENATE(P574,Q574,R574,S574,V574)</f>
        <v>O23011745992024020708016</v>
      </c>
      <c r="AA574" s="160" t="str">
        <f>IFERROR(VLOOKUP(Y574,TD!$K$46:$L$64,2,0)," ")</f>
        <v>PM/0131/0108/45990160207</v>
      </c>
      <c r="AB574" s="53" t="s">
        <v>138</v>
      </c>
      <c r="AC574" s="162" t="s">
        <v>204</v>
      </c>
    </row>
    <row r="575" spans="2:29" s="28" customFormat="1" ht="99" customHeight="1" x14ac:dyDescent="0.35">
      <c r="B575" s="77">
        <v>20250594</v>
      </c>
      <c r="C575" s="50" t="s">
        <v>208</v>
      </c>
      <c r="D575" s="158" t="s">
        <v>166</v>
      </c>
      <c r="E575" s="51" t="s">
        <v>592</v>
      </c>
      <c r="F575" s="158" t="s">
        <v>595</v>
      </c>
      <c r="G575" s="158" t="s">
        <v>156</v>
      </c>
      <c r="H575" s="97" t="s">
        <v>648</v>
      </c>
      <c r="I575" s="159">
        <v>2</v>
      </c>
      <c r="J575" s="159">
        <v>9</v>
      </c>
      <c r="K575" s="52">
        <v>0</v>
      </c>
      <c r="L575" s="153">
        <v>29558952</v>
      </c>
      <c r="M575" s="158" t="s">
        <v>473</v>
      </c>
      <c r="N575" s="53" t="s">
        <v>113</v>
      </c>
      <c r="O575" s="51" t="s">
        <v>219</v>
      </c>
      <c r="P575" s="160" t="str">
        <f>IFERROR(VLOOKUP(C575,TD!$B$32:$F$36,2,0)," ")</f>
        <v>O230117</v>
      </c>
      <c r="Q575" s="160" t="str">
        <f>IFERROR(VLOOKUP(C575,TD!$B$32:$F$36,3,0)," ")</f>
        <v>4599</v>
      </c>
      <c r="R575" s="160">
        <f>IFERROR(VLOOKUP(C575,TD!$B$32:$F$36,4,0)," ")</f>
        <v>20240207</v>
      </c>
      <c r="S575" s="51" t="s">
        <v>185</v>
      </c>
      <c r="T575" s="160" t="str">
        <f>IFERROR(VLOOKUP(S575,TD!$J$33:$K$43,2,0)," ")</f>
        <v>Infraestructura física, mantenimiento y dotación (Sedes construidas, mantenidas reforzadas)</v>
      </c>
      <c r="U575" s="161" t="str">
        <f>CONCATENATE(S575,"-",T575)</f>
        <v>08-Infraestructura física, mantenimiento y dotación (Sedes construidas, mantenidas reforzadas)</v>
      </c>
      <c r="V575" s="51" t="s">
        <v>238</v>
      </c>
      <c r="W575" s="160" t="str">
        <f>IFERROR(VLOOKUP(V575,TD!$N$33:$O$45,2,0)," ")</f>
        <v>Sedes mantenidas</v>
      </c>
      <c r="X575" s="161" t="str">
        <f>CONCATENATE(V575,"_",W575)</f>
        <v>016_Sedes mantenidas</v>
      </c>
      <c r="Y575" s="161" t="str">
        <f>CONCATENATE(U575," ",X575)</f>
        <v>08-Infraestructura física, mantenimiento y dotación (Sedes construidas, mantenidas reforzadas) 016_Sedes mantenidas</v>
      </c>
      <c r="Z575" s="160" t="str">
        <f>CONCATENATE(P575,Q575,R575,S575,V575)</f>
        <v>O23011745992024020708016</v>
      </c>
      <c r="AA575" s="160" t="str">
        <f>IFERROR(VLOOKUP(Y575,TD!$K$46:$L$64,2,0)," ")</f>
        <v>PM/0131/0108/45990160207</v>
      </c>
      <c r="AB575" s="53" t="s">
        <v>138</v>
      </c>
      <c r="AC575" s="162" t="s">
        <v>204</v>
      </c>
    </row>
    <row r="576" spans="2:29" s="28" customFormat="1" ht="99" customHeight="1" x14ac:dyDescent="0.35">
      <c r="B576" s="77">
        <v>20250595</v>
      </c>
      <c r="C576" s="50" t="s">
        <v>208</v>
      </c>
      <c r="D576" s="158" t="s">
        <v>166</v>
      </c>
      <c r="E576" s="51" t="s">
        <v>592</v>
      </c>
      <c r="F576" s="158" t="s">
        <v>613</v>
      </c>
      <c r="G576" s="158" t="s">
        <v>156</v>
      </c>
      <c r="H576" s="97" t="s">
        <v>648</v>
      </c>
      <c r="I576" s="159">
        <v>2</v>
      </c>
      <c r="J576" s="159">
        <v>9</v>
      </c>
      <c r="K576" s="52">
        <v>0</v>
      </c>
      <c r="L576" s="153">
        <v>29558952</v>
      </c>
      <c r="M576" s="158" t="s">
        <v>473</v>
      </c>
      <c r="N576" s="53" t="s">
        <v>113</v>
      </c>
      <c r="O576" s="51" t="s">
        <v>218</v>
      </c>
      <c r="P576" s="160" t="str">
        <f>IFERROR(VLOOKUP(C576,TD!$B$32:$F$36,2,0)," ")</f>
        <v>O230117</v>
      </c>
      <c r="Q576" s="160" t="str">
        <f>IFERROR(VLOOKUP(C576,TD!$B$32:$F$36,3,0)," ")</f>
        <v>4599</v>
      </c>
      <c r="R576" s="160">
        <f>IFERROR(VLOOKUP(C576,TD!$B$32:$F$36,4,0)," ")</f>
        <v>20240207</v>
      </c>
      <c r="S576" s="51" t="s">
        <v>185</v>
      </c>
      <c r="T576" s="160" t="str">
        <f>IFERROR(VLOOKUP(S576,TD!$J$33:$K$43,2,0)," ")</f>
        <v>Infraestructura física, mantenimiento y dotación (Sedes construidas, mantenidas reforzadas)</v>
      </c>
      <c r="U576" s="161" t="str">
        <f>CONCATENATE(S576,"-",T576)</f>
        <v>08-Infraestructura física, mantenimiento y dotación (Sedes construidas, mantenidas reforzadas)</v>
      </c>
      <c r="V576" s="51" t="s">
        <v>238</v>
      </c>
      <c r="W576" s="160" t="str">
        <f>IFERROR(VLOOKUP(V576,TD!$N$33:$O$45,2,0)," ")</f>
        <v>Sedes mantenidas</v>
      </c>
      <c r="X576" s="161" t="str">
        <f>CONCATENATE(V576,"_",W576)</f>
        <v>016_Sedes mantenidas</v>
      </c>
      <c r="Y576" s="161" t="str">
        <f>CONCATENATE(U576," ",X576)</f>
        <v>08-Infraestructura física, mantenimiento y dotación (Sedes construidas, mantenidas reforzadas) 016_Sedes mantenidas</v>
      </c>
      <c r="Z576" s="160" t="str">
        <f>CONCATENATE(P576,Q576,R576,S576,V576)</f>
        <v>O23011745992024020708016</v>
      </c>
      <c r="AA576" s="160" t="str">
        <f>IFERROR(VLOOKUP(Y576,TD!$K$46:$L$64,2,0)," ")</f>
        <v>PM/0131/0108/45990160207</v>
      </c>
      <c r="AB576" s="53" t="s">
        <v>138</v>
      </c>
      <c r="AC576" s="162" t="s">
        <v>204</v>
      </c>
    </row>
    <row r="577" spans="2:29" s="28" customFormat="1" ht="99" customHeight="1" x14ac:dyDescent="0.35">
      <c r="B577" s="77">
        <v>20250596</v>
      </c>
      <c r="C577" s="50" t="s">
        <v>208</v>
      </c>
      <c r="D577" s="158" t="s">
        <v>166</v>
      </c>
      <c r="E577" s="51" t="s">
        <v>592</v>
      </c>
      <c r="F577" s="158" t="s">
        <v>613</v>
      </c>
      <c r="G577" s="158" t="s">
        <v>156</v>
      </c>
      <c r="H577" s="97" t="s">
        <v>648</v>
      </c>
      <c r="I577" s="159">
        <v>2</v>
      </c>
      <c r="J577" s="159">
        <v>9</v>
      </c>
      <c r="K577" s="52">
        <v>0</v>
      </c>
      <c r="L577" s="153">
        <v>29558952</v>
      </c>
      <c r="M577" s="158" t="s">
        <v>473</v>
      </c>
      <c r="N577" s="53" t="s">
        <v>113</v>
      </c>
      <c r="O577" s="51" t="s">
        <v>218</v>
      </c>
      <c r="P577" s="160" t="str">
        <f>IFERROR(VLOOKUP(C577,TD!$B$32:$F$36,2,0)," ")</f>
        <v>O230117</v>
      </c>
      <c r="Q577" s="160" t="str">
        <f>IFERROR(VLOOKUP(C577,TD!$B$32:$F$36,3,0)," ")</f>
        <v>4599</v>
      </c>
      <c r="R577" s="160">
        <f>IFERROR(VLOOKUP(C577,TD!$B$32:$F$36,4,0)," ")</f>
        <v>20240207</v>
      </c>
      <c r="S577" s="51" t="s">
        <v>185</v>
      </c>
      <c r="T577" s="160" t="str">
        <f>IFERROR(VLOOKUP(S577,TD!$J$33:$K$43,2,0)," ")</f>
        <v>Infraestructura física, mantenimiento y dotación (Sedes construidas, mantenidas reforzadas)</v>
      </c>
      <c r="U577" s="161" t="str">
        <f>CONCATENATE(S577,"-",T577)</f>
        <v>08-Infraestructura física, mantenimiento y dotación (Sedes construidas, mantenidas reforzadas)</v>
      </c>
      <c r="V577" s="51" t="s">
        <v>238</v>
      </c>
      <c r="W577" s="160" t="str">
        <f>IFERROR(VLOOKUP(V577,TD!$N$33:$O$45,2,0)," ")</f>
        <v>Sedes mantenidas</v>
      </c>
      <c r="X577" s="161" t="str">
        <f>CONCATENATE(V577,"_",W577)</f>
        <v>016_Sedes mantenidas</v>
      </c>
      <c r="Y577" s="161" t="str">
        <f>CONCATENATE(U577," ",X577)</f>
        <v>08-Infraestructura física, mantenimiento y dotación (Sedes construidas, mantenidas reforzadas) 016_Sedes mantenidas</v>
      </c>
      <c r="Z577" s="160" t="str">
        <f>CONCATENATE(P577,Q577,R577,S577,V577)</f>
        <v>O23011745992024020708016</v>
      </c>
      <c r="AA577" s="160" t="str">
        <f>IFERROR(VLOOKUP(Y577,TD!$K$46:$L$64,2,0)," ")</f>
        <v>PM/0131/0108/45990160207</v>
      </c>
      <c r="AB577" s="53" t="s">
        <v>138</v>
      </c>
      <c r="AC577" s="162" t="s">
        <v>204</v>
      </c>
    </row>
    <row r="578" spans="2:29" s="28" customFormat="1" ht="99" customHeight="1" x14ac:dyDescent="0.35">
      <c r="B578" s="77">
        <v>20250597</v>
      </c>
      <c r="C578" s="50" t="s">
        <v>208</v>
      </c>
      <c r="D578" s="158" t="s">
        <v>166</v>
      </c>
      <c r="E578" s="51" t="s">
        <v>592</v>
      </c>
      <c r="F578" s="158" t="s">
        <v>613</v>
      </c>
      <c r="G578" s="158" t="s">
        <v>156</v>
      </c>
      <c r="H578" s="97" t="s">
        <v>648</v>
      </c>
      <c r="I578" s="159">
        <v>2</v>
      </c>
      <c r="J578" s="159">
        <v>9</v>
      </c>
      <c r="K578" s="52">
        <v>0</v>
      </c>
      <c r="L578" s="153">
        <v>29558952</v>
      </c>
      <c r="M578" s="158" t="s">
        <v>473</v>
      </c>
      <c r="N578" s="53" t="s">
        <v>113</v>
      </c>
      <c r="O578" s="51" t="s">
        <v>218</v>
      </c>
      <c r="P578" s="160" t="str">
        <f>IFERROR(VLOOKUP(C578,TD!$B$32:$F$36,2,0)," ")</f>
        <v>O230117</v>
      </c>
      <c r="Q578" s="160" t="str">
        <f>IFERROR(VLOOKUP(C578,TD!$B$32:$F$36,3,0)," ")</f>
        <v>4599</v>
      </c>
      <c r="R578" s="160">
        <f>IFERROR(VLOOKUP(C578,TD!$B$32:$F$36,4,0)," ")</f>
        <v>20240207</v>
      </c>
      <c r="S578" s="51" t="s">
        <v>185</v>
      </c>
      <c r="T578" s="160" t="str">
        <f>IFERROR(VLOOKUP(S578,TD!$J$33:$K$43,2,0)," ")</f>
        <v>Infraestructura física, mantenimiento y dotación (Sedes construidas, mantenidas reforzadas)</v>
      </c>
      <c r="U578" s="161" t="str">
        <f>CONCATENATE(S578,"-",T578)</f>
        <v>08-Infraestructura física, mantenimiento y dotación (Sedes construidas, mantenidas reforzadas)</v>
      </c>
      <c r="V578" s="51" t="s">
        <v>238</v>
      </c>
      <c r="W578" s="160" t="str">
        <f>IFERROR(VLOOKUP(V578,TD!$N$33:$O$45,2,0)," ")</f>
        <v>Sedes mantenidas</v>
      </c>
      <c r="X578" s="161" t="str">
        <f>CONCATENATE(V578,"_",W578)</f>
        <v>016_Sedes mantenidas</v>
      </c>
      <c r="Y578" s="161" t="str">
        <f>CONCATENATE(U578," ",X578)</f>
        <v>08-Infraestructura física, mantenimiento y dotación (Sedes construidas, mantenidas reforzadas) 016_Sedes mantenidas</v>
      </c>
      <c r="Z578" s="160" t="str">
        <f>CONCATENATE(P578,Q578,R578,S578,V578)</f>
        <v>O23011745992024020708016</v>
      </c>
      <c r="AA578" s="160" t="str">
        <f>IFERROR(VLOOKUP(Y578,TD!$K$46:$L$64,2,0)," ")</f>
        <v>PM/0131/0108/45990160207</v>
      </c>
      <c r="AB578" s="53" t="s">
        <v>138</v>
      </c>
      <c r="AC578" s="162" t="s">
        <v>204</v>
      </c>
    </row>
    <row r="579" spans="2:29" s="28" customFormat="1" ht="99" customHeight="1" x14ac:dyDescent="0.35">
      <c r="B579" s="77">
        <v>20250598</v>
      </c>
      <c r="C579" s="50" t="s">
        <v>208</v>
      </c>
      <c r="D579" s="158" t="s">
        <v>166</v>
      </c>
      <c r="E579" s="51" t="s">
        <v>592</v>
      </c>
      <c r="F579" s="158" t="s">
        <v>613</v>
      </c>
      <c r="G579" s="158" t="s">
        <v>156</v>
      </c>
      <c r="H579" s="97" t="s">
        <v>648</v>
      </c>
      <c r="I579" s="159">
        <v>2</v>
      </c>
      <c r="J579" s="159">
        <v>9</v>
      </c>
      <c r="K579" s="52">
        <v>0</v>
      </c>
      <c r="L579" s="153">
        <v>29558952</v>
      </c>
      <c r="M579" s="158" t="s">
        <v>473</v>
      </c>
      <c r="N579" s="53" t="s">
        <v>113</v>
      </c>
      <c r="O579" s="51" t="s">
        <v>218</v>
      </c>
      <c r="P579" s="160" t="str">
        <f>IFERROR(VLOOKUP(C579,TD!$B$32:$F$36,2,0)," ")</f>
        <v>O230117</v>
      </c>
      <c r="Q579" s="160" t="str">
        <f>IFERROR(VLOOKUP(C579,TD!$B$32:$F$36,3,0)," ")</f>
        <v>4599</v>
      </c>
      <c r="R579" s="160">
        <f>IFERROR(VLOOKUP(C579,TD!$B$32:$F$36,4,0)," ")</f>
        <v>20240207</v>
      </c>
      <c r="S579" s="51" t="s">
        <v>185</v>
      </c>
      <c r="T579" s="160" t="str">
        <f>IFERROR(VLOOKUP(S579,TD!$J$33:$K$43,2,0)," ")</f>
        <v>Infraestructura física, mantenimiento y dotación (Sedes construidas, mantenidas reforzadas)</v>
      </c>
      <c r="U579" s="161" t="str">
        <f>CONCATENATE(S579,"-",T579)</f>
        <v>08-Infraestructura física, mantenimiento y dotación (Sedes construidas, mantenidas reforzadas)</v>
      </c>
      <c r="V579" s="51" t="s">
        <v>238</v>
      </c>
      <c r="W579" s="160" t="str">
        <f>IFERROR(VLOOKUP(V579,TD!$N$33:$O$45,2,0)," ")</f>
        <v>Sedes mantenidas</v>
      </c>
      <c r="X579" s="161" t="str">
        <f>CONCATENATE(V579,"_",W579)</f>
        <v>016_Sedes mantenidas</v>
      </c>
      <c r="Y579" s="161" t="str">
        <f>CONCATENATE(U579," ",X579)</f>
        <v>08-Infraestructura física, mantenimiento y dotación (Sedes construidas, mantenidas reforzadas) 016_Sedes mantenidas</v>
      </c>
      <c r="Z579" s="160" t="str">
        <f>CONCATENATE(P579,Q579,R579,S579,V579)</f>
        <v>O23011745992024020708016</v>
      </c>
      <c r="AA579" s="160" t="str">
        <f>IFERROR(VLOOKUP(Y579,TD!$K$46:$L$64,2,0)," ")</f>
        <v>PM/0131/0108/45990160207</v>
      </c>
      <c r="AB579" s="53" t="s">
        <v>138</v>
      </c>
      <c r="AC579" s="162" t="s">
        <v>204</v>
      </c>
    </row>
    <row r="580" spans="2:29" s="28" customFormat="1" ht="99" customHeight="1" x14ac:dyDescent="0.35">
      <c r="B580" s="77">
        <v>20250599</v>
      </c>
      <c r="C580" s="50" t="s">
        <v>208</v>
      </c>
      <c r="D580" s="158" t="s">
        <v>166</v>
      </c>
      <c r="E580" s="51" t="s">
        <v>592</v>
      </c>
      <c r="F580" s="158" t="s">
        <v>613</v>
      </c>
      <c r="G580" s="158" t="s">
        <v>156</v>
      </c>
      <c r="H580" s="97" t="s">
        <v>648</v>
      </c>
      <c r="I580" s="159">
        <v>2</v>
      </c>
      <c r="J580" s="159">
        <v>9</v>
      </c>
      <c r="K580" s="52">
        <v>0</v>
      </c>
      <c r="L580" s="153">
        <v>29558952</v>
      </c>
      <c r="M580" s="158" t="s">
        <v>473</v>
      </c>
      <c r="N580" s="53" t="s">
        <v>113</v>
      </c>
      <c r="O580" s="51" t="s">
        <v>218</v>
      </c>
      <c r="P580" s="160" t="str">
        <f>IFERROR(VLOOKUP(C580,TD!$B$32:$F$36,2,0)," ")</f>
        <v>O230117</v>
      </c>
      <c r="Q580" s="160" t="str">
        <f>IFERROR(VLOOKUP(C580,TD!$B$32:$F$36,3,0)," ")</f>
        <v>4599</v>
      </c>
      <c r="R580" s="160">
        <f>IFERROR(VLOOKUP(C580,TD!$B$32:$F$36,4,0)," ")</f>
        <v>20240207</v>
      </c>
      <c r="S580" s="51" t="s">
        <v>185</v>
      </c>
      <c r="T580" s="160" t="str">
        <f>IFERROR(VLOOKUP(S580,TD!$J$33:$K$43,2,0)," ")</f>
        <v>Infraestructura física, mantenimiento y dotación (Sedes construidas, mantenidas reforzadas)</v>
      </c>
      <c r="U580" s="161" t="str">
        <f>CONCATENATE(S580,"-",T580)</f>
        <v>08-Infraestructura física, mantenimiento y dotación (Sedes construidas, mantenidas reforzadas)</v>
      </c>
      <c r="V580" s="51" t="s">
        <v>238</v>
      </c>
      <c r="W580" s="160" t="str">
        <f>IFERROR(VLOOKUP(V580,TD!$N$33:$O$45,2,0)," ")</f>
        <v>Sedes mantenidas</v>
      </c>
      <c r="X580" s="161" t="str">
        <f>CONCATENATE(V580,"_",W580)</f>
        <v>016_Sedes mantenidas</v>
      </c>
      <c r="Y580" s="161" t="str">
        <f>CONCATENATE(U580," ",X580)</f>
        <v>08-Infraestructura física, mantenimiento y dotación (Sedes construidas, mantenidas reforzadas) 016_Sedes mantenidas</v>
      </c>
      <c r="Z580" s="160" t="str">
        <f>CONCATENATE(P580,Q580,R580,S580,V580)</f>
        <v>O23011745992024020708016</v>
      </c>
      <c r="AA580" s="160" t="str">
        <f>IFERROR(VLOOKUP(Y580,TD!$K$46:$L$64,2,0)," ")</f>
        <v>PM/0131/0108/45990160207</v>
      </c>
      <c r="AB580" s="53" t="s">
        <v>138</v>
      </c>
      <c r="AC580" s="162" t="s">
        <v>204</v>
      </c>
    </row>
    <row r="581" spans="2:29" s="28" customFormat="1" ht="99" customHeight="1" x14ac:dyDescent="0.35">
      <c r="B581" s="77">
        <v>20250600</v>
      </c>
      <c r="C581" s="50" t="s">
        <v>208</v>
      </c>
      <c r="D581" s="158" t="s">
        <v>166</v>
      </c>
      <c r="E581" s="51" t="s">
        <v>592</v>
      </c>
      <c r="F581" s="158" t="s">
        <v>602</v>
      </c>
      <c r="G581" s="158" t="s">
        <v>156</v>
      </c>
      <c r="H581" s="97" t="s">
        <v>648</v>
      </c>
      <c r="I581" s="159">
        <v>2</v>
      </c>
      <c r="J581" s="159">
        <v>9</v>
      </c>
      <c r="K581" s="52">
        <v>0</v>
      </c>
      <c r="L581" s="153">
        <v>25336251</v>
      </c>
      <c r="M581" s="158" t="s">
        <v>473</v>
      </c>
      <c r="N581" s="53" t="s">
        <v>113</v>
      </c>
      <c r="O581" s="51" t="s">
        <v>219</v>
      </c>
      <c r="P581" s="160" t="str">
        <f>IFERROR(VLOOKUP(C581,TD!$B$32:$F$36,2,0)," ")</f>
        <v>O230117</v>
      </c>
      <c r="Q581" s="160" t="str">
        <f>IFERROR(VLOOKUP(C581,TD!$B$32:$F$36,3,0)," ")</f>
        <v>4599</v>
      </c>
      <c r="R581" s="160">
        <f>IFERROR(VLOOKUP(C581,TD!$B$32:$F$36,4,0)," ")</f>
        <v>20240207</v>
      </c>
      <c r="S581" s="51" t="s">
        <v>185</v>
      </c>
      <c r="T581" s="160" t="str">
        <f>IFERROR(VLOOKUP(S581,TD!$J$33:$K$43,2,0)," ")</f>
        <v>Infraestructura física, mantenimiento y dotación (Sedes construidas, mantenidas reforzadas)</v>
      </c>
      <c r="U581" s="161" t="str">
        <f>CONCATENATE(S581,"-",T581)</f>
        <v>08-Infraestructura física, mantenimiento y dotación (Sedes construidas, mantenidas reforzadas)</v>
      </c>
      <c r="V581" s="51" t="s">
        <v>238</v>
      </c>
      <c r="W581" s="160" t="str">
        <f>IFERROR(VLOOKUP(V581,TD!$N$33:$O$45,2,0)," ")</f>
        <v>Sedes mantenidas</v>
      </c>
      <c r="X581" s="161" t="str">
        <f>CONCATENATE(V581,"_",W581)</f>
        <v>016_Sedes mantenidas</v>
      </c>
      <c r="Y581" s="161" t="str">
        <f>CONCATENATE(U581," ",X581)</f>
        <v>08-Infraestructura física, mantenimiento y dotación (Sedes construidas, mantenidas reforzadas) 016_Sedes mantenidas</v>
      </c>
      <c r="Z581" s="160" t="str">
        <f>CONCATENATE(P581,Q581,R581,S581,V581)</f>
        <v>O23011745992024020708016</v>
      </c>
      <c r="AA581" s="160" t="str">
        <f>IFERROR(VLOOKUP(Y581,TD!$K$46:$L$64,2,0)," ")</f>
        <v>PM/0131/0108/45990160207</v>
      </c>
      <c r="AB581" s="53" t="s">
        <v>138</v>
      </c>
      <c r="AC581" s="162" t="s">
        <v>204</v>
      </c>
    </row>
    <row r="582" spans="2:29" s="28" customFormat="1" ht="99" customHeight="1" x14ac:dyDescent="0.35">
      <c r="B582" s="152">
        <v>20250601</v>
      </c>
      <c r="C582" s="164" t="s">
        <v>208</v>
      </c>
      <c r="D582" s="165" t="s">
        <v>166</v>
      </c>
      <c r="E582" s="166" t="s">
        <v>592</v>
      </c>
      <c r="F582" s="165" t="s">
        <v>771</v>
      </c>
      <c r="G582" s="165" t="s">
        <v>155</v>
      </c>
      <c r="H582" s="167" t="s">
        <v>648</v>
      </c>
      <c r="I582" s="163">
        <v>2</v>
      </c>
      <c r="J582" s="163">
        <v>9</v>
      </c>
      <c r="K582" s="151">
        <v>0</v>
      </c>
      <c r="L582" s="154">
        <v>91156860</v>
      </c>
      <c r="M582" s="165" t="s">
        <v>473</v>
      </c>
      <c r="N582" s="150" t="s">
        <v>113</v>
      </c>
      <c r="O582" s="166" t="s">
        <v>219</v>
      </c>
      <c r="P582" s="168" t="str">
        <f>IFERROR(VLOOKUP(C582,TD!$B$32:$F$36,2,0)," ")</f>
        <v>O230117</v>
      </c>
      <c r="Q582" s="168" t="str">
        <f>IFERROR(VLOOKUP(C582,TD!$B$32:$F$36,3,0)," ")</f>
        <v>4599</v>
      </c>
      <c r="R582" s="168">
        <f>IFERROR(VLOOKUP(C582,TD!$B$32:$F$36,4,0)," ")</f>
        <v>20240207</v>
      </c>
      <c r="S582" s="166" t="s">
        <v>185</v>
      </c>
      <c r="T582" s="168" t="str">
        <f>IFERROR(VLOOKUP(S582,TD!$J$33:$K$43,2,0)," ")</f>
        <v>Infraestructura física, mantenimiento y dotación (Sedes construidas, mantenidas reforzadas)</v>
      </c>
      <c r="U582" s="161" t="str">
        <f>CONCATENATE(S582,"-",T582)</f>
        <v>08-Infraestructura física, mantenimiento y dotación (Sedes construidas, mantenidas reforzadas)</v>
      </c>
      <c r="V582" s="166" t="s">
        <v>238</v>
      </c>
      <c r="W582" s="168" t="str">
        <f>IFERROR(VLOOKUP(V582,TD!$N$33:$O$45,2,0)," ")</f>
        <v>Sedes mantenidas</v>
      </c>
      <c r="X582" s="161" t="str">
        <f>CONCATENATE(V582,"_",W582)</f>
        <v>016_Sedes mantenidas</v>
      </c>
      <c r="Y582" s="161" t="str">
        <f>CONCATENATE(U582," ",X582)</f>
        <v>08-Infraestructura física, mantenimiento y dotación (Sedes construidas, mantenidas reforzadas) 016_Sedes mantenidas</v>
      </c>
      <c r="Z582" s="168" t="str">
        <f>CONCATENATE(P582,Q582,R582,S582,V582)</f>
        <v>O23011745992024020708016</v>
      </c>
      <c r="AA582" s="168" t="str">
        <f>IFERROR(VLOOKUP(Y582,TD!$K$46:$L$64,2,0)," ")</f>
        <v>PM/0131/0108/45990160207</v>
      </c>
      <c r="AB582" s="150" t="s">
        <v>138</v>
      </c>
      <c r="AC582" s="169" t="s">
        <v>204</v>
      </c>
    </row>
    <row r="583" spans="2:29" s="28" customFormat="1" ht="99" customHeight="1" x14ac:dyDescent="0.35">
      <c r="B583" s="152">
        <v>20250602</v>
      </c>
      <c r="C583" s="164" t="s">
        <v>208</v>
      </c>
      <c r="D583" s="165" t="s">
        <v>166</v>
      </c>
      <c r="E583" s="166" t="s">
        <v>592</v>
      </c>
      <c r="F583" s="165" t="s">
        <v>928</v>
      </c>
      <c r="G583" s="165" t="s">
        <v>155</v>
      </c>
      <c r="H583" s="167" t="s">
        <v>648</v>
      </c>
      <c r="I583" s="163">
        <v>2</v>
      </c>
      <c r="J583" s="163">
        <v>9</v>
      </c>
      <c r="K583" s="151">
        <v>0</v>
      </c>
      <c r="L583" s="154">
        <v>41288696</v>
      </c>
      <c r="M583" s="165" t="s">
        <v>473</v>
      </c>
      <c r="N583" s="150" t="s">
        <v>113</v>
      </c>
      <c r="O583" s="166" t="s">
        <v>219</v>
      </c>
      <c r="P583" s="168" t="str">
        <f>IFERROR(VLOOKUP(C583,TD!$B$32:$F$36,2,0)," ")</f>
        <v>O230117</v>
      </c>
      <c r="Q583" s="168" t="str">
        <f>IFERROR(VLOOKUP(C583,TD!$B$32:$F$36,3,0)," ")</f>
        <v>4599</v>
      </c>
      <c r="R583" s="168">
        <f>IFERROR(VLOOKUP(C583,TD!$B$32:$F$36,4,0)," ")</f>
        <v>20240207</v>
      </c>
      <c r="S583" s="166" t="s">
        <v>185</v>
      </c>
      <c r="T583" s="168" t="str">
        <f>IFERROR(VLOOKUP(S583,TD!$J$33:$K$43,2,0)," ")</f>
        <v>Infraestructura física, mantenimiento y dotación (Sedes construidas, mantenidas reforzadas)</v>
      </c>
      <c r="U583" s="161" t="str">
        <f>CONCATENATE(S583,"-",T583)</f>
        <v>08-Infraestructura física, mantenimiento y dotación (Sedes construidas, mantenidas reforzadas)</v>
      </c>
      <c r="V583" s="166" t="s">
        <v>238</v>
      </c>
      <c r="W583" s="168" t="str">
        <f>IFERROR(VLOOKUP(V583,TD!$N$33:$O$45,2,0)," ")</f>
        <v>Sedes mantenidas</v>
      </c>
      <c r="X583" s="161" t="str">
        <f>CONCATENATE(V583,"_",W583)</f>
        <v>016_Sedes mantenidas</v>
      </c>
      <c r="Y583" s="161" t="str">
        <f>CONCATENATE(U583," ",X583)</f>
        <v>08-Infraestructura física, mantenimiento y dotación (Sedes construidas, mantenidas reforzadas) 016_Sedes mantenidas</v>
      </c>
      <c r="Z583" s="168" t="str">
        <f>CONCATENATE(P583,Q583,R583,S583,V583)</f>
        <v>O23011745992024020708016</v>
      </c>
      <c r="AA583" s="168" t="str">
        <f>IFERROR(VLOOKUP(Y583,TD!$K$46:$L$64,2,0)," ")</f>
        <v>PM/0131/0108/45990160207</v>
      </c>
      <c r="AB583" s="150" t="s">
        <v>138</v>
      </c>
      <c r="AC583" s="169" t="s">
        <v>204</v>
      </c>
    </row>
    <row r="584" spans="2:29" s="28" customFormat="1" ht="99" customHeight="1" x14ac:dyDescent="0.35">
      <c r="B584" s="152">
        <v>20250603</v>
      </c>
      <c r="C584" s="164" t="s">
        <v>346</v>
      </c>
      <c r="D584" s="165" t="s">
        <v>166</v>
      </c>
      <c r="E584" s="166" t="s">
        <v>592</v>
      </c>
      <c r="F584" s="165" t="s">
        <v>770</v>
      </c>
      <c r="G584" s="165" t="s">
        <v>142</v>
      </c>
      <c r="H584" s="167">
        <v>84131515</v>
      </c>
      <c r="I584" s="163">
        <v>2</v>
      </c>
      <c r="J584" s="163">
        <v>12</v>
      </c>
      <c r="K584" s="151">
        <v>0</v>
      </c>
      <c r="L584" s="154">
        <v>500000000</v>
      </c>
      <c r="M584" s="165" t="s">
        <v>172</v>
      </c>
      <c r="N584" s="150" t="s">
        <v>90</v>
      </c>
      <c r="O584" s="166" t="s">
        <v>347</v>
      </c>
      <c r="P584" s="168" t="str">
        <f>IFERROR(VLOOKUP(C584,TD!$B$32:$F$36,2,0)," ")</f>
        <v>NA</v>
      </c>
      <c r="Q584" s="168" t="str">
        <f>IFERROR(VLOOKUP(C584,TD!$B$32:$F$36,3,0)," ")</f>
        <v>NA</v>
      </c>
      <c r="R584" s="168" t="str">
        <f>IFERROR(VLOOKUP(C584,TD!$B$32:$F$36,4,0)," ")</f>
        <v>NA</v>
      </c>
      <c r="S584" s="166" t="s">
        <v>406</v>
      </c>
      <c r="T584" s="168" t="str">
        <f>IFERROR(VLOOKUP(S584,TD!$J$33:$K$43,2,0)," ")</f>
        <v>N/A</v>
      </c>
      <c r="U584" s="161" t="str">
        <f>CONCATENATE(S584,"-",T584)</f>
        <v>N/A-N/A</v>
      </c>
      <c r="V584" s="166" t="s">
        <v>406</v>
      </c>
      <c r="W584" s="168" t="str">
        <f>IFERROR(VLOOKUP(V584,TD!$N$33:$O$45,2,0)," ")</f>
        <v>N/A</v>
      </c>
      <c r="X584" s="161" t="str">
        <f>CONCATENATE(V584,"_",W584)</f>
        <v>N/A_N/A</v>
      </c>
      <c r="Y584" s="161" t="str">
        <f>CONCATENATE(U584," ",X584)</f>
        <v>N/A-N/A N/A_N/A</v>
      </c>
      <c r="Z584" s="168" t="str">
        <f>CONCATENATE(P584,Q584,R584,S584,V584)</f>
        <v>NANANAN/AN/A</v>
      </c>
      <c r="AA584" s="168" t="str">
        <f>IFERROR(VLOOKUP(Y584,TD!$K$46:$L$64,2,0)," ")</f>
        <v>N/A</v>
      </c>
      <c r="AB584" s="150" t="s">
        <v>348</v>
      </c>
      <c r="AC584" s="169" t="s">
        <v>204</v>
      </c>
    </row>
    <row r="585" spans="2:29" s="28" customFormat="1" ht="99" customHeight="1" x14ac:dyDescent="0.35">
      <c r="B585" s="77">
        <v>20250604</v>
      </c>
      <c r="C585" s="50" t="s">
        <v>209</v>
      </c>
      <c r="D585" s="158" t="s">
        <v>168</v>
      </c>
      <c r="E585" s="51" t="s">
        <v>640</v>
      </c>
      <c r="F585" s="158" t="s">
        <v>889</v>
      </c>
      <c r="G585" s="158" t="s">
        <v>96</v>
      </c>
      <c r="H585" s="97">
        <v>46161600</v>
      </c>
      <c r="I585" s="159">
        <v>2</v>
      </c>
      <c r="J585" s="159">
        <v>3</v>
      </c>
      <c r="K585" s="52">
        <v>0</v>
      </c>
      <c r="L585" s="153">
        <v>25366600</v>
      </c>
      <c r="M585" s="158" t="s">
        <v>473</v>
      </c>
      <c r="N585" s="53" t="s">
        <v>113</v>
      </c>
      <c r="O585" s="51" t="s">
        <v>224</v>
      </c>
      <c r="P585" s="160" t="str">
        <f>IFERROR(VLOOKUP(C585,TD!$B$32:$F$36,2,0)," ")</f>
        <v>O230117</v>
      </c>
      <c r="Q585" s="160" t="str">
        <f>IFERROR(VLOOKUP(C585,TD!$B$32:$F$36,3,0)," ")</f>
        <v>4503</v>
      </c>
      <c r="R585" s="160">
        <f>IFERROR(VLOOKUP(C585,TD!$B$32:$F$36,4,0)," ")</f>
        <v>20240255</v>
      </c>
      <c r="S585" s="51" t="s">
        <v>187</v>
      </c>
      <c r="T585" s="160" t="str">
        <f>IFERROR(VLOOKUP(S585,TD!$J$33:$K$43,2,0)," ")</f>
        <v>Servicio de mantenimiento, dotación (HEA´s y equipo menor) y adquisición de vehiculos   especializados para la atención de emergencias.</v>
      </c>
      <c r="U585" s="161" t="str">
        <f>CONCATENATE(S585,"-",T585)</f>
        <v>09-Servicio de mantenimiento, dotación (HEA´s y equipo menor) y adquisición de vehiculos   especializados para la atención de emergencias.</v>
      </c>
      <c r="V585" s="51" t="s">
        <v>232</v>
      </c>
      <c r="W585" s="160" t="str">
        <f>IFERROR(VLOOKUP(V585,TD!$N$33:$O$45,2,0)," ")</f>
        <v>Servicio de atención a emergencias y desastres</v>
      </c>
      <c r="X585" s="161" t="str">
        <f>CONCATENATE(V585,"_",W585)</f>
        <v>004_Servicio de atención a emergencias y desastres</v>
      </c>
      <c r="Y585" s="161" t="str">
        <f>CONCATENATE(U585," ",X585)</f>
        <v>09-Servicio de mantenimiento, dotación (HEA´s y equipo menor) y adquisición de vehiculos   especializados para la atención de emergencias. 004_Servicio de atención a emergencias y desastres</v>
      </c>
      <c r="Z585" s="160" t="str">
        <f>CONCATENATE(P585,Q585,R585,S585,V585)</f>
        <v>O23011745032024025509004</v>
      </c>
      <c r="AA585" s="160" t="str">
        <f>IFERROR(VLOOKUP(Y585,TD!$K$46:$L$64,2,0)," ")</f>
        <v>PM/0131/0109/45030040255</v>
      </c>
      <c r="AB585" s="53" t="s">
        <v>87</v>
      </c>
      <c r="AC585" s="162" t="s">
        <v>205</v>
      </c>
    </row>
    <row r="586" spans="2:29" s="28" customFormat="1" ht="99" customHeight="1" x14ac:dyDescent="0.35">
      <c r="B586" s="186">
        <v>20250605</v>
      </c>
      <c r="C586" s="187" t="s">
        <v>209</v>
      </c>
      <c r="D586" s="188" t="s">
        <v>168</v>
      </c>
      <c r="E586" s="189" t="s">
        <v>640</v>
      </c>
      <c r="F586" s="188" t="s">
        <v>959</v>
      </c>
      <c r="G586" s="188" t="s">
        <v>156</v>
      </c>
      <c r="H586" s="190">
        <v>80111600</v>
      </c>
      <c r="I586" s="191">
        <v>3</v>
      </c>
      <c r="J586" s="191">
        <v>8</v>
      </c>
      <c r="K586" s="192">
        <v>0</v>
      </c>
      <c r="L586" s="193">
        <v>26240000</v>
      </c>
      <c r="M586" s="188" t="s">
        <v>473</v>
      </c>
      <c r="N586" s="194" t="s">
        <v>113</v>
      </c>
      <c r="O586" s="189" t="s">
        <v>224</v>
      </c>
      <c r="P586" s="195" t="str">
        <f>IFERROR(VLOOKUP(C586,TD!$B$32:$F$36,2,0)," ")</f>
        <v>O230117</v>
      </c>
      <c r="Q586" s="195" t="str">
        <f>IFERROR(VLOOKUP(C586,TD!$B$32:$F$36,3,0)," ")</f>
        <v>4503</v>
      </c>
      <c r="R586" s="195">
        <f>IFERROR(VLOOKUP(C586,TD!$B$32:$F$36,4,0)," ")</f>
        <v>20240255</v>
      </c>
      <c r="S586" s="189" t="s">
        <v>191</v>
      </c>
      <c r="T586" s="195" t="str">
        <f>IFERROR(VLOOKUP(S586,TD!$J$33:$K$43,2,0)," ")</f>
        <v>Servicio de apoyo   logístico  en eventos operativos y/o emergencias.</v>
      </c>
      <c r="U586" s="161" t="str">
        <f>CONCATENATE(S586,"-",T586)</f>
        <v>12-Servicio de apoyo   logístico  en eventos operativos y/o emergencias.</v>
      </c>
      <c r="V586" s="189" t="s">
        <v>232</v>
      </c>
      <c r="W586" s="195" t="str">
        <f>IFERROR(VLOOKUP(V586,TD!$N$33:$O$45,2,0)," ")</f>
        <v>Servicio de atención a emergencias y desastres</v>
      </c>
      <c r="X586" s="161" t="str">
        <f>CONCATENATE(V586,"_",W586)</f>
        <v>004_Servicio de atención a emergencias y desastres</v>
      </c>
      <c r="Y586" s="161" t="str">
        <f>CONCATENATE(U586," ",X586)</f>
        <v>12-Servicio de apoyo   logístico  en eventos operativos y/o emergencias. 004_Servicio de atención a emergencias y desastres</v>
      </c>
      <c r="Z586" s="195" t="str">
        <f>CONCATENATE(P586,Q586,R586,S586,V586)</f>
        <v>O23011745032024025512004</v>
      </c>
      <c r="AA586" s="195" t="str">
        <f>IFERROR(VLOOKUP(Y586,TD!$K$46:$L$64,2,0)," ")</f>
        <v>PM/0131/0112/45030040255</v>
      </c>
      <c r="AB586" s="194" t="s">
        <v>138</v>
      </c>
      <c r="AC586" s="196" t="s">
        <v>204</v>
      </c>
    </row>
    <row r="587" spans="2:29" s="28" customFormat="1" ht="99" customHeight="1" x14ac:dyDescent="0.35">
      <c r="B587" s="186">
        <v>20250606</v>
      </c>
      <c r="C587" s="187" t="s">
        <v>209</v>
      </c>
      <c r="D587" s="188" t="s">
        <v>168</v>
      </c>
      <c r="E587" s="189" t="s">
        <v>640</v>
      </c>
      <c r="F587" s="188" t="s">
        <v>959</v>
      </c>
      <c r="G587" s="188" t="s">
        <v>156</v>
      </c>
      <c r="H587" s="190">
        <v>80111600</v>
      </c>
      <c r="I587" s="191">
        <v>3</v>
      </c>
      <c r="J587" s="191">
        <v>8</v>
      </c>
      <c r="K587" s="192">
        <v>0</v>
      </c>
      <c r="L587" s="193">
        <v>26240000</v>
      </c>
      <c r="M587" s="188" t="s">
        <v>473</v>
      </c>
      <c r="N587" s="194" t="s">
        <v>113</v>
      </c>
      <c r="O587" s="189" t="s">
        <v>224</v>
      </c>
      <c r="P587" s="195" t="str">
        <f>IFERROR(VLOOKUP(C587,TD!$B$32:$F$36,2,0)," ")</f>
        <v>O230117</v>
      </c>
      <c r="Q587" s="195" t="str">
        <f>IFERROR(VLOOKUP(C587,TD!$B$32:$F$36,3,0)," ")</f>
        <v>4503</v>
      </c>
      <c r="R587" s="195">
        <f>IFERROR(VLOOKUP(C587,TD!$B$32:$F$36,4,0)," ")</f>
        <v>20240255</v>
      </c>
      <c r="S587" s="189" t="s">
        <v>191</v>
      </c>
      <c r="T587" s="195" t="str">
        <f>IFERROR(VLOOKUP(S587,TD!$J$33:$K$43,2,0)," ")</f>
        <v>Servicio de apoyo   logístico  en eventos operativos y/o emergencias.</v>
      </c>
      <c r="U587" s="161" t="str">
        <f>CONCATENATE(S587,"-",T587)</f>
        <v>12-Servicio de apoyo   logístico  en eventos operativos y/o emergencias.</v>
      </c>
      <c r="V587" s="189" t="s">
        <v>232</v>
      </c>
      <c r="W587" s="195" t="str">
        <f>IFERROR(VLOOKUP(V587,TD!$N$33:$O$45,2,0)," ")</f>
        <v>Servicio de atención a emergencias y desastres</v>
      </c>
      <c r="X587" s="161" t="str">
        <f>CONCATENATE(V587,"_",W587)</f>
        <v>004_Servicio de atención a emergencias y desastres</v>
      </c>
      <c r="Y587" s="161" t="str">
        <f>CONCATENATE(U587," ",X587)</f>
        <v>12-Servicio de apoyo   logístico  en eventos operativos y/o emergencias. 004_Servicio de atención a emergencias y desastres</v>
      </c>
      <c r="Z587" s="195" t="str">
        <f>CONCATENATE(P587,Q587,R587,S587,V587)</f>
        <v>O23011745032024025512004</v>
      </c>
      <c r="AA587" s="195" t="str">
        <f>IFERROR(VLOOKUP(Y587,TD!$K$46:$L$64,2,0)," ")</f>
        <v>PM/0131/0112/45030040255</v>
      </c>
      <c r="AB587" s="194" t="s">
        <v>138</v>
      </c>
      <c r="AC587" s="196" t="s">
        <v>204</v>
      </c>
    </row>
    <row r="588" spans="2:29" s="28" customFormat="1" ht="99" customHeight="1" x14ac:dyDescent="0.35">
      <c r="B588" s="186">
        <v>20250607</v>
      </c>
      <c r="C588" s="187" t="s">
        <v>209</v>
      </c>
      <c r="D588" s="188" t="s">
        <v>168</v>
      </c>
      <c r="E588" s="189" t="s">
        <v>640</v>
      </c>
      <c r="F588" s="188" t="s">
        <v>959</v>
      </c>
      <c r="G588" s="188" t="s">
        <v>156</v>
      </c>
      <c r="H588" s="190">
        <v>80111600</v>
      </c>
      <c r="I588" s="191">
        <v>3</v>
      </c>
      <c r="J588" s="191">
        <v>8</v>
      </c>
      <c r="K588" s="192">
        <v>0</v>
      </c>
      <c r="L588" s="193">
        <v>26240000</v>
      </c>
      <c r="M588" s="188" t="s">
        <v>473</v>
      </c>
      <c r="N588" s="194" t="s">
        <v>113</v>
      </c>
      <c r="O588" s="189" t="s">
        <v>224</v>
      </c>
      <c r="P588" s="195" t="str">
        <f>IFERROR(VLOOKUP(C588,TD!$B$32:$F$36,2,0)," ")</f>
        <v>O230117</v>
      </c>
      <c r="Q588" s="195" t="str">
        <f>IFERROR(VLOOKUP(C588,TD!$B$32:$F$36,3,0)," ")</f>
        <v>4503</v>
      </c>
      <c r="R588" s="195">
        <f>IFERROR(VLOOKUP(C588,TD!$B$32:$F$36,4,0)," ")</f>
        <v>20240255</v>
      </c>
      <c r="S588" s="189" t="s">
        <v>191</v>
      </c>
      <c r="T588" s="195" t="str">
        <f>IFERROR(VLOOKUP(S588,TD!$J$33:$K$43,2,0)," ")</f>
        <v>Servicio de apoyo   logístico  en eventos operativos y/o emergencias.</v>
      </c>
      <c r="U588" s="161" t="str">
        <f>CONCATENATE(S588,"-",T588)</f>
        <v>12-Servicio de apoyo   logístico  en eventos operativos y/o emergencias.</v>
      </c>
      <c r="V588" s="189" t="s">
        <v>232</v>
      </c>
      <c r="W588" s="195" t="str">
        <f>IFERROR(VLOOKUP(V588,TD!$N$33:$O$45,2,0)," ")</f>
        <v>Servicio de atención a emergencias y desastres</v>
      </c>
      <c r="X588" s="161" t="str">
        <f>CONCATENATE(V588,"_",W588)</f>
        <v>004_Servicio de atención a emergencias y desastres</v>
      </c>
      <c r="Y588" s="161" t="str">
        <f>CONCATENATE(U588," ",X588)</f>
        <v>12-Servicio de apoyo   logístico  en eventos operativos y/o emergencias. 004_Servicio de atención a emergencias y desastres</v>
      </c>
      <c r="Z588" s="195" t="str">
        <f>CONCATENATE(P588,Q588,R588,S588,V588)</f>
        <v>O23011745032024025512004</v>
      </c>
      <c r="AA588" s="195" t="str">
        <f>IFERROR(VLOOKUP(Y588,TD!$K$46:$L$64,2,0)," ")</f>
        <v>PM/0131/0112/45030040255</v>
      </c>
      <c r="AB588" s="194" t="s">
        <v>138</v>
      </c>
      <c r="AC588" s="196" t="s">
        <v>204</v>
      </c>
    </row>
    <row r="589" spans="2:29" s="28" customFormat="1" ht="99" customHeight="1" x14ac:dyDescent="0.35">
      <c r="B589" s="186">
        <v>20250608</v>
      </c>
      <c r="C589" s="187" t="s">
        <v>209</v>
      </c>
      <c r="D589" s="188" t="s">
        <v>168</v>
      </c>
      <c r="E589" s="189" t="s">
        <v>640</v>
      </c>
      <c r="F589" s="188" t="s">
        <v>959</v>
      </c>
      <c r="G589" s="188" t="s">
        <v>156</v>
      </c>
      <c r="H589" s="190">
        <v>80111600</v>
      </c>
      <c r="I589" s="191">
        <v>3</v>
      </c>
      <c r="J589" s="191">
        <v>8</v>
      </c>
      <c r="K589" s="192">
        <v>0</v>
      </c>
      <c r="L589" s="193">
        <v>26240000</v>
      </c>
      <c r="M589" s="188" t="s">
        <v>473</v>
      </c>
      <c r="N589" s="194" t="s">
        <v>113</v>
      </c>
      <c r="O589" s="189" t="s">
        <v>224</v>
      </c>
      <c r="P589" s="195" t="str">
        <f>IFERROR(VLOOKUP(C589,TD!$B$32:$F$36,2,0)," ")</f>
        <v>O230117</v>
      </c>
      <c r="Q589" s="195" t="str">
        <f>IFERROR(VLOOKUP(C589,TD!$B$32:$F$36,3,0)," ")</f>
        <v>4503</v>
      </c>
      <c r="R589" s="195">
        <f>IFERROR(VLOOKUP(C589,TD!$B$32:$F$36,4,0)," ")</f>
        <v>20240255</v>
      </c>
      <c r="S589" s="189" t="s">
        <v>191</v>
      </c>
      <c r="T589" s="195" t="str">
        <f>IFERROR(VLOOKUP(S589,TD!$J$33:$K$43,2,0)," ")</f>
        <v>Servicio de apoyo   logístico  en eventos operativos y/o emergencias.</v>
      </c>
      <c r="U589" s="161" t="str">
        <f>CONCATENATE(S589,"-",T589)</f>
        <v>12-Servicio de apoyo   logístico  en eventos operativos y/o emergencias.</v>
      </c>
      <c r="V589" s="189" t="s">
        <v>232</v>
      </c>
      <c r="W589" s="195" t="str">
        <f>IFERROR(VLOOKUP(V589,TD!$N$33:$O$45,2,0)," ")</f>
        <v>Servicio de atención a emergencias y desastres</v>
      </c>
      <c r="X589" s="161" t="str">
        <f>CONCATENATE(V589,"_",W589)</f>
        <v>004_Servicio de atención a emergencias y desastres</v>
      </c>
      <c r="Y589" s="161" t="str">
        <f>CONCATENATE(U589," ",X589)</f>
        <v>12-Servicio de apoyo   logístico  en eventos operativos y/o emergencias. 004_Servicio de atención a emergencias y desastres</v>
      </c>
      <c r="Z589" s="195" t="str">
        <f>CONCATENATE(P589,Q589,R589,S589,V589)</f>
        <v>O23011745032024025512004</v>
      </c>
      <c r="AA589" s="195" t="str">
        <f>IFERROR(VLOOKUP(Y589,TD!$K$46:$L$64,2,0)," ")</f>
        <v>PM/0131/0112/45030040255</v>
      </c>
      <c r="AB589" s="194" t="s">
        <v>138</v>
      </c>
      <c r="AC589" s="196" t="s">
        <v>204</v>
      </c>
    </row>
    <row r="590" spans="2:29" s="28" customFormat="1" ht="99" customHeight="1" x14ac:dyDescent="0.35">
      <c r="B590" s="186">
        <v>20250609</v>
      </c>
      <c r="C590" s="187" t="s">
        <v>209</v>
      </c>
      <c r="D590" s="188" t="s">
        <v>168</v>
      </c>
      <c r="E590" s="189" t="s">
        <v>640</v>
      </c>
      <c r="F590" s="188" t="s">
        <v>959</v>
      </c>
      <c r="G590" s="188" t="s">
        <v>156</v>
      </c>
      <c r="H590" s="190">
        <v>80111600</v>
      </c>
      <c r="I590" s="191">
        <v>3</v>
      </c>
      <c r="J590" s="191">
        <v>8</v>
      </c>
      <c r="K590" s="192">
        <v>0</v>
      </c>
      <c r="L590" s="193">
        <v>26240000</v>
      </c>
      <c r="M590" s="188" t="s">
        <v>473</v>
      </c>
      <c r="N590" s="194" t="s">
        <v>113</v>
      </c>
      <c r="O590" s="189" t="s">
        <v>224</v>
      </c>
      <c r="P590" s="195" t="str">
        <f>IFERROR(VLOOKUP(C590,TD!$B$32:$F$36,2,0)," ")</f>
        <v>O230117</v>
      </c>
      <c r="Q590" s="195" t="str">
        <f>IFERROR(VLOOKUP(C590,TD!$B$32:$F$36,3,0)," ")</f>
        <v>4503</v>
      </c>
      <c r="R590" s="195">
        <f>IFERROR(VLOOKUP(C590,TD!$B$32:$F$36,4,0)," ")</f>
        <v>20240255</v>
      </c>
      <c r="S590" s="189" t="s">
        <v>191</v>
      </c>
      <c r="T590" s="195" t="str">
        <f>IFERROR(VLOOKUP(S590,TD!$J$33:$K$43,2,0)," ")</f>
        <v>Servicio de apoyo   logístico  en eventos operativos y/o emergencias.</v>
      </c>
      <c r="U590" s="161" t="str">
        <f>CONCATENATE(S590,"-",T590)</f>
        <v>12-Servicio de apoyo   logístico  en eventos operativos y/o emergencias.</v>
      </c>
      <c r="V590" s="189" t="s">
        <v>232</v>
      </c>
      <c r="W590" s="195" t="str">
        <f>IFERROR(VLOOKUP(V590,TD!$N$33:$O$45,2,0)," ")</f>
        <v>Servicio de atención a emergencias y desastres</v>
      </c>
      <c r="X590" s="161" t="str">
        <f>CONCATENATE(V590,"_",W590)</f>
        <v>004_Servicio de atención a emergencias y desastres</v>
      </c>
      <c r="Y590" s="161" t="str">
        <f>CONCATENATE(U590," ",X590)</f>
        <v>12-Servicio de apoyo   logístico  en eventos operativos y/o emergencias. 004_Servicio de atención a emergencias y desastres</v>
      </c>
      <c r="Z590" s="195" t="str">
        <f>CONCATENATE(P590,Q590,R590,S590,V590)</f>
        <v>O23011745032024025512004</v>
      </c>
      <c r="AA590" s="195" t="str">
        <f>IFERROR(VLOOKUP(Y590,TD!$K$46:$L$64,2,0)," ")</f>
        <v>PM/0131/0112/45030040255</v>
      </c>
      <c r="AB590" s="194" t="s">
        <v>138</v>
      </c>
      <c r="AC590" s="196" t="s">
        <v>204</v>
      </c>
    </row>
    <row r="591" spans="2:29" s="28" customFormat="1" ht="99" customHeight="1" x14ac:dyDescent="0.35">
      <c r="B591" s="186">
        <v>20250610</v>
      </c>
      <c r="C591" s="187" t="s">
        <v>209</v>
      </c>
      <c r="D591" s="188" t="s">
        <v>168</v>
      </c>
      <c r="E591" s="189" t="s">
        <v>640</v>
      </c>
      <c r="F591" s="188" t="s">
        <v>959</v>
      </c>
      <c r="G591" s="188" t="s">
        <v>156</v>
      </c>
      <c r="H591" s="190">
        <v>80111600</v>
      </c>
      <c r="I591" s="191">
        <v>3</v>
      </c>
      <c r="J591" s="191">
        <v>8</v>
      </c>
      <c r="K591" s="192">
        <v>0</v>
      </c>
      <c r="L591" s="193">
        <v>26240000</v>
      </c>
      <c r="M591" s="188" t="s">
        <v>473</v>
      </c>
      <c r="N591" s="194" t="s">
        <v>113</v>
      </c>
      <c r="O591" s="189" t="s">
        <v>224</v>
      </c>
      <c r="P591" s="195" t="str">
        <f>IFERROR(VLOOKUP(C591,TD!$B$32:$F$36,2,0)," ")</f>
        <v>O230117</v>
      </c>
      <c r="Q591" s="195" t="str">
        <f>IFERROR(VLOOKUP(C591,TD!$B$32:$F$36,3,0)," ")</f>
        <v>4503</v>
      </c>
      <c r="R591" s="195">
        <f>IFERROR(VLOOKUP(C591,TD!$B$32:$F$36,4,0)," ")</f>
        <v>20240255</v>
      </c>
      <c r="S591" s="189" t="s">
        <v>191</v>
      </c>
      <c r="T591" s="195" t="str">
        <f>IFERROR(VLOOKUP(S591,TD!$J$33:$K$43,2,0)," ")</f>
        <v>Servicio de apoyo   logístico  en eventos operativos y/o emergencias.</v>
      </c>
      <c r="U591" s="161" t="str">
        <f>CONCATENATE(S591,"-",T591)</f>
        <v>12-Servicio de apoyo   logístico  en eventos operativos y/o emergencias.</v>
      </c>
      <c r="V591" s="189" t="s">
        <v>232</v>
      </c>
      <c r="W591" s="195" t="str">
        <f>IFERROR(VLOOKUP(V591,TD!$N$33:$O$45,2,0)," ")</f>
        <v>Servicio de atención a emergencias y desastres</v>
      </c>
      <c r="X591" s="161" t="str">
        <f>CONCATENATE(V591,"_",W591)</f>
        <v>004_Servicio de atención a emergencias y desastres</v>
      </c>
      <c r="Y591" s="161" t="str">
        <f>CONCATENATE(U591," ",X591)</f>
        <v>12-Servicio de apoyo   logístico  en eventos operativos y/o emergencias. 004_Servicio de atención a emergencias y desastres</v>
      </c>
      <c r="Z591" s="195" t="str">
        <f>CONCATENATE(P591,Q591,R591,S591,V591)</f>
        <v>O23011745032024025512004</v>
      </c>
      <c r="AA591" s="195" t="str">
        <f>IFERROR(VLOOKUP(Y591,TD!$K$46:$L$64,2,0)," ")</f>
        <v>PM/0131/0112/45030040255</v>
      </c>
      <c r="AB591" s="194" t="s">
        <v>138</v>
      </c>
      <c r="AC591" s="196" t="s">
        <v>204</v>
      </c>
    </row>
    <row r="592" spans="2:29" s="28" customFormat="1" ht="99" customHeight="1" x14ac:dyDescent="0.35">
      <c r="B592" s="186">
        <v>20250611</v>
      </c>
      <c r="C592" s="187" t="s">
        <v>209</v>
      </c>
      <c r="D592" s="188" t="s">
        <v>168</v>
      </c>
      <c r="E592" s="189" t="s">
        <v>640</v>
      </c>
      <c r="F592" s="188" t="s">
        <v>959</v>
      </c>
      <c r="G592" s="188" t="s">
        <v>156</v>
      </c>
      <c r="H592" s="190">
        <v>80111600</v>
      </c>
      <c r="I592" s="191">
        <v>3</v>
      </c>
      <c r="J592" s="191">
        <v>8</v>
      </c>
      <c r="K592" s="192">
        <v>0</v>
      </c>
      <c r="L592" s="193">
        <v>26240000</v>
      </c>
      <c r="M592" s="188" t="s">
        <v>473</v>
      </c>
      <c r="N592" s="194" t="s">
        <v>113</v>
      </c>
      <c r="O592" s="189" t="s">
        <v>224</v>
      </c>
      <c r="P592" s="195" t="str">
        <f>IFERROR(VLOOKUP(C592,TD!$B$32:$F$36,2,0)," ")</f>
        <v>O230117</v>
      </c>
      <c r="Q592" s="195" t="str">
        <f>IFERROR(VLOOKUP(C592,TD!$B$32:$F$36,3,0)," ")</f>
        <v>4503</v>
      </c>
      <c r="R592" s="195">
        <f>IFERROR(VLOOKUP(C592,TD!$B$32:$F$36,4,0)," ")</f>
        <v>20240255</v>
      </c>
      <c r="S592" s="189" t="s">
        <v>191</v>
      </c>
      <c r="T592" s="195" t="str">
        <f>IFERROR(VLOOKUP(S592,TD!$J$33:$K$43,2,0)," ")</f>
        <v>Servicio de apoyo   logístico  en eventos operativos y/o emergencias.</v>
      </c>
      <c r="U592" s="161" t="str">
        <f>CONCATENATE(S592,"-",T592)</f>
        <v>12-Servicio de apoyo   logístico  en eventos operativos y/o emergencias.</v>
      </c>
      <c r="V592" s="189" t="s">
        <v>232</v>
      </c>
      <c r="W592" s="195" t="str">
        <f>IFERROR(VLOOKUP(V592,TD!$N$33:$O$45,2,0)," ")</f>
        <v>Servicio de atención a emergencias y desastres</v>
      </c>
      <c r="X592" s="161" t="str">
        <f>CONCATENATE(V592,"_",W592)</f>
        <v>004_Servicio de atención a emergencias y desastres</v>
      </c>
      <c r="Y592" s="161" t="str">
        <f>CONCATENATE(U592," ",X592)</f>
        <v>12-Servicio de apoyo   logístico  en eventos operativos y/o emergencias. 004_Servicio de atención a emergencias y desastres</v>
      </c>
      <c r="Z592" s="195" t="str">
        <f>CONCATENATE(P592,Q592,R592,S592,V592)</f>
        <v>O23011745032024025512004</v>
      </c>
      <c r="AA592" s="195" t="str">
        <f>IFERROR(VLOOKUP(Y592,TD!$K$46:$L$64,2,0)," ")</f>
        <v>PM/0131/0112/45030040255</v>
      </c>
      <c r="AB592" s="194" t="s">
        <v>138</v>
      </c>
      <c r="AC592" s="196" t="s">
        <v>204</v>
      </c>
    </row>
    <row r="593" spans="2:29" s="28" customFormat="1" ht="99" customHeight="1" x14ac:dyDescent="0.35">
      <c r="B593" s="77">
        <v>20250612</v>
      </c>
      <c r="C593" s="50" t="s">
        <v>208</v>
      </c>
      <c r="D593" s="158" t="s">
        <v>162</v>
      </c>
      <c r="E593" s="51" t="s">
        <v>355</v>
      </c>
      <c r="F593" s="158" t="s">
        <v>822</v>
      </c>
      <c r="G593" s="158" t="s">
        <v>154</v>
      </c>
      <c r="H593" s="97">
        <v>81112217</v>
      </c>
      <c r="I593" s="159">
        <v>1</v>
      </c>
      <c r="J593" s="159">
        <v>6</v>
      </c>
      <c r="K593" s="52">
        <v>0</v>
      </c>
      <c r="L593" s="153">
        <v>6000000</v>
      </c>
      <c r="M593" s="158" t="s">
        <v>473</v>
      </c>
      <c r="N593" s="53" t="s">
        <v>113</v>
      </c>
      <c r="O593" s="51" t="s">
        <v>215</v>
      </c>
      <c r="P593" s="160" t="str">
        <f>IFERROR(VLOOKUP(C593,TD!$B$32:$F$36,2,0)," ")</f>
        <v>O230117</v>
      </c>
      <c r="Q593" s="160" t="str">
        <f>IFERROR(VLOOKUP(C593,TD!$B$32:$F$36,3,0)," ")</f>
        <v>4599</v>
      </c>
      <c r="R593" s="160">
        <f>IFERROR(VLOOKUP(C593,TD!$B$32:$F$36,4,0)," ")</f>
        <v>20240207</v>
      </c>
      <c r="S593" s="51" t="s">
        <v>179</v>
      </c>
      <c r="T593" s="160" t="str">
        <f>IFERROR(VLOOKUP(S593,TD!$J$33:$K$43,2,0)," ")</f>
        <v>Infraestructura Tecnológica   (Sistemas de Información y Tecnologia)</v>
      </c>
      <c r="U593" s="161" t="str">
        <f>CONCATENATE(S593,"-",T593)</f>
        <v>11-Infraestructura Tecnológica   (Sistemas de Información y Tecnologia)</v>
      </c>
      <c r="V593" s="51" t="s">
        <v>239</v>
      </c>
      <c r="W593" s="160" t="str">
        <f>IFERROR(VLOOKUP(V593,TD!$N$33:$O$45,2,0)," ")</f>
        <v>Servicios tecnológicos</v>
      </c>
      <c r="X593" s="161" t="str">
        <f>CONCATENATE(V593,"_",W593)</f>
        <v>007_Servicios tecnológicos</v>
      </c>
      <c r="Y593" s="161" t="str">
        <f>CONCATENATE(U593," ",X593)</f>
        <v>11-Infraestructura Tecnológica   (Sistemas de Información y Tecnologia) 007_Servicios tecnológicos</v>
      </c>
      <c r="Z593" s="160" t="str">
        <f>CONCATENATE(P593,Q593,R593,S593,V593)</f>
        <v>O23011745992024020711007</v>
      </c>
      <c r="AA593" s="160" t="str">
        <f>IFERROR(VLOOKUP(Y593,TD!$K$46:$L$64,2,0)," ")</f>
        <v>PM/0131/0111/45990070207</v>
      </c>
      <c r="AB593" s="53" t="s">
        <v>130</v>
      </c>
      <c r="AC593" s="162" t="s">
        <v>204</v>
      </c>
    </row>
    <row r="594" spans="2:29" s="28" customFormat="1" ht="99" customHeight="1" x14ac:dyDescent="0.35">
      <c r="B594" s="77">
        <v>20250613</v>
      </c>
      <c r="C594" s="50" t="s">
        <v>208</v>
      </c>
      <c r="D594" s="158" t="s">
        <v>162</v>
      </c>
      <c r="E594" s="51" t="s">
        <v>355</v>
      </c>
      <c r="F594" s="158" t="s">
        <v>823</v>
      </c>
      <c r="G594" s="158" t="s">
        <v>154</v>
      </c>
      <c r="H594" s="97">
        <v>46171619</v>
      </c>
      <c r="I594" s="159">
        <v>10</v>
      </c>
      <c r="J594" s="159">
        <v>2</v>
      </c>
      <c r="K594" s="52">
        <v>0</v>
      </c>
      <c r="L594" s="153">
        <v>60000000</v>
      </c>
      <c r="M594" s="158" t="s">
        <v>473</v>
      </c>
      <c r="N594" s="53" t="s">
        <v>123</v>
      </c>
      <c r="O594" s="51" t="s">
        <v>215</v>
      </c>
      <c r="P594" s="160" t="str">
        <f>IFERROR(VLOOKUP(C594,TD!$B$32:$F$36,2,0)," ")</f>
        <v>O230117</v>
      </c>
      <c r="Q594" s="160" t="str">
        <f>IFERROR(VLOOKUP(C594,TD!$B$32:$F$36,3,0)," ")</f>
        <v>4599</v>
      </c>
      <c r="R594" s="160">
        <f>IFERROR(VLOOKUP(C594,TD!$B$32:$F$36,4,0)," ")</f>
        <v>20240207</v>
      </c>
      <c r="S594" s="51" t="s">
        <v>179</v>
      </c>
      <c r="T594" s="160" t="str">
        <f>IFERROR(VLOOKUP(S594,TD!$J$33:$K$43,2,0)," ")</f>
        <v>Infraestructura Tecnológica   (Sistemas de Información y Tecnologia)</v>
      </c>
      <c r="U594" s="161" t="str">
        <f>CONCATENATE(S594,"-",T594)</f>
        <v>11-Infraestructura Tecnológica   (Sistemas de Información y Tecnologia)</v>
      </c>
      <c r="V594" s="51" t="s">
        <v>239</v>
      </c>
      <c r="W594" s="160" t="str">
        <f>IFERROR(VLOOKUP(V594,TD!$N$33:$O$45,2,0)," ")</f>
        <v>Servicios tecnológicos</v>
      </c>
      <c r="X594" s="161" t="str">
        <f>CONCATENATE(V594,"_",W594)</f>
        <v>007_Servicios tecnológicos</v>
      </c>
      <c r="Y594" s="161" t="str">
        <f>CONCATENATE(U594," ",X594)</f>
        <v>11-Infraestructura Tecnológica   (Sistemas de Información y Tecnologia) 007_Servicios tecnológicos</v>
      </c>
      <c r="Z594" s="160" t="str">
        <f>CONCATENATE(P594,Q594,R594,S594,V594)</f>
        <v>O23011745992024020711007</v>
      </c>
      <c r="AA594" s="160" t="str">
        <f>IFERROR(VLOOKUP(Y594,TD!$K$46:$L$64,2,0)," ")</f>
        <v>PM/0131/0111/45990070207</v>
      </c>
      <c r="AB594" s="53" t="s">
        <v>130</v>
      </c>
      <c r="AC594" s="162" t="s">
        <v>204</v>
      </c>
    </row>
    <row r="595" spans="2:29" s="28" customFormat="1" ht="99" customHeight="1" x14ac:dyDescent="0.35">
      <c r="B595" s="77">
        <v>20250614</v>
      </c>
      <c r="C595" s="50" t="s">
        <v>208</v>
      </c>
      <c r="D595" s="158" t="s">
        <v>162</v>
      </c>
      <c r="E595" s="51" t="s">
        <v>355</v>
      </c>
      <c r="F595" s="158" t="s">
        <v>824</v>
      </c>
      <c r="G595" s="158" t="s">
        <v>155</v>
      </c>
      <c r="H595" s="97">
        <v>80111600</v>
      </c>
      <c r="I595" s="159">
        <v>2</v>
      </c>
      <c r="J595" s="159">
        <v>11</v>
      </c>
      <c r="K595" s="52">
        <v>0</v>
      </c>
      <c r="L595" s="153">
        <v>49500000</v>
      </c>
      <c r="M595" s="158" t="s">
        <v>473</v>
      </c>
      <c r="N595" s="53" t="s">
        <v>113</v>
      </c>
      <c r="O595" s="51" t="s">
        <v>215</v>
      </c>
      <c r="P595" s="160" t="str">
        <f>IFERROR(VLOOKUP(C595,TD!$B$32:$F$36,2,0)," ")</f>
        <v>O230117</v>
      </c>
      <c r="Q595" s="160" t="str">
        <f>IFERROR(VLOOKUP(C595,TD!$B$32:$F$36,3,0)," ")</f>
        <v>4599</v>
      </c>
      <c r="R595" s="160">
        <f>IFERROR(VLOOKUP(C595,TD!$B$32:$F$36,4,0)," ")</f>
        <v>20240207</v>
      </c>
      <c r="S595" s="51" t="s">
        <v>179</v>
      </c>
      <c r="T595" s="160" t="str">
        <f>IFERROR(VLOOKUP(S595,TD!$J$33:$K$43,2,0)," ")</f>
        <v>Infraestructura Tecnológica   (Sistemas de Información y Tecnologia)</v>
      </c>
      <c r="U595" s="161" t="str">
        <f>CONCATENATE(S595,"-",T595)</f>
        <v>11-Infraestructura Tecnológica   (Sistemas de Información y Tecnologia)</v>
      </c>
      <c r="V595" s="51" t="s">
        <v>239</v>
      </c>
      <c r="W595" s="160" t="str">
        <f>IFERROR(VLOOKUP(V595,TD!$N$33:$O$45,2,0)," ")</f>
        <v>Servicios tecnológicos</v>
      </c>
      <c r="X595" s="161" t="str">
        <f>CONCATENATE(V595,"_",W595)</f>
        <v>007_Servicios tecnológicos</v>
      </c>
      <c r="Y595" s="161" t="str">
        <f>CONCATENATE(U595," ",X595)</f>
        <v>11-Infraestructura Tecnológica   (Sistemas de Información y Tecnologia) 007_Servicios tecnológicos</v>
      </c>
      <c r="Z595" s="160" t="str">
        <f>CONCATENATE(P595,Q595,R595,S595,V595)</f>
        <v>O23011745992024020711007</v>
      </c>
      <c r="AA595" s="160" t="str">
        <f>IFERROR(VLOOKUP(Y595,TD!$K$46:$L$64,2,0)," ")</f>
        <v>PM/0131/0111/45990070207</v>
      </c>
      <c r="AB595" s="53" t="s">
        <v>138</v>
      </c>
      <c r="AC595" s="162" t="s">
        <v>204</v>
      </c>
    </row>
    <row r="596" spans="2:29" s="28" customFormat="1" ht="99" customHeight="1" x14ac:dyDescent="0.35">
      <c r="B596" s="186">
        <v>20250615</v>
      </c>
      <c r="C596" s="187" t="s">
        <v>346</v>
      </c>
      <c r="D596" s="188" t="s">
        <v>162</v>
      </c>
      <c r="E596" s="189" t="s">
        <v>355</v>
      </c>
      <c r="F596" s="188" t="s">
        <v>825</v>
      </c>
      <c r="G596" s="188" t="s">
        <v>96</v>
      </c>
      <c r="H596" s="190" t="s">
        <v>416</v>
      </c>
      <c r="I596" s="191">
        <v>8</v>
      </c>
      <c r="J596" s="191">
        <v>7</v>
      </c>
      <c r="K596" s="192">
        <v>0</v>
      </c>
      <c r="L596" s="193">
        <v>20000000</v>
      </c>
      <c r="M596" s="188" t="s">
        <v>172</v>
      </c>
      <c r="N596" s="194" t="s">
        <v>123</v>
      </c>
      <c r="O596" s="189" t="s">
        <v>347</v>
      </c>
      <c r="P596" s="195" t="str">
        <f>IFERROR(VLOOKUP(C596,TD!$B$32:$F$36,2,0)," ")</f>
        <v>NA</v>
      </c>
      <c r="Q596" s="195" t="str">
        <f>IFERROR(VLOOKUP(C596,TD!$B$32:$F$36,3,0)," ")</f>
        <v>NA</v>
      </c>
      <c r="R596" s="195" t="str">
        <f>IFERROR(VLOOKUP(C596,TD!$B$32:$F$36,4,0)," ")</f>
        <v>NA</v>
      </c>
      <c r="S596" s="189" t="s">
        <v>406</v>
      </c>
      <c r="T596" s="195" t="str">
        <f>IFERROR(VLOOKUP(S596,TD!$J$33:$K$43,2,0)," ")</f>
        <v>N/A</v>
      </c>
      <c r="U596" s="161" t="str">
        <f>CONCATENATE(S596,"-",T596)</f>
        <v>N/A-N/A</v>
      </c>
      <c r="V596" s="189" t="s">
        <v>406</v>
      </c>
      <c r="W596" s="195" t="str">
        <f>IFERROR(VLOOKUP(V596,TD!$N$33:$O$45,2,0)," ")</f>
        <v>N/A</v>
      </c>
      <c r="X596" s="161" t="str">
        <f>CONCATENATE(V596,"_",W596)</f>
        <v>N/A_N/A</v>
      </c>
      <c r="Y596" s="161" t="str">
        <f>CONCATENATE(U596," ",X596)</f>
        <v>N/A-N/A N/A_N/A</v>
      </c>
      <c r="Z596" s="195" t="str">
        <f>CONCATENATE(P596,Q596,R596,S596,V596)</f>
        <v>NANANAN/AN/A</v>
      </c>
      <c r="AA596" s="195" t="str">
        <f>IFERROR(VLOOKUP(Y596,TD!$K$46:$L$64,2,0)," ")</f>
        <v>N/A</v>
      </c>
      <c r="AB596" s="194" t="s">
        <v>449</v>
      </c>
      <c r="AC596" s="196" t="s">
        <v>204</v>
      </c>
    </row>
    <row r="597" spans="2:29" s="28" customFormat="1" ht="99" customHeight="1" x14ac:dyDescent="0.35">
      <c r="B597" s="77">
        <v>20250617</v>
      </c>
      <c r="C597" s="50" t="s">
        <v>208</v>
      </c>
      <c r="D597" s="158" t="s">
        <v>162</v>
      </c>
      <c r="E597" s="51" t="s">
        <v>355</v>
      </c>
      <c r="F597" s="158" t="s">
        <v>868</v>
      </c>
      <c r="G597" s="158" t="s">
        <v>155</v>
      </c>
      <c r="H597" s="97">
        <v>80111600</v>
      </c>
      <c r="I597" s="159">
        <v>2</v>
      </c>
      <c r="J597" s="159">
        <v>7</v>
      </c>
      <c r="K597" s="52">
        <v>0</v>
      </c>
      <c r="L597" s="153">
        <v>49000000</v>
      </c>
      <c r="M597" s="158" t="s">
        <v>473</v>
      </c>
      <c r="N597" s="53" t="s">
        <v>113</v>
      </c>
      <c r="O597" s="51" t="s">
        <v>215</v>
      </c>
      <c r="P597" s="160" t="str">
        <f>IFERROR(VLOOKUP(C597,TD!$B$32:$F$36,2,0)," ")</f>
        <v>O230117</v>
      </c>
      <c r="Q597" s="160" t="str">
        <f>IFERROR(VLOOKUP(C597,TD!$B$32:$F$36,3,0)," ")</f>
        <v>4599</v>
      </c>
      <c r="R597" s="160">
        <f>IFERROR(VLOOKUP(C597,TD!$B$32:$F$36,4,0)," ")</f>
        <v>20240207</v>
      </c>
      <c r="S597" s="51" t="s">
        <v>179</v>
      </c>
      <c r="T597" s="160" t="str">
        <f>IFERROR(VLOOKUP(S597,TD!$J$33:$K$43,2,0)," ")</f>
        <v>Infraestructura Tecnológica   (Sistemas de Información y Tecnologia)</v>
      </c>
      <c r="U597" s="161" t="str">
        <f>CONCATENATE(S597,"-",T597)</f>
        <v>11-Infraestructura Tecnológica   (Sistemas de Información y Tecnologia)</v>
      </c>
      <c r="V597" s="51" t="s">
        <v>239</v>
      </c>
      <c r="W597" s="160" t="str">
        <f>IFERROR(VLOOKUP(V597,TD!$N$33:$O$45,2,0)," ")</f>
        <v>Servicios tecnológicos</v>
      </c>
      <c r="X597" s="161" t="str">
        <f>CONCATENATE(V597,"_",W597)</f>
        <v>007_Servicios tecnológicos</v>
      </c>
      <c r="Y597" s="161" t="str">
        <f>CONCATENATE(U597," ",X597)</f>
        <v>11-Infraestructura Tecnológica   (Sistemas de Información y Tecnologia) 007_Servicios tecnológicos</v>
      </c>
      <c r="Z597" s="160" t="str">
        <f>CONCATENATE(P597,Q597,R597,S597,V597)</f>
        <v>O23011745992024020711007</v>
      </c>
      <c r="AA597" s="160" t="str">
        <f>IFERROR(VLOOKUP(Y597,TD!$K$46:$L$64,2,0)," ")</f>
        <v>PM/0131/0111/45990070207</v>
      </c>
      <c r="AB597" s="53" t="s">
        <v>120</v>
      </c>
      <c r="AC597" s="162" t="s">
        <v>204</v>
      </c>
    </row>
    <row r="598" spans="2:29" s="28" customFormat="1" ht="99" customHeight="1" x14ac:dyDescent="0.35">
      <c r="B598" s="77">
        <v>20250618</v>
      </c>
      <c r="C598" s="50" t="s">
        <v>208</v>
      </c>
      <c r="D598" s="158" t="s">
        <v>162</v>
      </c>
      <c r="E598" s="51" t="s">
        <v>355</v>
      </c>
      <c r="F598" s="158" t="s">
        <v>869</v>
      </c>
      <c r="G598" s="158" t="s">
        <v>155</v>
      </c>
      <c r="H598" s="97">
        <v>80111600</v>
      </c>
      <c r="I598" s="159">
        <v>2</v>
      </c>
      <c r="J598" s="159">
        <v>5</v>
      </c>
      <c r="K598" s="52">
        <v>0</v>
      </c>
      <c r="L598" s="153">
        <v>35000000</v>
      </c>
      <c r="M598" s="158" t="s">
        <v>473</v>
      </c>
      <c r="N598" s="53" t="s">
        <v>113</v>
      </c>
      <c r="O598" s="51" t="s">
        <v>214</v>
      </c>
      <c r="P598" s="160" t="str">
        <f>IFERROR(VLOOKUP(C598,TD!$B$32:$F$36,2,0)," ")</f>
        <v>O230117</v>
      </c>
      <c r="Q598" s="160" t="str">
        <f>IFERROR(VLOOKUP(C598,TD!$B$32:$F$36,3,0)," ")</f>
        <v>4599</v>
      </c>
      <c r="R598" s="160">
        <f>IFERROR(VLOOKUP(C598,TD!$B$32:$F$36,4,0)," ")</f>
        <v>20240207</v>
      </c>
      <c r="S598" s="51" t="s">
        <v>179</v>
      </c>
      <c r="T598" s="160" t="str">
        <f>IFERROR(VLOOKUP(S598,TD!$J$33:$K$43,2,0)," ")</f>
        <v>Infraestructura Tecnológica   (Sistemas de Información y Tecnologia)</v>
      </c>
      <c r="U598" s="161" t="str">
        <f>CONCATENATE(S598,"-",T598)</f>
        <v>11-Infraestructura Tecnológica   (Sistemas de Información y Tecnologia)</v>
      </c>
      <c r="V598" s="51" t="s">
        <v>239</v>
      </c>
      <c r="W598" s="160" t="str">
        <f>IFERROR(VLOOKUP(V598,TD!$N$33:$O$45,2,0)," ")</f>
        <v>Servicios tecnológicos</v>
      </c>
      <c r="X598" s="161" t="str">
        <f>CONCATENATE(V598,"_",W598)</f>
        <v>007_Servicios tecnológicos</v>
      </c>
      <c r="Y598" s="161" t="str">
        <f>CONCATENATE(U598," ",X598)</f>
        <v>11-Infraestructura Tecnológica   (Sistemas de Información y Tecnologia) 007_Servicios tecnológicos</v>
      </c>
      <c r="Z598" s="160" t="str">
        <f>CONCATENATE(P598,Q598,R598,S598,V598)</f>
        <v>O23011745992024020711007</v>
      </c>
      <c r="AA598" s="160" t="str">
        <f>IFERROR(VLOOKUP(Y598,TD!$K$46:$L$64,2,0)," ")</f>
        <v>PM/0131/0111/45990070207</v>
      </c>
      <c r="AB598" s="53" t="s">
        <v>138</v>
      </c>
      <c r="AC598" s="162" t="s">
        <v>204</v>
      </c>
    </row>
    <row r="599" spans="2:29" s="28" customFormat="1" ht="99" customHeight="1" x14ac:dyDescent="0.35">
      <c r="B599" s="186">
        <v>20250619</v>
      </c>
      <c r="C599" s="187" t="s">
        <v>208</v>
      </c>
      <c r="D599" s="188" t="s">
        <v>162</v>
      </c>
      <c r="E599" s="189" t="s">
        <v>355</v>
      </c>
      <c r="F599" s="188" t="s">
        <v>870</v>
      </c>
      <c r="G599" s="188" t="s">
        <v>96</v>
      </c>
      <c r="H599" s="190">
        <v>81112006</v>
      </c>
      <c r="I599" s="191">
        <v>2</v>
      </c>
      <c r="J599" s="191">
        <v>4</v>
      </c>
      <c r="K599" s="192">
        <v>0</v>
      </c>
      <c r="L599" s="193">
        <v>7000000</v>
      </c>
      <c r="M599" s="188" t="s">
        <v>473</v>
      </c>
      <c r="N599" s="194" t="s">
        <v>123</v>
      </c>
      <c r="O599" s="189" t="s">
        <v>214</v>
      </c>
      <c r="P599" s="195" t="str">
        <f>IFERROR(VLOOKUP(C599,TD!$B$32:$F$36,2,0)," ")</f>
        <v>O230117</v>
      </c>
      <c r="Q599" s="195" t="str">
        <f>IFERROR(VLOOKUP(C599,TD!$B$32:$F$36,3,0)," ")</f>
        <v>4599</v>
      </c>
      <c r="R599" s="195">
        <f>IFERROR(VLOOKUP(C599,TD!$B$32:$F$36,4,0)," ")</f>
        <v>20240207</v>
      </c>
      <c r="S599" s="189" t="s">
        <v>179</v>
      </c>
      <c r="T599" s="195" t="str">
        <f>IFERROR(VLOOKUP(S599,TD!$J$33:$K$43,2,0)," ")</f>
        <v>Infraestructura Tecnológica   (Sistemas de Información y Tecnologia)</v>
      </c>
      <c r="U599" s="208" t="str">
        <f>CONCATENATE(S599,"-",T599)</f>
        <v>11-Infraestructura Tecnológica   (Sistemas de Información y Tecnologia)</v>
      </c>
      <c r="V599" s="189" t="s">
        <v>239</v>
      </c>
      <c r="W599" s="195" t="str">
        <f>IFERROR(VLOOKUP(V599,TD!$N$33:$O$45,2,0)," ")</f>
        <v>Servicios tecnológicos</v>
      </c>
      <c r="X599" s="208" t="str">
        <f>CONCATENATE(V599,"_",W599)</f>
        <v>007_Servicios tecnológicos</v>
      </c>
      <c r="Y599" s="208" t="str">
        <f>CONCATENATE(U599," ",X599)</f>
        <v>11-Infraestructura Tecnológica   (Sistemas de Información y Tecnologia) 007_Servicios tecnológicos</v>
      </c>
      <c r="Z599" s="195" t="str">
        <f>CONCATENATE(P599,Q599,R599,S599,V599)</f>
        <v>O23011745992024020711007</v>
      </c>
      <c r="AA599" s="195" t="str">
        <f>IFERROR(VLOOKUP(Y599,TD!$K$46:$L$64,2,0)," ")</f>
        <v>PM/0131/0111/45990070207</v>
      </c>
      <c r="AB599" s="194" t="s">
        <v>125</v>
      </c>
      <c r="AC599" s="196" t="s">
        <v>205</v>
      </c>
    </row>
    <row r="600" spans="2:29" s="28" customFormat="1" ht="99" customHeight="1" x14ac:dyDescent="0.35">
      <c r="B600" s="77">
        <v>20250620</v>
      </c>
      <c r="C600" s="50" t="s">
        <v>208</v>
      </c>
      <c r="D600" s="158" t="s">
        <v>162</v>
      </c>
      <c r="E600" s="51" t="s">
        <v>355</v>
      </c>
      <c r="F600" s="158" t="s">
        <v>871</v>
      </c>
      <c r="G600" s="158" t="s">
        <v>149</v>
      </c>
      <c r="H600" s="97" t="s">
        <v>872</v>
      </c>
      <c r="I600" s="159">
        <v>4</v>
      </c>
      <c r="J600" s="159">
        <v>12</v>
      </c>
      <c r="K600" s="52">
        <v>0</v>
      </c>
      <c r="L600" s="153">
        <v>55000000</v>
      </c>
      <c r="M600" s="158" t="s">
        <v>473</v>
      </c>
      <c r="N600" s="53" t="s">
        <v>113</v>
      </c>
      <c r="O600" s="51" t="s">
        <v>214</v>
      </c>
      <c r="P600" s="160" t="str">
        <f>IFERROR(VLOOKUP(C600,TD!$B$32:$F$36,2,0)," ")</f>
        <v>O230117</v>
      </c>
      <c r="Q600" s="160" t="str">
        <f>IFERROR(VLOOKUP(C600,TD!$B$32:$F$36,3,0)," ")</f>
        <v>4599</v>
      </c>
      <c r="R600" s="160">
        <f>IFERROR(VLOOKUP(C600,TD!$B$32:$F$36,4,0)," ")</f>
        <v>20240207</v>
      </c>
      <c r="S600" s="51" t="s">
        <v>179</v>
      </c>
      <c r="T600" s="160" t="str">
        <f>IFERROR(VLOOKUP(S600,TD!$J$33:$K$43,2,0)," ")</f>
        <v>Infraestructura Tecnológica   (Sistemas de Información y Tecnologia)</v>
      </c>
      <c r="U600" s="161" t="str">
        <f>CONCATENATE(S600,"-",T600)</f>
        <v>11-Infraestructura Tecnológica   (Sistemas de Información y Tecnologia)</v>
      </c>
      <c r="V600" s="51" t="s">
        <v>239</v>
      </c>
      <c r="W600" s="160" t="str">
        <f>IFERROR(VLOOKUP(V600,TD!$N$33:$O$45,2,0)," ")</f>
        <v>Servicios tecnológicos</v>
      </c>
      <c r="X600" s="161" t="str">
        <f>CONCATENATE(V600,"_",W600)</f>
        <v>007_Servicios tecnológicos</v>
      </c>
      <c r="Y600" s="161" t="str">
        <f>CONCATENATE(U600," ",X600)</f>
        <v>11-Infraestructura Tecnológica   (Sistemas de Información y Tecnologia) 007_Servicios tecnológicos</v>
      </c>
      <c r="Z600" s="160" t="str">
        <f>CONCATENATE(P600,Q600,R600,S600,V600)</f>
        <v>O23011745992024020711007</v>
      </c>
      <c r="AA600" s="160" t="str">
        <f>IFERROR(VLOOKUP(Y600,TD!$K$46:$L$64,2,0)," ")</f>
        <v>PM/0131/0111/45990070207</v>
      </c>
      <c r="AB600" s="53" t="s">
        <v>130</v>
      </c>
      <c r="AC600" s="162" t="s">
        <v>204</v>
      </c>
    </row>
    <row r="601" spans="2:29" s="28" customFormat="1" ht="99" customHeight="1" x14ac:dyDescent="0.35">
      <c r="B601" s="152">
        <v>20250621</v>
      </c>
      <c r="C601" s="164" t="s">
        <v>208</v>
      </c>
      <c r="D601" s="165" t="s">
        <v>166</v>
      </c>
      <c r="E601" s="166" t="s">
        <v>592</v>
      </c>
      <c r="F601" s="165" t="s">
        <v>875</v>
      </c>
      <c r="G601" s="165" t="s">
        <v>155</v>
      </c>
      <c r="H601" s="167">
        <v>80111600</v>
      </c>
      <c r="I601" s="163">
        <v>0</v>
      </c>
      <c r="J601" s="163">
        <v>0</v>
      </c>
      <c r="K601" s="151">
        <v>0</v>
      </c>
      <c r="L601" s="154">
        <f>363652525+60000025+35500000+15500000+125000000+395000000+100000000</f>
        <v>1094652550</v>
      </c>
      <c r="M601" s="165" t="s">
        <v>473</v>
      </c>
      <c r="N601" s="150" t="s">
        <v>113</v>
      </c>
      <c r="O601" s="166" t="s">
        <v>219</v>
      </c>
      <c r="P601" s="168" t="str">
        <f>IFERROR(VLOOKUP(C601,TD!$B$32:$F$36,2,0)," ")</f>
        <v>O230117</v>
      </c>
      <c r="Q601" s="168" t="str">
        <f>IFERROR(VLOOKUP(C601,TD!$B$32:$F$36,3,0)," ")</f>
        <v>4599</v>
      </c>
      <c r="R601" s="168">
        <f>IFERROR(VLOOKUP(C601,TD!$B$32:$F$36,4,0)," ")</f>
        <v>20240207</v>
      </c>
      <c r="S601" s="166" t="s">
        <v>185</v>
      </c>
      <c r="T601" s="168" t="str">
        <f>IFERROR(VLOOKUP(S601,TD!$J$33:$K$43,2,0)," ")</f>
        <v>Infraestructura física, mantenimiento y dotación (Sedes construidas, mantenidas reforzadas)</v>
      </c>
      <c r="U601" s="161" t="str">
        <f>CONCATENATE(S601,"-",T601)</f>
        <v>08-Infraestructura física, mantenimiento y dotación (Sedes construidas, mantenidas reforzadas)</v>
      </c>
      <c r="V601" s="166" t="s">
        <v>238</v>
      </c>
      <c r="W601" s="168" t="str">
        <f>IFERROR(VLOOKUP(V601,TD!$N$33:$O$45,2,0)," ")</f>
        <v>Sedes mantenidas</v>
      </c>
      <c r="X601" s="161" t="str">
        <f>CONCATENATE(V601,"_",W601)</f>
        <v>016_Sedes mantenidas</v>
      </c>
      <c r="Y601" s="161" t="str">
        <f>CONCATENATE(U601," ",X601)</f>
        <v>08-Infraestructura física, mantenimiento y dotación (Sedes construidas, mantenidas reforzadas) 016_Sedes mantenidas</v>
      </c>
      <c r="Z601" s="168" t="str">
        <f>CONCATENATE(P601,Q601,R601,S601,V601)</f>
        <v>O23011745992024020708016</v>
      </c>
      <c r="AA601" s="168" t="str">
        <f>IFERROR(VLOOKUP(Y601,TD!$K$46:$L$64,2,0)," ")</f>
        <v>PM/0131/0108/45990160207</v>
      </c>
      <c r="AB601" s="150" t="s">
        <v>138</v>
      </c>
      <c r="AC601" s="169" t="s">
        <v>205</v>
      </c>
    </row>
    <row r="602" spans="2:29" s="28" customFormat="1" ht="99" customHeight="1" x14ac:dyDescent="0.35">
      <c r="B602" s="186">
        <v>20250622</v>
      </c>
      <c r="C602" s="187" t="s">
        <v>208</v>
      </c>
      <c r="D602" s="188" t="s">
        <v>162</v>
      </c>
      <c r="E602" s="189" t="s">
        <v>355</v>
      </c>
      <c r="F602" s="188" t="s">
        <v>873</v>
      </c>
      <c r="G602" s="188" t="s">
        <v>91</v>
      </c>
      <c r="H602" s="190" t="s">
        <v>874</v>
      </c>
      <c r="I602" s="191">
        <v>4</v>
      </c>
      <c r="J602" s="191">
        <v>5</v>
      </c>
      <c r="K602" s="192">
        <v>0</v>
      </c>
      <c r="L602" s="193">
        <v>354000957</v>
      </c>
      <c r="M602" s="188" t="s">
        <v>473</v>
      </c>
      <c r="N602" s="194" t="s">
        <v>113</v>
      </c>
      <c r="O602" s="189" t="s">
        <v>215</v>
      </c>
      <c r="P602" s="195" t="str">
        <f>IFERROR(VLOOKUP(C602,TD!$B$32:$F$36,2,0)," ")</f>
        <v>O230117</v>
      </c>
      <c r="Q602" s="195" t="str">
        <f>IFERROR(VLOOKUP(C602,TD!$B$32:$F$36,3,0)," ")</f>
        <v>4599</v>
      </c>
      <c r="R602" s="195">
        <f>IFERROR(VLOOKUP(C602,TD!$B$32:$F$36,4,0)," ")</f>
        <v>20240207</v>
      </c>
      <c r="S602" s="189" t="s">
        <v>179</v>
      </c>
      <c r="T602" s="195" t="str">
        <f>IFERROR(VLOOKUP(S602,TD!$J$33:$K$43,2,0)," ")</f>
        <v>Infraestructura Tecnológica   (Sistemas de Información y Tecnologia)</v>
      </c>
      <c r="U602" s="208" t="str">
        <f>CONCATENATE(S602,"-",T602)</f>
        <v>11-Infraestructura Tecnológica   (Sistemas de Información y Tecnologia)</v>
      </c>
      <c r="V602" s="189" t="s">
        <v>239</v>
      </c>
      <c r="W602" s="195" t="str">
        <f>IFERROR(VLOOKUP(V602,TD!$N$33:$O$45,2,0)," ")</f>
        <v>Servicios tecnológicos</v>
      </c>
      <c r="X602" s="208" t="str">
        <f>CONCATENATE(V602,"_",W602)</f>
        <v>007_Servicios tecnológicos</v>
      </c>
      <c r="Y602" s="208" t="str">
        <f>CONCATENATE(U602," ",X602)</f>
        <v>11-Infraestructura Tecnológica   (Sistemas de Información y Tecnologia) 007_Servicios tecnológicos</v>
      </c>
      <c r="Z602" s="195" t="str">
        <f>CONCATENATE(P602,Q602,R602,S602,V602)</f>
        <v>O23011745992024020711007</v>
      </c>
      <c r="AA602" s="195" t="str">
        <f>IFERROR(VLOOKUP(Y602,TD!$K$46:$L$64,2,0)," ")</f>
        <v>PM/0131/0111/45990070207</v>
      </c>
      <c r="AB602" s="194" t="s">
        <v>130</v>
      </c>
      <c r="AC602" s="196" t="s">
        <v>204</v>
      </c>
    </row>
    <row r="603" spans="2:29" s="28" customFormat="1" ht="99" customHeight="1" x14ac:dyDescent="0.35">
      <c r="B603" s="77">
        <v>20250623</v>
      </c>
      <c r="C603" s="50" t="s">
        <v>208</v>
      </c>
      <c r="D603" s="158" t="s">
        <v>36</v>
      </c>
      <c r="E603" s="51" t="s">
        <v>378</v>
      </c>
      <c r="F603" s="158" t="s">
        <v>877</v>
      </c>
      <c r="G603" s="158" t="s">
        <v>156</v>
      </c>
      <c r="H603" s="97">
        <v>80111600</v>
      </c>
      <c r="I603" s="159">
        <v>3</v>
      </c>
      <c r="J603" s="159">
        <v>10</v>
      </c>
      <c r="K603" s="52">
        <v>0</v>
      </c>
      <c r="L603" s="153">
        <v>100000000</v>
      </c>
      <c r="M603" s="158" t="s">
        <v>473</v>
      </c>
      <c r="N603" s="53" t="s">
        <v>113</v>
      </c>
      <c r="O603" s="51" t="s">
        <v>212</v>
      </c>
      <c r="P603" s="160" t="str">
        <f>IFERROR(VLOOKUP(C603,TD!$B$32:$F$36,2,0)," ")</f>
        <v>O230117</v>
      </c>
      <c r="Q603" s="160" t="str">
        <f>IFERROR(VLOOKUP(C603,TD!$B$32:$F$36,3,0)," ")</f>
        <v>4599</v>
      </c>
      <c r="R603" s="160">
        <f>IFERROR(VLOOKUP(C603,TD!$B$32:$F$36,4,0)," ")</f>
        <v>20240207</v>
      </c>
      <c r="S603" s="51" t="s">
        <v>193</v>
      </c>
      <c r="T603" s="160" t="str">
        <f>IFERROR(VLOOKUP(S603,TD!$J$33:$K$43,2,0)," ")</f>
        <v>Servicios para la planeación y sistemas de gestión y comunicación estratégica</v>
      </c>
      <c r="U603" s="161" t="str">
        <f>CONCATENATE(S603,"-",T603)</f>
        <v>13-Servicios para la planeación y sistemas de gestión y comunicación estratégica</v>
      </c>
      <c r="V603" s="51" t="s">
        <v>241</v>
      </c>
      <c r="W603" s="160" t="str">
        <f>IFERROR(VLOOKUP(V603,TD!$N$33:$O$45,2,0)," ")</f>
        <v>Servicio de Implementación Sistemas de Gestión</v>
      </c>
      <c r="X603" s="161" t="str">
        <f>CONCATENATE(V603,"_",W603)</f>
        <v>023_Servicio de Implementación Sistemas de Gestión</v>
      </c>
      <c r="Y603" s="161" t="str">
        <f>CONCATENATE(U603," ",X603)</f>
        <v>13-Servicios para la planeación y sistemas de gestión y comunicación estratégica 023_Servicio de Implementación Sistemas de Gestión</v>
      </c>
      <c r="Z603" s="160" t="str">
        <f>CONCATENATE(P603,Q603,R603,S603,V603)</f>
        <v>O23011745992024020713023</v>
      </c>
      <c r="AA603" s="160" t="str">
        <f>IFERROR(VLOOKUP(Y603,TD!$K$46:$L$64,2,0)," ")</f>
        <v>PM/0131/0113/45990230207</v>
      </c>
      <c r="AB603" s="53" t="s">
        <v>138</v>
      </c>
      <c r="AC603" s="162" t="s">
        <v>204</v>
      </c>
    </row>
    <row r="604" spans="2:29" s="28" customFormat="1" ht="99" customHeight="1" x14ac:dyDescent="0.35">
      <c r="B604" s="77">
        <v>20250624</v>
      </c>
      <c r="C604" s="50" t="s">
        <v>209</v>
      </c>
      <c r="D604" s="158" t="s">
        <v>165</v>
      </c>
      <c r="E604" s="51" t="s">
        <v>495</v>
      </c>
      <c r="F604" s="158" t="s">
        <v>878</v>
      </c>
      <c r="G604" s="158" t="s">
        <v>156</v>
      </c>
      <c r="H604" s="97">
        <v>80111600</v>
      </c>
      <c r="I604" s="159">
        <v>2</v>
      </c>
      <c r="J604" s="159">
        <v>8</v>
      </c>
      <c r="K604" s="52">
        <v>0</v>
      </c>
      <c r="L604" s="153">
        <v>29600000</v>
      </c>
      <c r="M604" s="158" t="s">
        <v>473</v>
      </c>
      <c r="N604" s="53" t="s">
        <v>113</v>
      </c>
      <c r="O604" s="51" t="s">
        <v>229</v>
      </c>
      <c r="P604" s="160" t="str">
        <f>IFERROR(VLOOKUP(C604,TD!$B$32:$F$36,2,0)," ")</f>
        <v>O230117</v>
      </c>
      <c r="Q604" s="160" t="str">
        <f>IFERROR(VLOOKUP(C604,TD!$B$32:$F$36,3,0)," ")</f>
        <v>4503</v>
      </c>
      <c r="R604" s="160">
        <f>IFERROR(VLOOKUP(C604,TD!$B$32:$F$36,4,0)," ")</f>
        <v>20240255</v>
      </c>
      <c r="S604" s="51" t="s">
        <v>183</v>
      </c>
      <c r="T604" s="160" t="str">
        <f>IFERROR(VLOOKUP(S604,TD!$J$33:$K$43,2,0)," ")</f>
        <v>Servicio de formación en gestión del riesgo de incendios para el personal UAECOB</v>
      </c>
      <c r="U604" s="161" t="str">
        <f>CONCATENATE(S604,"-",T604)</f>
        <v>07-Servicio de formación en gestión del riesgo de incendios para el personal UAECOB</v>
      </c>
      <c r="V604" s="51" t="s">
        <v>233</v>
      </c>
      <c r="W604" s="160" t="str">
        <f>IFERROR(VLOOKUP(V604,TD!$N$33:$O$45,2,0)," ")</f>
        <v>Servicio de educación informal</v>
      </c>
      <c r="X604" s="161" t="str">
        <f>CONCATENATE(V604,"_",W604)</f>
        <v>002_Servicio de educación informal</v>
      </c>
      <c r="Y604" s="161" t="str">
        <f>CONCATENATE(U604," ",X604)</f>
        <v>07-Servicio de formación en gestión del riesgo de incendios para el personal UAECOB 002_Servicio de educación informal</v>
      </c>
      <c r="Z604" s="160" t="str">
        <f>CONCATENATE(P604,Q604,R604,S604,V604)</f>
        <v>O23011745032024025507002</v>
      </c>
      <c r="AA604" s="160" t="str">
        <f>IFERROR(VLOOKUP(Y604,TD!$K$46:$L$64,2,0)," ")</f>
        <v>PM/0131/0107/45030020255</v>
      </c>
      <c r="AB604" s="53" t="s">
        <v>138</v>
      </c>
      <c r="AC604" s="162" t="s">
        <v>204</v>
      </c>
    </row>
    <row r="605" spans="2:29" s="28" customFormat="1" ht="99" customHeight="1" x14ac:dyDescent="0.35">
      <c r="B605" s="77">
        <v>20250625</v>
      </c>
      <c r="C605" s="50" t="s">
        <v>209</v>
      </c>
      <c r="D605" s="158" t="s">
        <v>165</v>
      </c>
      <c r="E605" s="51" t="s">
        <v>495</v>
      </c>
      <c r="F605" s="158" t="s">
        <v>879</v>
      </c>
      <c r="G605" s="158" t="s">
        <v>156</v>
      </c>
      <c r="H605" s="97">
        <v>80111600</v>
      </c>
      <c r="I605" s="159">
        <v>2</v>
      </c>
      <c r="J605" s="159">
        <v>8</v>
      </c>
      <c r="K605" s="52">
        <v>0</v>
      </c>
      <c r="L605" s="153">
        <v>29600000</v>
      </c>
      <c r="M605" s="158" t="s">
        <v>473</v>
      </c>
      <c r="N605" s="53" t="s">
        <v>113</v>
      </c>
      <c r="O605" s="51" t="s">
        <v>229</v>
      </c>
      <c r="P605" s="160" t="str">
        <f>IFERROR(VLOOKUP(C605,TD!$B$32:$F$36,2,0)," ")</f>
        <v>O230117</v>
      </c>
      <c r="Q605" s="160" t="str">
        <f>IFERROR(VLOOKUP(C605,TD!$B$32:$F$36,3,0)," ")</f>
        <v>4503</v>
      </c>
      <c r="R605" s="160">
        <f>IFERROR(VLOOKUP(C605,TD!$B$32:$F$36,4,0)," ")</f>
        <v>20240255</v>
      </c>
      <c r="S605" s="51" t="s">
        <v>183</v>
      </c>
      <c r="T605" s="160" t="str">
        <f>IFERROR(VLOOKUP(S605,TD!$J$33:$K$43,2,0)," ")</f>
        <v>Servicio de formación en gestión del riesgo de incendios para el personal UAECOB</v>
      </c>
      <c r="U605" s="161" t="str">
        <f>CONCATENATE(S605,"-",T605)</f>
        <v>07-Servicio de formación en gestión del riesgo de incendios para el personal UAECOB</v>
      </c>
      <c r="V605" s="51" t="s">
        <v>233</v>
      </c>
      <c r="W605" s="160" t="str">
        <f>IFERROR(VLOOKUP(V605,TD!$N$33:$O$45,2,0)," ")</f>
        <v>Servicio de educación informal</v>
      </c>
      <c r="X605" s="161" t="str">
        <f>CONCATENATE(V605,"_",W605)</f>
        <v>002_Servicio de educación informal</v>
      </c>
      <c r="Y605" s="161" t="str">
        <f>CONCATENATE(U605," ",X605)</f>
        <v>07-Servicio de formación en gestión del riesgo de incendios para el personal UAECOB 002_Servicio de educación informal</v>
      </c>
      <c r="Z605" s="160" t="str">
        <f>CONCATENATE(P605,Q605,R605,S605,V605)</f>
        <v>O23011745032024025507002</v>
      </c>
      <c r="AA605" s="160" t="str">
        <f>IFERROR(VLOOKUP(Y605,TD!$K$46:$L$64,2,0)," ")</f>
        <v>PM/0131/0107/45030020255</v>
      </c>
      <c r="AB605" s="53" t="s">
        <v>138</v>
      </c>
      <c r="AC605" s="162" t="s">
        <v>204</v>
      </c>
    </row>
    <row r="606" spans="2:29" s="28" customFormat="1" ht="99" customHeight="1" x14ac:dyDescent="0.35">
      <c r="B606" s="77">
        <v>20250626</v>
      </c>
      <c r="C606" s="50" t="s">
        <v>209</v>
      </c>
      <c r="D606" s="158" t="s">
        <v>168</v>
      </c>
      <c r="E606" s="51" t="s">
        <v>640</v>
      </c>
      <c r="F606" s="158" t="s">
        <v>885</v>
      </c>
      <c r="G606" s="158" t="s">
        <v>156</v>
      </c>
      <c r="H606" s="97">
        <v>80111600</v>
      </c>
      <c r="I606" s="159">
        <v>2</v>
      </c>
      <c r="J606" s="159">
        <v>6</v>
      </c>
      <c r="K606" s="52">
        <v>0</v>
      </c>
      <c r="L606" s="153">
        <v>21000000</v>
      </c>
      <c r="M606" s="158" t="s">
        <v>473</v>
      </c>
      <c r="N606" s="53" t="s">
        <v>113</v>
      </c>
      <c r="O606" s="51" t="s">
        <v>224</v>
      </c>
      <c r="P606" s="160" t="str">
        <f>IFERROR(VLOOKUP(C606,TD!$B$32:$F$36,2,0)," ")</f>
        <v>O230117</v>
      </c>
      <c r="Q606" s="160" t="str">
        <f>IFERROR(VLOOKUP(C606,TD!$B$32:$F$36,3,0)," ")</f>
        <v>4503</v>
      </c>
      <c r="R606" s="160">
        <f>IFERROR(VLOOKUP(C606,TD!$B$32:$F$36,4,0)," ")</f>
        <v>20240255</v>
      </c>
      <c r="S606" s="51" t="s">
        <v>191</v>
      </c>
      <c r="T606" s="160" t="str">
        <f>IFERROR(VLOOKUP(S606,TD!$J$33:$K$43,2,0)," ")</f>
        <v>Servicio de apoyo   logístico  en eventos operativos y/o emergencias.</v>
      </c>
      <c r="U606" s="161" t="str">
        <f>CONCATENATE(S606,"-",T606)</f>
        <v>12-Servicio de apoyo   logístico  en eventos operativos y/o emergencias.</v>
      </c>
      <c r="V606" s="51" t="s">
        <v>232</v>
      </c>
      <c r="W606" s="160" t="str">
        <f>IFERROR(VLOOKUP(V606,TD!$N$33:$O$45,2,0)," ")</f>
        <v>Servicio de atención a emergencias y desastres</v>
      </c>
      <c r="X606" s="161" t="str">
        <f>CONCATENATE(V606,"_",W606)</f>
        <v>004_Servicio de atención a emergencias y desastres</v>
      </c>
      <c r="Y606" s="161" t="str">
        <f>CONCATENATE(U606," ",X606)</f>
        <v>12-Servicio de apoyo   logístico  en eventos operativos y/o emergencias. 004_Servicio de atención a emergencias y desastres</v>
      </c>
      <c r="Z606" s="160" t="str">
        <f>CONCATENATE(P606,Q606,R606,S606,V606)</f>
        <v>O23011745032024025512004</v>
      </c>
      <c r="AA606" s="160" t="str">
        <f>IFERROR(VLOOKUP(Y606,TD!$K$46:$L$64,2,0)," ")</f>
        <v>PM/0131/0112/45030040255</v>
      </c>
      <c r="AB606" s="53" t="s">
        <v>138</v>
      </c>
      <c r="AC606" s="162" t="s">
        <v>204</v>
      </c>
    </row>
    <row r="607" spans="2:29" s="28" customFormat="1" ht="99" customHeight="1" x14ac:dyDescent="0.35">
      <c r="B607" s="77">
        <v>20250627</v>
      </c>
      <c r="C607" s="50" t="s">
        <v>209</v>
      </c>
      <c r="D607" s="158" t="s">
        <v>168</v>
      </c>
      <c r="E607" s="51" t="s">
        <v>640</v>
      </c>
      <c r="F607" s="158" t="s">
        <v>886</v>
      </c>
      <c r="G607" s="158" t="s">
        <v>96</v>
      </c>
      <c r="H607" s="97" t="s">
        <v>520</v>
      </c>
      <c r="I607" s="159">
        <v>3</v>
      </c>
      <c r="J607" s="159">
        <v>12</v>
      </c>
      <c r="K607" s="52">
        <v>0</v>
      </c>
      <c r="L607" s="153">
        <v>4652258</v>
      </c>
      <c r="M607" s="158" t="s">
        <v>473</v>
      </c>
      <c r="N607" s="53" t="s">
        <v>113</v>
      </c>
      <c r="O607" s="51" t="s">
        <v>224</v>
      </c>
      <c r="P607" s="160" t="str">
        <f>IFERROR(VLOOKUP(C607,TD!$B$32:$F$36,2,0)," ")</f>
        <v>O230117</v>
      </c>
      <c r="Q607" s="160" t="str">
        <f>IFERROR(VLOOKUP(C607,TD!$B$32:$F$36,3,0)," ")</f>
        <v>4503</v>
      </c>
      <c r="R607" s="160">
        <f>IFERROR(VLOOKUP(C607,TD!$B$32:$F$36,4,0)," ")</f>
        <v>20240255</v>
      </c>
      <c r="S607" s="51" t="s">
        <v>187</v>
      </c>
      <c r="T607" s="160" t="str">
        <f>IFERROR(VLOOKUP(S607,TD!$J$33:$K$43,2,0)," ")</f>
        <v>Servicio de mantenimiento, dotación (HEA´s y equipo menor) y adquisición de vehiculos   especializados para la atención de emergencias.</v>
      </c>
      <c r="U607" s="161" t="str">
        <f>CONCATENATE(S607,"-",T607)</f>
        <v>09-Servicio de mantenimiento, dotación (HEA´s y equipo menor) y adquisición de vehiculos   especializados para la atención de emergencias.</v>
      </c>
      <c r="V607" s="51" t="s">
        <v>232</v>
      </c>
      <c r="W607" s="160" t="str">
        <f>IFERROR(VLOOKUP(V607,TD!$N$33:$O$45,2,0)," ")</f>
        <v>Servicio de atención a emergencias y desastres</v>
      </c>
      <c r="X607" s="161" t="str">
        <f>CONCATENATE(V607,"_",W607)</f>
        <v>004_Servicio de atención a emergencias y desastres</v>
      </c>
      <c r="Y607" s="161" t="str">
        <f>CONCATENATE(U607," ",X607)</f>
        <v>09-Servicio de mantenimiento, dotación (HEA´s y equipo menor) y adquisición de vehiculos   especializados para la atención de emergencias. 004_Servicio de atención a emergencias y desastres</v>
      </c>
      <c r="Z607" s="160" t="str">
        <f>CONCATENATE(P607,Q607,R607,S607,V607)</f>
        <v>O23011745032024025509004</v>
      </c>
      <c r="AA607" s="160" t="str">
        <f>IFERROR(VLOOKUP(Y607,TD!$K$46:$L$64,2,0)," ")</f>
        <v>PM/0131/0109/45030040255</v>
      </c>
      <c r="AB607" s="53" t="s">
        <v>147</v>
      </c>
      <c r="AC607" s="162" t="s">
        <v>205</v>
      </c>
    </row>
    <row r="608" spans="2:29" s="28" customFormat="1" ht="99" customHeight="1" x14ac:dyDescent="0.35">
      <c r="B608" s="77">
        <v>20250628</v>
      </c>
      <c r="C608" s="50" t="s">
        <v>209</v>
      </c>
      <c r="D608" s="158" t="s">
        <v>167</v>
      </c>
      <c r="E608" s="51" t="s">
        <v>527</v>
      </c>
      <c r="F608" s="158" t="s">
        <v>890</v>
      </c>
      <c r="G608" s="158" t="s">
        <v>96</v>
      </c>
      <c r="H608" s="97" t="s">
        <v>543</v>
      </c>
      <c r="I608" s="159">
        <v>2</v>
      </c>
      <c r="J608" s="159">
        <v>12</v>
      </c>
      <c r="K608" s="52">
        <v>0</v>
      </c>
      <c r="L608" s="153">
        <v>190000000</v>
      </c>
      <c r="M608" s="158" t="s">
        <v>473</v>
      </c>
      <c r="N608" s="53" t="s">
        <v>90</v>
      </c>
      <c r="O608" s="51" t="s">
        <v>221</v>
      </c>
      <c r="P608" s="160" t="str">
        <f>IFERROR(VLOOKUP(C608,TD!$B$32:$F$36,2,0)," ")</f>
        <v>O230117</v>
      </c>
      <c r="Q608" s="160" t="str">
        <f>IFERROR(VLOOKUP(C608,TD!$B$32:$F$36,3,0)," ")</f>
        <v>4503</v>
      </c>
      <c r="R608" s="160">
        <f>IFERROR(VLOOKUP(C608,TD!$B$32:$F$36,4,0)," ")</f>
        <v>20240255</v>
      </c>
      <c r="S608" s="51" t="s">
        <v>179</v>
      </c>
      <c r="T608" s="160" t="str">
        <f>IFERROR(VLOOKUP(S608,TD!$J$33:$K$43,2,0)," ")</f>
        <v>Infraestructura Tecnológica   (Sistemas de Información y Tecnologia)</v>
      </c>
      <c r="U608" s="161" t="str">
        <f>CONCATENATE(S608,"-",T608)</f>
        <v>11-Infraestructura Tecnológica   (Sistemas de Información y Tecnologia)</v>
      </c>
      <c r="V608" s="51" t="s">
        <v>235</v>
      </c>
      <c r="W608" s="160" t="str">
        <f>IFERROR(VLOOKUP(V608,TD!$N$33:$O$45,2,0)," ")</f>
        <v>"Servicio de monitoreo y seguimiento para la gestión del riesgo"</v>
      </c>
      <c r="X608" s="161" t="str">
        <f>CONCATENATE(V608,"_",W608)</f>
        <v>018_"Servicio de monitoreo y seguimiento para la gestión del riesgo"</v>
      </c>
      <c r="Y608" s="161" t="str">
        <f>CONCATENATE(U608," ",X608)</f>
        <v>11-Infraestructura Tecnológica   (Sistemas de Información y Tecnologia) 018_"Servicio de monitoreo y seguimiento para la gestión del riesgo"</v>
      </c>
      <c r="Z608" s="160" t="str">
        <f>CONCATENATE(P608,Q608,R608,S608,V608)</f>
        <v>O23011745032024025511018</v>
      </c>
      <c r="AA608" s="160" t="str">
        <f>IFERROR(VLOOKUP(Y608,TD!$K$46:$L$64,2,0)," ")</f>
        <v>PM/0131/0111/45030180255</v>
      </c>
      <c r="AB608" s="53" t="s">
        <v>138</v>
      </c>
      <c r="AC608" s="162" t="s">
        <v>205</v>
      </c>
    </row>
    <row r="609" spans="2:29" s="28" customFormat="1" ht="99" customHeight="1" x14ac:dyDescent="0.35">
      <c r="B609" s="186">
        <v>20250629</v>
      </c>
      <c r="C609" s="187" t="s">
        <v>209</v>
      </c>
      <c r="D609" s="188" t="s">
        <v>167</v>
      </c>
      <c r="E609" s="189" t="s">
        <v>527</v>
      </c>
      <c r="F609" s="188" t="s">
        <v>891</v>
      </c>
      <c r="G609" s="188" t="s">
        <v>96</v>
      </c>
      <c r="H609" s="190" t="s">
        <v>375</v>
      </c>
      <c r="I609" s="191">
        <v>2</v>
      </c>
      <c r="J609" s="191">
        <v>3</v>
      </c>
      <c r="K609" s="192">
        <v>0</v>
      </c>
      <c r="L609" s="193">
        <f>215000000-1410000</f>
        <v>213590000</v>
      </c>
      <c r="M609" s="188" t="s">
        <v>473</v>
      </c>
      <c r="N609" s="194" t="s">
        <v>85</v>
      </c>
      <c r="O609" s="189" t="s">
        <v>221</v>
      </c>
      <c r="P609" s="195" t="str">
        <f>IFERROR(VLOOKUP(C609,TD!$B$32:$F$36,2,0)," ")</f>
        <v>O230117</v>
      </c>
      <c r="Q609" s="195" t="str">
        <f>IFERROR(VLOOKUP(C609,TD!$B$32:$F$36,3,0)," ")</f>
        <v>4503</v>
      </c>
      <c r="R609" s="195">
        <f>IFERROR(VLOOKUP(C609,TD!$B$32:$F$36,4,0)," ")</f>
        <v>20240255</v>
      </c>
      <c r="S609" s="189" t="s">
        <v>177</v>
      </c>
      <c r="T609" s="195" t="str">
        <f>IFERROR(VLOOKUP(S609,TD!$J$33:$K$43,2,0)," ")</f>
        <v>Servicio de capacitaciones en gestión del riesgo de incendios  a la ciudadania.</v>
      </c>
      <c r="U609" s="161" t="str">
        <f>CONCATENATE(S609,"-",T609)</f>
        <v>05-Servicio de capacitaciones en gestión del riesgo de incendios  a la ciudadania.</v>
      </c>
      <c r="V609" s="189" t="s">
        <v>233</v>
      </c>
      <c r="W609" s="195" t="str">
        <f>IFERROR(VLOOKUP(V609,TD!$N$33:$O$45,2,0)," ")</f>
        <v>Servicio de educación informal</v>
      </c>
      <c r="X609" s="161" t="str">
        <f>CONCATENATE(V609,"_",W609)</f>
        <v>002_Servicio de educación informal</v>
      </c>
      <c r="Y609" s="161" t="str">
        <f>CONCATENATE(U609," ",X609)</f>
        <v>05-Servicio de capacitaciones en gestión del riesgo de incendios  a la ciudadania. 002_Servicio de educación informal</v>
      </c>
      <c r="Z609" s="195" t="str">
        <f>CONCATENATE(P609,Q609,R609,S609,V609)</f>
        <v>O23011745032024025505002</v>
      </c>
      <c r="AA609" s="195" t="str">
        <f>IFERROR(VLOOKUP(Y609,TD!$K$46:$L$64,2,0)," ")</f>
        <v>PM/0131/0105/45030020255</v>
      </c>
      <c r="AB609" s="194" t="s">
        <v>138</v>
      </c>
      <c r="AC609" s="196" t="s">
        <v>205</v>
      </c>
    </row>
    <row r="610" spans="2:29" s="28" customFormat="1" ht="99" customHeight="1" x14ac:dyDescent="0.35">
      <c r="B610" s="77">
        <v>20250630</v>
      </c>
      <c r="C610" s="50" t="s">
        <v>209</v>
      </c>
      <c r="D610" s="158" t="s">
        <v>169</v>
      </c>
      <c r="E610" s="51" t="s">
        <v>545</v>
      </c>
      <c r="F610" s="158" t="s">
        <v>894</v>
      </c>
      <c r="G610" s="158" t="s">
        <v>155</v>
      </c>
      <c r="H610" s="97">
        <v>80111600</v>
      </c>
      <c r="I610" s="159">
        <v>2</v>
      </c>
      <c r="J610" s="159">
        <v>10</v>
      </c>
      <c r="K610" s="52">
        <v>0</v>
      </c>
      <c r="L610" s="153">
        <v>80000000</v>
      </c>
      <c r="M610" s="158" t="s">
        <v>473</v>
      </c>
      <c r="N610" s="53" t="s">
        <v>113</v>
      </c>
      <c r="O610" s="51" t="s">
        <v>222</v>
      </c>
      <c r="P610" s="160" t="str">
        <f>IFERROR(VLOOKUP(C610,TD!$B$32:$F$36,2,0)," ")</f>
        <v>O230117</v>
      </c>
      <c r="Q610" s="160" t="str">
        <f>IFERROR(VLOOKUP(C610,TD!$B$32:$F$36,3,0)," ")</f>
        <v>4503</v>
      </c>
      <c r="R610" s="160">
        <f>IFERROR(VLOOKUP(C610,TD!$B$32:$F$36,4,0)," ")</f>
        <v>20240255</v>
      </c>
      <c r="S610" s="51" t="s">
        <v>175</v>
      </c>
      <c r="T610" s="160" t="str">
        <f>IFERROR(VLOOKUP(S610,TD!$J$33:$K$43,2,0)," ")</f>
        <v>Servicio de atención a incidentes y emergencias.</v>
      </c>
      <c r="U610" s="161" t="str">
        <f>CONCATENATE(S610,"-",T610)</f>
        <v>04-Servicio de atención a incidentes y emergencias.</v>
      </c>
      <c r="V610" s="51" t="s">
        <v>232</v>
      </c>
      <c r="W610" s="160" t="str">
        <f>IFERROR(VLOOKUP(V610,TD!$N$33:$O$45,2,0)," ")</f>
        <v>Servicio de atención a emergencias y desastres</v>
      </c>
      <c r="X610" s="161" t="str">
        <f>CONCATENATE(V610,"_",W610)</f>
        <v>004_Servicio de atención a emergencias y desastres</v>
      </c>
      <c r="Y610" s="161" t="str">
        <f>CONCATENATE(U610," ",X610)</f>
        <v>04-Servicio de atención a incidentes y emergencias. 004_Servicio de atención a emergencias y desastres</v>
      </c>
      <c r="Z610" s="160" t="str">
        <f>CONCATENATE(P610,Q610,R610,S610,V610)</f>
        <v>O23011745032024025504004</v>
      </c>
      <c r="AA610" s="160" t="str">
        <f>IFERROR(VLOOKUP(Y610,TD!$K$46:$L$64,2,0)," ")</f>
        <v>PM/0131/0104/45030040255</v>
      </c>
      <c r="AB610" s="53" t="s">
        <v>138</v>
      </c>
      <c r="AC610" s="162" t="s">
        <v>204</v>
      </c>
    </row>
    <row r="611" spans="2:29" s="28" customFormat="1" ht="99" customHeight="1" x14ac:dyDescent="0.35">
      <c r="B611" s="77">
        <v>20250631</v>
      </c>
      <c r="C611" s="50" t="s">
        <v>209</v>
      </c>
      <c r="D611" s="158" t="s">
        <v>169</v>
      </c>
      <c r="E611" s="51" t="s">
        <v>545</v>
      </c>
      <c r="F611" s="158" t="s">
        <v>895</v>
      </c>
      <c r="G611" s="158" t="s">
        <v>155</v>
      </c>
      <c r="H611" s="97">
        <v>80111600</v>
      </c>
      <c r="I611" s="159">
        <v>2</v>
      </c>
      <c r="J611" s="159">
        <v>10</v>
      </c>
      <c r="K611" s="52">
        <v>0</v>
      </c>
      <c r="L611" s="153">
        <v>70000000</v>
      </c>
      <c r="M611" s="158" t="s">
        <v>473</v>
      </c>
      <c r="N611" s="53" t="s">
        <v>113</v>
      </c>
      <c r="O611" s="51" t="s">
        <v>222</v>
      </c>
      <c r="P611" s="160" t="str">
        <f>IFERROR(VLOOKUP(C611,TD!$B$32:$F$36,2,0)," ")</f>
        <v>O230117</v>
      </c>
      <c r="Q611" s="160" t="str">
        <f>IFERROR(VLOOKUP(C611,TD!$B$32:$F$36,3,0)," ")</f>
        <v>4503</v>
      </c>
      <c r="R611" s="160">
        <f>IFERROR(VLOOKUP(C611,TD!$B$32:$F$36,4,0)," ")</f>
        <v>20240255</v>
      </c>
      <c r="S611" s="51" t="s">
        <v>175</v>
      </c>
      <c r="T611" s="160" t="str">
        <f>IFERROR(VLOOKUP(S611,TD!$J$33:$K$43,2,0)," ")</f>
        <v>Servicio de atención a incidentes y emergencias.</v>
      </c>
      <c r="U611" s="161" t="str">
        <f>CONCATENATE(S611,"-",T611)</f>
        <v>04-Servicio de atención a incidentes y emergencias.</v>
      </c>
      <c r="V611" s="51" t="s">
        <v>232</v>
      </c>
      <c r="W611" s="160" t="str">
        <f>IFERROR(VLOOKUP(V611,TD!$N$33:$O$45,2,0)," ")</f>
        <v>Servicio de atención a emergencias y desastres</v>
      </c>
      <c r="X611" s="161" t="str">
        <f>CONCATENATE(V611,"_",W611)</f>
        <v>004_Servicio de atención a emergencias y desastres</v>
      </c>
      <c r="Y611" s="161" t="str">
        <f>CONCATENATE(U611," ",X611)</f>
        <v>04-Servicio de atención a incidentes y emergencias. 004_Servicio de atención a emergencias y desastres</v>
      </c>
      <c r="Z611" s="160" t="str">
        <f>CONCATENATE(P611,Q611,R611,S611,V611)</f>
        <v>O23011745032024025504004</v>
      </c>
      <c r="AA611" s="160" t="str">
        <f>IFERROR(VLOOKUP(Y611,TD!$K$46:$L$64,2,0)," ")</f>
        <v>PM/0131/0104/45030040255</v>
      </c>
      <c r="AB611" s="53" t="s">
        <v>138</v>
      </c>
      <c r="AC611" s="162" t="s">
        <v>204</v>
      </c>
    </row>
    <row r="612" spans="2:29" s="28" customFormat="1" ht="99" customHeight="1" x14ac:dyDescent="0.35">
      <c r="B612" s="77">
        <v>20250632</v>
      </c>
      <c r="C612" s="50" t="s">
        <v>209</v>
      </c>
      <c r="D612" s="158" t="s">
        <v>169</v>
      </c>
      <c r="E612" s="51" t="s">
        <v>545</v>
      </c>
      <c r="F612" s="158" t="s">
        <v>896</v>
      </c>
      <c r="G612" s="158" t="s">
        <v>155</v>
      </c>
      <c r="H612" s="97">
        <v>80111600</v>
      </c>
      <c r="I612" s="159">
        <v>2</v>
      </c>
      <c r="J612" s="159">
        <v>10</v>
      </c>
      <c r="K612" s="52">
        <v>0</v>
      </c>
      <c r="L612" s="153">
        <v>70000000</v>
      </c>
      <c r="M612" s="158" t="s">
        <v>473</v>
      </c>
      <c r="N612" s="53" t="s">
        <v>113</v>
      </c>
      <c r="O612" s="51" t="s">
        <v>222</v>
      </c>
      <c r="P612" s="160" t="str">
        <f>IFERROR(VLOOKUP(C612,TD!$B$32:$F$36,2,0)," ")</f>
        <v>O230117</v>
      </c>
      <c r="Q612" s="160" t="str">
        <f>IFERROR(VLOOKUP(C612,TD!$B$32:$F$36,3,0)," ")</f>
        <v>4503</v>
      </c>
      <c r="R612" s="160">
        <f>IFERROR(VLOOKUP(C612,TD!$B$32:$F$36,4,0)," ")</f>
        <v>20240255</v>
      </c>
      <c r="S612" s="51" t="s">
        <v>175</v>
      </c>
      <c r="T612" s="160" t="str">
        <f>IFERROR(VLOOKUP(S612,TD!$J$33:$K$43,2,0)," ")</f>
        <v>Servicio de atención a incidentes y emergencias.</v>
      </c>
      <c r="U612" s="161" t="str">
        <f>CONCATENATE(S612,"-",T612)</f>
        <v>04-Servicio de atención a incidentes y emergencias.</v>
      </c>
      <c r="V612" s="51" t="s">
        <v>232</v>
      </c>
      <c r="W612" s="160" t="str">
        <f>IFERROR(VLOOKUP(V612,TD!$N$33:$O$45,2,0)," ")</f>
        <v>Servicio de atención a emergencias y desastres</v>
      </c>
      <c r="X612" s="161" t="str">
        <f>CONCATENATE(V612,"_",W612)</f>
        <v>004_Servicio de atención a emergencias y desastres</v>
      </c>
      <c r="Y612" s="161" t="str">
        <f>CONCATENATE(U612," ",X612)</f>
        <v>04-Servicio de atención a incidentes y emergencias. 004_Servicio de atención a emergencias y desastres</v>
      </c>
      <c r="Z612" s="160" t="str">
        <f>CONCATENATE(P612,Q612,R612,S612,V612)</f>
        <v>O23011745032024025504004</v>
      </c>
      <c r="AA612" s="160" t="str">
        <f>IFERROR(VLOOKUP(Y612,TD!$K$46:$L$64,2,0)," ")</f>
        <v>PM/0131/0104/45030040255</v>
      </c>
      <c r="AB612" s="53" t="s">
        <v>138</v>
      </c>
      <c r="AC612" s="162" t="s">
        <v>204</v>
      </c>
    </row>
    <row r="613" spans="2:29" s="28" customFormat="1" ht="99" customHeight="1" x14ac:dyDescent="0.35">
      <c r="B613" s="77">
        <v>20250633</v>
      </c>
      <c r="C613" s="50" t="s">
        <v>209</v>
      </c>
      <c r="D613" s="158" t="s">
        <v>169</v>
      </c>
      <c r="E613" s="51" t="s">
        <v>545</v>
      </c>
      <c r="F613" s="158" t="s">
        <v>897</v>
      </c>
      <c r="G613" s="158" t="s">
        <v>155</v>
      </c>
      <c r="H613" s="97">
        <v>80111600</v>
      </c>
      <c r="I613" s="159">
        <v>2</v>
      </c>
      <c r="J613" s="159">
        <v>10</v>
      </c>
      <c r="K613" s="52">
        <v>0</v>
      </c>
      <c r="L613" s="153">
        <v>65000000</v>
      </c>
      <c r="M613" s="158" t="s">
        <v>473</v>
      </c>
      <c r="N613" s="53" t="s">
        <v>113</v>
      </c>
      <c r="O613" s="51" t="s">
        <v>222</v>
      </c>
      <c r="P613" s="160" t="str">
        <f>IFERROR(VLOOKUP(C613,TD!$B$32:$F$36,2,0)," ")</f>
        <v>O230117</v>
      </c>
      <c r="Q613" s="160" t="str">
        <f>IFERROR(VLOOKUP(C613,TD!$B$32:$F$36,3,0)," ")</f>
        <v>4503</v>
      </c>
      <c r="R613" s="160">
        <f>IFERROR(VLOOKUP(C613,TD!$B$32:$F$36,4,0)," ")</f>
        <v>20240255</v>
      </c>
      <c r="S613" s="51" t="s">
        <v>175</v>
      </c>
      <c r="T613" s="160" t="str">
        <f>IFERROR(VLOOKUP(S613,TD!$J$33:$K$43,2,0)," ")</f>
        <v>Servicio de atención a incidentes y emergencias.</v>
      </c>
      <c r="U613" s="161" t="str">
        <f>CONCATENATE(S613,"-",T613)</f>
        <v>04-Servicio de atención a incidentes y emergencias.</v>
      </c>
      <c r="V613" s="51" t="s">
        <v>232</v>
      </c>
      <c r="W613" s="160" t="str">
        <f>IFERROR(VLOOKUP(V613,TD!$N$33:$O$45,2,0)," ")</f>
        <v>Servicio de atención a emergencias y desastres</v>
      </c>
      <c r="X613" s="161" t="str">
        <f>CONCATENATE(V613,"_",W613)</f>
        <v>004_Servicio de atención a emergencias y desastres</v>
      </c>
      <c r="Y613" s="161" t="str">
        <f>CONCATENATE(U613," ",X613)</f>
        <v>04-Servicio de atención a incidentes y emergencias. 004_Servicio de atención a emergencias y desastres</v>
      </c>
      <c r="Z613" s="160" t="str">
        <f>CONCATENATE(P613,Q613,R613,S613,V613)</f>
        <v>O23011745032024025504004</v>
      </c>
      <c r="AA613" s="160" t="str">
        <f>IFERROR(VLOOKUP(Y613,TD!$K$46:$L$64,2,0)," ")</f>
        <v>PM/0131/0104/45030040255</v>
      </c>
      <c r="AB613" s="53" t="s">
        <v>138</v>
      </c>
      <c r="AC613" s="162" t="s">
        <v>204</v>
      </c>
    </row>
    <row r="614" spans="2:29" s="28" customFormat="1" ht="99" customHeight="1" x14ac:dyDescent="0.35">
      <c r="B614" s="77">
        <v>20250634</v>
      </c>
      <c r="C614" s="50" t="s">
        <v>209</v>
      </c>
      <c r="D614" s="158" t="s">
        <v>169</v>
      </c>
      <c r="E614" s="51" t="s">
        <v>545</v>
      </c>
      <c r="F614" s="158" t="s">
        <v>898</v>
      </c>
      <c r="G614" s="158" t="s">
        <v>155</v>
      </c>
      <c r="H614" s="97">
        <v>80111600</v>
      </c>
      <c r="I614" s="159">
        <v>2</v>
      </c>
      <c r="J614" s="159">
        <v>10</v>
      </c>
      <c r="K614" s="52">
        <v>0</v>
      </c>
      <c r="L614" s="153">
        <v>50000000</v>
      </c>
      <c r="M614" s="158" t="s">
        <v>473</v>
      </c>
      <c r="N614" s="53" t="s">
        <v>113</v>
      </c>
      <c r="O614" s="51" t="s">
        <v>222</v>
      </c>
      <c r="P614" s="160" t="str">
        <f>IFERROR(VLOOKUP(C614,TD!$B$32:$F$36,2,0)," ")</f>
        <v>O230117</v>
      </c>
      <c r="Q614" s="160" t="str">
        <f>IFERROR(VLOOKUP(C614,TD!$B$32:$F$36,3,0)," ")</f>
        <v>4503</v>
      </c>
      <c r="R614" s="160">
        <f>IFERROR(VLOOKUP(C614,TD!$B$32:$F$36,4,0)," ")</f>
        <v>20240255</v>
      </c>
      <c r="S614" s="51" t="s">
        <v>175</v>
      </c>
      <c r="T614" s="160" t="str">
        <f>IFERROR(VLOOKUP(S614,TD!$J$33:$K$43,2,0)," ")</f>
        <v>Servicio de atención a incidentes y emergencias.</v>
      </c>
      <c r="U614" s="161" t="str">
        <f>CONCATENATE(S614,"-",T614)</f>
        <v>04-Servicio de atención a incidentes y emergencias.</v>
      </c>
      <c r="V614" s="51" t="s">
        <v>232</v>
      </c>
      <c r="W614" s="160" t="str">
        <f>IFERROR(VLOOKUP(V614,TD!$N$33:$O$45,2,0)," ")</f>
        <v>Servicio de atención a emergencias y desastres</v>
      </c>
      <c r="X614" s="161" t="str">
        <f>CONCATENATE(V614,"_",W614)</f>
        <v>004_Servicio de atención a emergencias y desastres</v>
      </c>
      <c r="Y614" s="161" t="str">
        <f>CONCATENATE(U614," ",X614)</f>
        <v>04-Servicio de atención a incidentes y emergencias. 004_Servicio de atención a emergencias y desastres</v>
      </c>
      <c r="Z614" s="160" t="str">
        <f>CONCATENATE(P614,Q614,R614,S614,V614)</f>
        <v>O23011745032024025504004</v>
      </c>
      <c r="AA614" s="160" t="str">
        <f>IFERROR(VLOOKUP(Y614,TD!$K$46:$L$64,2,0)," ")</f>
        <v>PM/0131/0104/45030040255</v>
      </c>
      <c r="AB614" s="53" t="s">
        <v>138</v>
      </c>
      <c r="AC614" s="162" t="s">
        <v>204</v>
      </c>
    </row>
    <row r="615" spans="2:29" s="28" customFormat="1" ht="99" customHeight="1" x14ac:dyDescent="0.35">
      <c r="B615" s="77">
        <v>20250635</v>
      </c>
      <c r="C615" s="50" t="s">
        <v>209</v>
      </c>
      <c r="D615" s="158" t="s">
        <v>169</v>
      </c>
      <c r="E615" s="51" t="s">
        <v>545</v>
      </c>
      <c r="F615" s="158" t="s">
        <v>899</v>
      </c>
      <c r="G615" s="158" t="s">
        <v>155</v>
      </c>
      <c r="H615" s="97">
        <v>80111600</v>
      </c>
      <c r="I615" s="159">
        <v>2</v>
      </c>
      <c r="J615" s="159">
        <v>9</v>
      </c>
      <c r="K615" s="52">
        <v>15</v>
      </c>
      <c r="L615" s="153">
        <v>70000000</v>
      </c>
      <c r="M615" s="158" t="s">
        <v>473</v>
      </c>
      <c r="N615" s="53" t="s">
        <v>113</v>
      </c>
      <c r="O615" s="51" t="s">
        <v>222</v>
      </c>
      <c r="P615" s="160" t="str">
        <f>IFERROR(VLOOKUP(C615,TD!$B$32:$F$36,2,0)," ")</f>
        <v>O230117</v>
      </c>
      <c r="Q615" s="160" t="str">
        <f>IFERROR(VLOOKUP(C615,TD!$B$32:$F$36,3,0)," ")</f>
        <v>4503</v>
      </c>
      <c r="R615" s="160">
        <f>IFERROR(VLOOKUP(C615,TD!$B$32:$F$36,4,0)," ")</f>
        <v>20240255</v>
      </c>
      <c r="S615" s="51" t="s">
        <v>175</v>
      </c>
      <c r="T615" s="160" t="str">
        <f>IFERROR(VLOOKUP(S615,TD!$J$33:$K$43,2,0)," ")</f>
        <v>Servicio de atención a incidentes y emergencias.</v>
      </c>
      <c r="U615" s="161" t="str">
        <f>CONCATENATE(S615,"-",T615)</f>
        <v>04-Servicio de atención a incidentes y emergencias.</v>
      </c>
      <c r="V615" s="51" t="s">
        <v>232</v>
      </c>
      <c r="W615" s="160" t="str">
        <f>IFERROR(VLOOKUP(V615,TD!$N$33:$O$45,2,0)," ")</f>
        <v>Servicio de atención a emergencias y desastres</v>
      </c>
      <c r="X615" s="161" t="str">
        <f>CONCATENATE(V615,"_",W615)</f>
        <v>004_Servicio de atención a emergencias y desastres</v>
      </c>
      <c r="Y615" s="161" t="str">
        <f>CONCATENATE(U615," ",X615)</f>
        <v>04-Servicio de atención a incidentes y emergencias. 004_Servicio de atención a emergencias y desastres</v>
      </c>
      <c r="Z615" s="160" t="str">
        <f>CONCATENATE(P615,Q615,R615,S615,V615)</f>
        <v>O23011745032024025504004</v>
      </c>
      <c r="AA615" s="160" t="str">
        <f>IFERROR(VLOOKUP(Y615,TD!$K$46:$L$64,2,0)," ")</f>
        <v>PM/0131/0104/45030040255</v>
      </c>
      <c r="AB615" s="53" t="s">
        <v>138</v>
      </c>
      <c r="AC615" s="162" t="s">
        <v>204</v>
      </c>
    </row>
    <row r="616" spans="2:29" s="28" customFormat="1" ht="99" customHeight="1" x14ac:dyDescent="0.35">
      <c r="B616" s="77">
        <v>20250636</v>
      </c>
      <c r="C616" s="50" t="s">
        <v>209</v>
      </c>
      <c r="D616" s="158" t="s">
        <v>169</v>
      </c>
      <c r="E616" s="51" t="s">
        <v>545</v>
      </c>
      <c r="F616" s="158" t="s">
        <v>900</v>
      </c>
      <c r="G616" s="158" t="s">
        <v>155</v>
      </c>
      <c r="H616" s="97">
        <v>80111600</v>
      </c>
      <c r="I616" s="159">
        <v>2</v>
      </c>
      <c r="J616" s="159">
        <v>10</v>
      </c>
      <c r="K616" s="52">
        <v>0</v>
      </c>
      <c r="L616" s="153">
        <v>70000000</v>
      </c>
      <c r="M616" s="158" t="s">
        <v>473</v>
      </c>
      <c r="N616" s="53" t="s">
        <v>113</v>
      </c>
      <c r="O616" s="51" t="s">
        <v>222</v>
      </c>
      <c r="P616" s="160" t="str">
        <f>IFERROR(VLOOKUP(C616,TD!$B$32:$F$36,2,0)," ")</f>
        <v>O230117</v>
      </c>
      <c r="Q616" s="160" t="str">
        <f>IFERROR(VLOOKUP(C616,TD!$B$32:$F$36,3,0)," ")</f>
        <v>4503</v>
      </c>
      <c r="R616" s="160">
        <f>IFERROR(VLOOKUP(C616,TD!$B$32:$F$36,4,0)," ")</f>
        <v>20240255</v>
      </c>
      <c r="S616" s="51" t="s">
        <v>175</v>
      </c>
      <c r="T616" s="160" t="str">
        <f>IFERROR(VLOOKUP(S616,TD!$J$33:$K$43,2,0)," ")</f>
        <v>Servicio de atención a incidentes y emergencias.</v>
      </c>
      <c r="U616" s="161" t="str">
        <f>CONCATENATE(S616,"-",T616)</f>
        <v>04-Servicio de atención a incidentes y emergencias.</v>
      </c>
      <c r="V616" s="51" t="s">
        <v>232</v>
      </c>
      <c r="W616" s="160" t="str">
        <f>IFERROR(VLOOKUP(V616,TD!$N$33:$O$45,2,0)," ")</f>
        <v>Servicio de atención a emergencias y desastres</v>
      </c>
      <c r="X616" s="161" t="str">
        <f>CONCATENATE(V616,"_",W616)</f>
        <v>004_Servicio de atención a emergencias y desastres</v>
      </c>
      <c r="Y616" s="161" t="str">
        <f>CONCATENATE(U616," ",X616)</f>
        <v>04-Servicio de atención a incidentes y emergencias. 004_Servicio de atención a emergencias y desastres</v>
      </c>
      <c r="Z616" s="160" t="str">
        <f>CONCATENATE(P616,Q616,R616,S616,V616)</f>
        <v>O23011745032024025504004</v>
      </c>
      <c r="AA616" s="160" t="str">
        <f>IFERROR(VLOOKUP(Y616,TD!$K$46:$L$64,2,0)," ")</f>
        <v>PM/0131/0104/45030040255</v>
      </c>
      <c r="AB616" s="53" t="s">
        <v>138</v>
      </c>
      <c r="AC616" s="162" t="s">
        <v>204</v>
      </c>
    </row>
    <row r="617" spans="2:29" s="28" customFormat="1" ht="99" customHeight="1" x14ac:dyDescent="0.35">
      <c r="B617" s="77">
        <v>20250637</v>
      </c>
      <c r="C617" s="50" t="s">
        <v>209</v>
      </c>
      <c r="D617" s="158" t="s">
        <v>169</v>
      </c>
      <c r="E617" s="51" t="s">
        <v>545</v>
      </c>
      <c r="F617" s="158" t="s">
        <v>901</v>
      </c>
      <c r="G617" s="158" t="s">
        <v>156</v>
      </c>
      <c r="H617" s="97">
        <v>80111600</v>
      </c>
      <c r="I617" s="159">
        <v>2</v>
      </c>
      <c r="J617" s="159">
        <v>10</v>
      </c>
      <c r="K617" s="52">
        <v>0</v>
      </c>
      <c r="L617" s="153">
        <v>30000000</v>
      </c>
      <c r="M617" s="158" t="s">
        <v>473</v>
      </c>
      <c r="N617" s="53" t="s">
        <v>113</v>
      </c>
      <c r="O617" s="51" t="s">
        <v>222</v>
      </c>
      <c r="P617" s="160" t="str">
        <f>IFERROR(VLOOKUP(C617,TD!$B$32:$F$36,2,0)," ")</f>
        <v>O230117</v>
      </c>
      <c r="Q617" s="160" t="str">
        <f>IFERROR(VLOOKUP(C617,TD!$B$32:$F$36,3,0)," ")</f>
        <v>4503</v>
      </c>
      <c r="R617" s="160">
        <f>IFERROR(VLOOKUP(C617,TD!$B$32:$F$36,4,0)," ")</f>
        <v>20240255</v>
      </c>
      <c r="S617" s="51" t="s">
        <v>175</v>
      </c>
      <c r="T617" s="160" t="str">
        <f>IFERROR(VLOOKUP(S617,TD!$J$33:$K$43,2,0)," ")</f>
        <v>Servicio de atención a incidentes y emergencias.</v>
      </c>
      <c r="U617" s="161" t="str">
        <f>CONCATENATE(S617,"-",T617)</f>
        <v>04-Servicio de atención a incidentes y emergencias.</v>
      </c>
      <c r="V617" s="51" t="s">
        <v>232</v>
      </c>
      <c r="W617" s="160" t="str">
        <f>IFERROR(VLOOKUP(V617,TD!$N$33:$O$45,2,0)," ")</f>
        <v>Servicio de atención a emergencias y desastres</v>
      </c>
      <c r="X617" s="161" t="str">
        <f>CONCATENATE(V617,"_",W617)</f>
        <v>004_Servicio de atención a emergencias y desastres</v>
      </c>
      <c r="Y617" s="161" t="str">
        <f>CONCATENATE(U617," ",X617)</f>
        <v>04-Servicio de atención a incidentes y emergencias. 004_Servicio de atención a emergencias y desastres</v>
      </c>
      <c r="Z617" s="160" t="str">
        <f>CONCATENATE(P617,Q617,R617,S617,V617)</f>
        <v>O23011745032024025504004</v>
      </c>
      <c r="AA617" s="160" t="str">
        <f>IFERROR(VLOOKUP(Y617,TD!$K$46:$L$64,2,0)," ")</f>
        <v>PM/0131/0104/45030040255</v>
      </c>
      <c r="AB617" s="53" t="s">
        <v>138</v>
      </c>
      <c r="AC617" s="162" t="s">
        <v>204</v>
      </c>
    </row>
    <row r="618" spans="2:29" s="28" customFormat="1" ht="99" customHeight="1" x14ac:dyDescent="0.35">
      <c r="B618" s="77">
        <v>20250638</v>
      </c>
      <c r="C618" s="50" t="s">
        <v>209</v>
      </c>
      <c r="D618" s="158" t="s">
        <v>169</v>
      </c>
      <c r="E618" s="51" t="s">
        <v>545</v>
      </c>
      <c r="F618" s="158" t="s">
        <v>902</v>
      </c>
      <c r="G618" s="158" t="s">
        <v>109</v>
      </c>
      <c r="H618" s="97" t="s">
        <v>904</v>
      </c>
      <c r="I618" s="159">
        <v>5</v>
      </c>
      <c r="J618" s="159">
        <v>3</v>
      </c>
      <c r="K618" s="52">
        <v>0</v>
      </c>
      <c r="L618" s="153">
        <v>64057500</v>
      </c>
      <c r="M618" s="158" t="s">
        <v>473</v>
      </c>
      <c r="N618" s="53" t="s">
        <v>100</v>
      </c>
      <c r="O618" s="51" t="s">
        <v>222</v>
      </c>
      <c r="P618" s="160" t="str">
        <f>IFERROR(VLOOKUP(C618,TD!$B$32:$F$36,2,0)," ")</f>
        <v>O230117</v>
      </c>
      <c r="Q618" s="160" t="str">
        <f>IFERROR(VLOOKUP(C618,TD!$B$32:$F$36,3,0)," ")</f>
        <v>4503</v>
      </c>
      <c r="R618" s="160">
        <f>IFERROR(VLOOKUP(C618,TD!$B$32:$F$36,4,0)," ")</f>
        <v>20240255</v>
      </c>
      <c r="S618" s="51" t="s">
        <v>189</v>
      </c>
      <c r="T618" s="160" t="str">
        <f>IFERROR(VLOOKUP(S618,TD!$J$33:$K$43,2,0)," ")</f>
        <v>Servicio de dotación y equipamento para el personal operativo</v>
      </c>
      <c r="U618" s="161" t="str">
        <f>CONCATENATE(S618,"-",T618)</f>
        <v>10-Servicio de dotación y equipamento para el personal operativo</v>
      </c>
      <c r="V618" s="51" t="s">
        <v>232</v>
      </c>
      <c r="W618" s="160" t="str">
        <f>IFERROR(VLOOKUP(V618,TD!$N$33:$O$45,2,0)," ")</f>
        <v>Servicio de atención a emergencias y desastres</v>
      </c>
      <c r="X618" s="161" t="str">
        <f>CONCATENATE(V618,"_",W618)</f>
        <v>004_Servicio de atención a emergencias y desastres</v>
      </c>
      <c r="Y618" s="161" t="str">
        <f>CONCATENATE(U618," ",X618)</f>
        <v>10-Servicio de dotación y equipamento para el personal operativo 004_Servicio de atención a emergencias y desastres</v>
      </c>
      <c r="Z618" s="160" t="str">
        <f>CONCATENATE(P618,Q618,R618,S618,V618)</f>
        <v>O23011745032024025510004</v>
      </c>
      <c r="AA618" s="160" t="str">
        <f>IFERROR(VLOOKUP(Y618,TD!$K$46:$L$64,2,0)," ")</f>
        <v>PM/0131/0110/45030040255</v>
      </c>
      <c r="AB618" s="53" t="s">
        <v>87</v>
      </c>
      <c r="AC618" s="162" t="s">
        <v>204</v>
      </c>
    </row>
    <row r="619" spans="2:29" s="28" customFormat="1" ht="99" customHeight="1" x14ac:dyDescent="0.35">
      <c r="B619" s="77">
        <v>20250639</v>
      </c>
      <c r="C619" s="50" t="s">
        <v>209</v>
      </c>
      <c r="D619" s="158" t="s">
        <v>169</v>
      </c>
      <c r="E619" s="51" t="s">
        <v>545</v>
      </c>
      <c r="F619" s="158" t="s">
        <v>903</v>
      </c>
      <c r="G619" s="158" t="s">
        <v>109</v>
      </c>
      <c r="H619" s="97" t="s">
        <v>905</v>
      </c>
      <c r="I619" s="159">
        <v>5</v>
      </c>
      <c r="J619" s="159">
        <v>3</v>
      </c>
      <c r="K619" s="52">
        <v>0</v>
      </c>
      <c r="L619" s="153">
        <v>64057500</v>
      </c>
      <c r="M619" s="158" t="s">
        <v>473</v>
      </c>
      <c r="N619" s="53" t="s">
        <v>100</v>
      </c>
      <c r="O619" s="51" t="s">
        <v>222</v>
      </c>
      <c r="P619" s="160" t="str">
        <f>IFERROR(VLOOKUP(C619,TD!$B$32:$F$36,2,0)," ")</f>
        <v>O230117</v>
      </c>
      <c r="Q619" s="160" t="str">
        <f>IFERROR(VLOOKUP(C619,TD!$B$32:$F$36,3,0)," ")</f>
        <v>4503</v>
      </c>
      <c r="R619" s="160">
        <f>IFERROR(VLOOKUP(C619,TD!$B$32:$F$36,4,0)," ")</f>
        <v>20240255</v>
      </c>
      <c r="S619" s="51" t="s">
        <v>189</v>
      </c>
      <c r="T619" s="160" t="str">
        <f>IFERROR(VLOOKUP(S619,TD!$J$33:$K$43,2,0)," ")</f>
        <v>Servicio de dotación y equipamento para el personal operativo</v>
      </c>
      <c r="U619" s="161" t="str">
        <f>CONCATENATE(S619,"-",T619)</f>
        <v>10-Servicio de dotación y equipamento para el personal operativo</v>
      </c>
      <c r="V619" s="51" t="s">
        <v>232</v>
      </c>
      <c r="W619" s="160" t="str">
        <f>IFERROR(VLOOKUP(V619,TD!$N$33:$O$45,2,0)," ")</f>
        <v>Servicio de atención a emergencias y desastres</v>
      </c>
      <c r="X619" s="161" t="str">
        <f>CONCATENATE(V619,"_",W619)</f>
        <v>004_Servicio de atención a emergencias y desastres</v>
      </c>
      <c r="Y619" s="161" t="str">
        <f>CONCATENATE(U619," ",X619)</f>
        <v>10-Servicio de dotación y equipamento para el personal operativo 004_Servicio de atención a emergencias y desastres</v>
      </c>
      <c r="Z619" s="160" t="str">
        <f>CONCATENATE(P619,Q619,R619,S619,V619)</f>
        <v>O23011745032024025510004</v>
      </c>
      <c r="AA619" s="160" t="str">
        <f>IFERROR(VLOOKUP(Y619,TD!$K$46:$L$64,2,0)," ")</f>
        <v>PM/0131/0110/45030040255</v>
      </c>
      <c r="AB619" s="53" t="s">
        <v>87</v>
      </c>
      <c r="AC619" s="162" t="s">
        <v>204</v>
      </c>
    </row>
    <row r="620" spans="2:29" s="28" customFormat="1" ht="99" customHeight="1" x14ac:dyDescent="0.35">
      <c r="B620" s="77">
        <v>20250640</v>
      </c>
      <c r="C620" s="50" t="s">
        <v>209</v>
      </c>
      <c r="D620" s="158" t="s">
        <v>169</v>
      </c>
      <c r="E620" s="51" t="s">
        <v>545</v>
      </c>
      <c r="F620" s="158" t="s">
        <v>908</v>
      </c>
      <c r="G620" s="158" t="s">
        <v>155</v>
      </c>
      <c r="H620" s="97">
        <v>80111600</v>
      </c>
      <c r="I620" s="159">
        <v>3</v>
      </c>
      <c r="J620" s="159">
        <v>10</v>
      </c>
      <c r="K620" s="52">
        <v>0</v>
      </c>
      <c r="L620" s="153">
        <v>65000000</v>
      </c>
      <c r="M620" s="158" t="s">
        <v>473</v>
      </c>
      <c r="N620" s="53" t="s">
        <v>113</v>
      </c>
      <c r="O620" s="51" t="s">
        <v>222</v>
      </c>
      <c r="P620" s="160" t="str">
        <f>IFERROR(VLOOKUP(C620,TD!$B$32:$F$36,2,0)," ")</f>
        <v>O230117</v>
      </c>
      <c r="Q620" s="160" t="str">
        <f>IFERROR(VLOOKUP(C620,TD!$B$32:$F$36,3,0)," ")</f>
        <v>4503</v>
      </c>
      <c r="R620" s="160">
        <f>IFERROR(VLOOKUP(C620,TD!$B$32:$F$36,4,0)," ")</f>
        <v>20240255</v>
      </c>
      <c r="S620" s="51" t="s">
        <v>175</v>
      </c>
      <c r="T620" s="160" t="str">
        <f>IFERROR(VLOOKUP(S620,TD!$J$33:$K$43,2,0)," ")</f>
        <v>Servicio de atención a incidentes y emergencias.</v>
      </c>
      <c r="U620" s="161" t="str">
        <f>CONCATENATE(S620,"-",T620)</f>
        <v>04-Servicio de atención a incidentes y emergencias.</v>
      </c>
      <c r="V620" s="51" t="s">
        <v>232</v>
      </c>
      <c r="W620" s="160" t="str">
        <f>IFERROR(VLOOKUP(V620,TD!$N$33:$O$45,2,0)," ")</f>
        <v>Servicio de atención a emergencias y desastres</v>
      </c>
      <c r="X620" s="161" t="str">
        <f>CONCATENATE(V620,"_",W620)</f>
        <v>004_Servicio de atención a emergencias y desastres</v>
      </c>
      <c r="Y620" s="161" t="str">
        <f>CONCATENATE(U620," ",X620)</f>
        <v>04-Servicio de atención a incidentes y emergencias. 004_Servicio de atención a emergencias y desastres</v>
      </c>
      <c r="Z620" s="160" t="str">
        <f>CONCATENATE(P620,Q620,R620,S620,V620)</f>
        <v>O23011745032024025504004</v>
      </c>
      <c r="AA620" s="160" t="str">
        <f>IFERROR(VLOOKUP(Y620,TD!$K$46:$L$64,2,0)," ")</f>
        <v>PM/0131/0104/45030040255</v>
      </c>
      <c r="AB620" s="53" t="s">
        <v>138</v>
      </c>
      <c r="AC620" s="162" t="s">
        <v>204</v>
      </c>
    </row>
    <row r="621" spans="2:29" s="28" customFormat="1" ht="99" customHeight="1" x14ac:dyDescent="0.35">
      <c r="B621" s="152">
        <v>20250641</v>
      </c>
      <c r="C621" s="164" t="s">
        <v>209</v>
      </c>
      <c r="D621" s="165" t="s">
        <v>166</v>
      </c>
      <c r="E621" s="166" t="s">
        <v>592</v>
      </c>
      <c r="F621" s="165" t="s">
        <v>909</v>
      </c>
      <c r="G621" s="165" t="s">
        <v>155</v>
      </c>
      <c r="H621" s="167" t="s">
        <v>648</v>
      </c>
      <c r="I621" s="163">
        <v>2</v>
      </c>
      <c r="J621" s="163">
        <v>10</v>
      </c>
      <c r="K621" s="151">
        <v>0</v>
      </c>
      <c r="L621" s="154">
        <v>50000000</v>
      </c>
      <c r="M621" s="165" t="s">
        <v>473</v>
      </c>
      <c r="N621" s="150" t="s">
        <v>113</v>
      </c>
      <c r="O621" s="166" t="s">
        <v>227</v>
      </c>
      <c r="P621" s="168" t="str">
        <f>IFERROR(VLOOKUP(C621,TD!$B$32:$F$36,2,0)," ")</f>
        <v>O230117</v>
      </c>
      <c r="Q621" s="168" t="str">
        <f>IFERROR(VLOOKUP(C621,TD!$B$32:$F$36,3,0)," ")</f>
        <v>4503</v>
      </c>
      <c r="R621" s="168">
        <f>IFERROR(VLOOKUP(C621,TD!$B$32:$F$36,4,0)," ")</f>
        <v>20240255</v>
      </c>
      <c r="S621" s="166" t="s">
        <v>185</v>
      </c>
      <c r="T621" s="168" t="str">
        <f>IFERROR(VLOOKUP(S621,TD!$J$33:$K$43,2,0)," ")</f>
        <v>Infraestructura física, mantenimiento y dotación (Sedes construidas, mantenidas reforzadas)</v>
      </c>
      <c r="U621" s="161" t="str">
        <f>CONCATENATE(S621,"-",T621)</f>
        <v>08-Infraestructura física, mantenimiento y dotación (Sedes construidas, mantenidas reforzadas)</v>
      </c>
      <c r="V621" s="166" t="s">
        <v>236</v>
      </c>
      <c r="W621" s="168" t="str">
        <f>IFERROR(VLOOKUP(V621,TD!$N$33:$O$45,2,0)," ")</f>
        <v>Estaciones de bomberos adecuadas</v>
      </c>
      <c r="X621" s="161" t="str">
        <f>CONCATENATE(V621,"_",W621)</f>
        <v>014_Estaciones de bomberos adecuadas</v>
      </c>
      <c r="Y621" s="161" t="str">
        <f>CONCATENATE(U621," ",X621)</f>
        <v>08-Infraestructura física, mantenimiento y dotación (Sedes construidas, mantenidas reforzadas) 014_Estaciones de bomberos adecuadas</v>
      </c>
      <c r="Z621" s="168" t="str">
        <f>CONCATENATE(P621,Q621,R621,S621,V621)</f>
        <v>O23011745032024025508014</v>
      </c>
      <c r="AA621" s="168" t="str">
        <f>IFERROR(VLOOKUP(Y621,TD!$K$46:$L$64,2,0)," ")</f>
        <v>PM/0131/0108/45030140255</v>
      </c>
      <c r="AB621" s="53" t="s">
        <v>713</v>
      </c>
      <c r="AC621" s="169" t="s">
        <v>204</v>
      </c>
    </row>
    <row r="622" spans="2:29" s="28" customFormat="1" ht="99" customHeight="1" x14ac:dyDescent="0.35">
      <c r="B622" s="152">
        <v>20250642</v>
      </c>
      <c r="C622" s="164" t="s">
        <v>208</v>
      </c>
      <c r="D622" s="165" t="s">
        <v>166</v>
      </c>
      <c r="E622" s="166" t="s">
        <v>592</v>
      </c>
      <c r="F622" s="165" t="s">
        <v>910</v>
      </c>
      <c r="G622" s="165" t="s">
        <v>156</v>
      </c>
      <c r="H622" s="167" t="s">
        <v>648</v>
      </c>
      <c r="I622" s="163">
        <v>2</v>
      </c>
      <c r="J622" s="163">
        <v>9</v>
      </c>
      <c r="K622" s="151">
        <v>0</v>
      </c>
      <c r="L622" s="154">
        <v>34384905</v>
      </c>
      <c r="M622" s="165" t="s">
        <v>473</v>
      </c>
      <c r="N622" s="150" t="s">
        <v>113</v>
      </c>
      <c r="O622" s="166" t="s">
        <v>219</v>
      </c>
      <c r="P622" s="168" t="str">
        <f>IFERROR(VLOOKUP(C622,TD!$B$32:$F$36,2,0)," ")</f>
        <v>O230117</v>
      </c>
      <c r="Q622" s="168" t="str">
        <f>IFERROR(VLOOKUP(C622,TD!$B$32:$F$36,3,0)," ")</f>
        <v>4599</v>
      </c>
      <c r="R622" s="168">
        <f>IFERROR(VLOOKUP(C622,TD!$B$32:$F$36,4,0)," ")</f>
        <v>20240207</v>
      </c>
      <c r="S622" s="166" t="s">
        <v>185</v>
      </c>
      <c r="T622" s="168" t="str">
        <f>IFERROR(VLOOKUP(S622,TD!$J$33:$K$43,2,0)," ")</f>
        <v>Infraestructura física, mantenimiento y dotación (Sedes construidas, mantenidas reforzadas)</v>
      </c>
      <c r="U622" s="161" t="str">
        <f>CONCATENATE(S622,"-",T622)</f>
        <v>08-Infraestructura física, mantenimiento y dotación (Sedes construidas, mantenidas reforzadas)</v>
      </c>
      <c r="V622" s="166" t="s">
        <v>238</v>
      </c>
      <c r="W622" s="168" t="str">
        <f>IFERROR(VLOOKUP(V622,TD!$N$33:$O$45,2,0)," ")</f>
        <v>Sedes mantenidas</v>
      </c>
      <c r="X622" s="161" t="str">
        <f>CONCATENATE(V622,"_",W622)</f>
        <v>016_Sedes mantenidas</v>
      </c>
      <c r="Y622" s="161" t="str">
        <f>CONCATENATE(U622," ",X622)</f>
        <v>08-Infraestructura física, mantenimiento y dotación (Sedes construidas, mantenidas reforzadas) 016_Sedes mantenidas</v>
      </c>
      <c r="Z622" s="168" t="str">
        <f>CONCATENATE(P622,Q622,R622,S622,V622)</f>
        <v>O23011745992024020708016</v>
      </c>
      <c r="AA622" s="168" t="str">
        <f>IFERROR(VLOOKUP(Y622,TD!$K$46:$L$64,2,0)," ")</f>
        <v>PM/0131/0108/45990160207</v>
      </c>
      <c r="AB622" s="150" t="s">
        <v>138</v>
      </c>
      <c r="AC622" s="169" t="s">
        <v>204</v>
      </c>
    </row>
    <row r="623" spans="2:29" s="28" customFormat="1" ht="99" customHeight="1" x14ac:dyDescent="0.35">
      <c r="B623" s="152">
        <v>20250643</v>
      </c>
      <c r="C623" s="164" t="s">
        <v>208</v>
      </c>
      <c r="D623" s="165" t="s">
        <v>166</v>
      </c>
      <c r="E623" s="166" t="s">
        <v>592</v>
      </c>
      <c r="F623" s="165" t="s">
        <v>911</v>
      </c>
      <c r="G623" s="165" t="s">
        <v>155</v>
      </c>
      <c r="H623" s="167" t="s">
        <v>648</v>
      </c>
      <c r="I623" s="163">
        <v>2</v>
      </c>
      <c r="J623" s="163">
        <v>9</v>
      </c>
      <c r="K623" s="151">
        <v>0</v>
      </c>
      <c r="L623" s="154">
        <v>58500000</v>
      </c>
      <c r="M623" s="165" t="s">
        <v>473</v>
      </c>
      <c r="N623" s="150" t="s">
        <v>113</v>
      </c>
      <c r="O623" s="166" t="s">
        <v>219</v>
      </c>
      <c r="P623" s="168" t="str">
        <f>IFERROR(VLOOKUP(C623,TD!$B$32:$F$36,2,0)," ")</f>
        <v>O230117</v>
      </c>
      <c r="Q623" s="168" t="str">
        <f>IFERROR(VLOOKUP(C623,TD!$B$32:$F$36,3,0)," ")</f>
        <v>4599</v>
      </c>
      <c r="R623" s="168">
        <f>IFERROR(VLOOKUP(C623,TD!$B$32:$F$36,4,0)," ")</f>
        <v>20240207</v>
      </c>
      <c r="S623" s="166" t="s">
        <v>185</v>
      </c>
      <c r="T623" s="168" t="str">
        <f>IFERROR(VLOOKUP(S623,TD!$J$33:$K$43,2,0)," ")</f>
        <v>Infraestructura física, mantenimiento y dotación (Sedes construidas, mantenidas reforzadas)</v>
      </c>
      <c r="U623" s="161" t="str">
        <f>CONCATENATE(S623,"-",T623)</f>
        <v>08-Infraestructura física, mantenimiento y dotación (Sedes construidas, mantenidas reforzadas)</v>
      </c>
      <c r="V623" s="166" t="s">
        <v>238</v>
      </c>
      <c r="W623" s="168" t="str">
        <f>IFERROR(VLOOKUP(V623,TD!$N$33:$O$45,2,0)," ")</f>
        <v>Sedes mantenidas</v>
      </c>
      <c r="X623" s="161" t="str">
        <f>CONCATENATE(V623,"_",W623)</f>
        <v>016_Sedes mantenidas</v>
      </c>
      <c r="Y623" s="161" t="str">
        <f>CONCATENATE(U623," ",X623)</f>
        <v>08-Infraestructura física, mantenimiento y dotación (Sedes construidas, mantenidas reforzadas) 016_Sedes mantenidas</v>
      </c>
      <c r="Z623" s="168" t="str">
        <f>CONCATENATE(P623,Q623,R623,S623,V623)</f>
        <v>O23011745992024020708016</v>
      </c>
      <c r="AA623" s="168" t="str">
        <f>IFERROR(VLOOKUP(Y623,TD!$K$46:$L$64,2,0)," ")</f>
        <v>PM/0131/0108/45990160207</v>
      </c>
      <c r="AB623" s="150" t="s">
        <v>138</v>
      </c>
      <c r="AC623" s="169" t="s">
        <v>204</v>
      </c>
    </row>
    <row r="624" spans="2:29" s="28" customFormat="1" ht="99" customHeight="1" x14ac:dyDescent="0.35">
      <c r="B624" s="152">
        <v>20250644</v>
      </c>
      <c r="C624" s="164" t="s">
        <v>208</v>
      </c>
      <c r="D624" s="165" t="s">
        <v>166</v>
      </c>
      <c r="E624" s="166" t="s">
        <v>592</v>
      </c>
      <c r="F624" s="165" t="s">
        <v>707</v>
      </c>
      <c r="G624" s="165" t="s">
        <v>155</v>
      </c>
      <c r="H624" s="167" t="s">
        <v>648</v>
      </c>
      <c r="I624" s="163">
        <v>2</v>
      </c>
      <c r="J624" s="163">
        <v>9</v>
      </c>
      <c r="K624" s="151">
        <v>0</v>
      </c>
      <c r="L624" s="154">
        <v>54291951</v>
      </c>
      <c r="M624" s="165" t="s">
        <v>473</v>
      </c>
      <c r="N624" s="150" t="s">
        <v>113</v>
      </c>
      <c r="O624" s="166" t="s">
        <v>218</v>
      </c>
      <c r="P624" s="168" t="str">
        <f>IFERROR(VLOOKUP(C624,TD!$B$32:$F$36,2,0)," ")</f>
        <v>O230117</v>
      </c>
      <c r="Q624" s="168" t="str">
        <f>IFERROR(VLOOKUP(C624,TD!$B$32:$F$36,3,0)," ")</f>
        <v>4599</v>
      </c>
      <c r="R624" s="168">
        <f>IFERROR(VLOOKUP(C624,TD!$B$32:$F$36,4,0)," ")</f>
        <v>20240207</v>
      </c>
      <c r="S624" s="166" t="s">
        <v>185</v>
      </c>
      <c r="T624" s="168" t="str">
        <f>IFERROR(VLOOKUP(S624,TD!$J$33:$K$43,2,0)," ")</f>
        <v>Infraestructura física, mantenimiento y dotación (Sedes construidas, mantenidas reforzadas)</v>
      </c>
      <c r="U624" s="161" t="str">
        <f>CONCATENATE(S624,"-",T624)</f>
        <v>08-Infraestructura física, mantenimiento y dotación (Sedes construidas, mantenidas reforzadas)</v>
      </c>
      <c r="V624" s="166" t="s">
        <v>238</v>
      </c>
      <c r="W624" s="168" t="str">
        <f>IFERROR(VLOOKUP(V624,TD!$N$33:$O$45,2,0)," ")</f>
        <v>Sedes mantenidas</v>
      </c>
      <c r="X624" s="161" t="str">
        <f>CONCATENATE(V624,"_",W624)</f>
        <v>016_Sedes mantenidas</v>
      </c>
      <c r="Y624" s="161" t="str">
        <f>CONCATENATE(U624," ",X624)</f>
        <v>08-Infraestructura física, mantenimiento y dotación (Sedes construidas, mantenidas reforzadas) 016_Sedes mantenidas</v>
      </c>
      <c r="Z624" s="168" t="str">
        <f>CONCATENATE(P624,Q624,R624,S624,V624)</f>
        <v>O23011745992024020708016</v>
      </c>
      <c r="AA624" s="168" t="str">
        <f>IFERROR(VLOOKUP(Y624,TD!$K$46:$L$64,2,0)," ")</f>
        <v>PM/0131/0108/45990160207</v>
      </c>
      <c r="AB624" s="150" t="s">
        <v>138</v>
      </c>
      <c r="AC624" s="169" t="s">
        <v>204</v>
      </c>
    </row>
    <row r="625" spans="2:29" s="28" customFormat="1" ht="99" customHeight="1" x14ac:dyDescent="0.35">
      <c r="B625" s="152">
        <v>20250645</v>
      </c>
      <c r="C625" s="164" t="s">
        <v>208</v>
      </c>
      <c r="D625" s="165" t="s">
        <v>166</v>
      </c>
      <c r="E625" s="166" t="s">
        <v>592</v>
      </c>
      <c r="F625" s="165" t="s">
        <v>912</v>
      </c>
      <c r="G625" s="165" t="s">
        <v>109</v>
      </c>
      <c r="H625" s="167" t="s">
        <v>917</v>
      </c>
      <c r="I625" s="163">
        <v>4</v>
      </c>
      <c r="J625" s="163">
        <v>3</v>
      </c>
      <c r="K625" s="151">
        <v>0</v>
      </c>
      <c r="L625" s="154">
        <v>15000000</v>
      </c>
      <c r="M625" s="165" t="s">
        <v>473</v>
      </c>
      <c r="N625" s="150" t="s">
        <v>100</v>
      </c>
      <c r="O625" s="166" t="s">
        <v>218</v>
      </c>
      <c r="P625" s="168" t="str">
        <f>IFERROR(VLOOKUP(C625,TD!$B$32:$F$36,2,0)," ")</f>
        <v>O230117</v>
      </c>
      <c r="Q625" s="168" t="str">
        <f>IFERROR(VLOOKUP(C625,TD!$B$32:$F$36,3,0)," ")</f>
        <v>4599</v>
      </c>
      <c r="R625" s="168">
        <f>IFERROR(VLOOKUP(C625,TD!$B$32:$F$36,4,0)," ")</f>
        <v>20240207</v>
      </c>
      <c r="S625" s="166" t="s">
        <v>185</v>
      </c>
      <c r="T625" s="168" t="str">
        <f>IFERROR(VLOOKUP(S625,TD!$J$33:$K$43,2,0)," ")</f>
        <v>Infraestructura física, mantenimiento y dotación (Sedes construidas, mantenidas reforzadas)</v>
      </c>
      <c r="U625" s="161" t="str">
        <f>CONCATENATE(S625,"-",T625)</f>
        <v>08-Infraestructura física, mantenimiento y dotación (Sedes construidas, mantenidas reforzadas)</v>
      </c>
      <c r="V625" s="166" t="s">
        <v>238</v>
      </c>
      <c r="W625" s="168" t="str">
        <f>IFERROR(VLOOKUP(V625,TD!$N$33:$O$45,2,0)," ")</f>
        <v>Sedes mantenidas</v>
      </c>
      <c r="X625" s="161" t="str">
        <f>CONCATENATE(V625,"_",W625)</f>
        <v>016_Sedes mantenidas</v>
      </c>
      <c r="Y625" s="161" t="str">
        <f>CONCATENATE(U625," ",X625)</f>
        <v>08-Infraestructura física, mantenimiento y dotación (Sedes construidas, mantenidas reforzadas) 016_Sedes mantenidas</v>
      </c>
      <c r="Z625" s="168" t="str">
        <f>CONCATENATE(P625,Q625,R625,S625,V625)</f>
        <v>O23011745992024020708016</v>
      </c>
      <c r="AA625" s="168" t="str">
        <f>IFERROR(VLOOKUP(Y625,TD!$K$46:$L$64,2,0)," ")</f>
        <v>PM/0131/0108/45990160207</v>
      </c>
      <c r="AB625" s="150" t="s">
        <v>138</v>
      </c>
      <c r="AC625" s="169" t="s">
        <v>204</v>
      </c>
    </row>
    <row r="626" spans="2:29" s="28" customFormat="1" ht="99" customHeight="1" x14ac:dyDescent="0.35">
      <c r="B626" s="152">
        <v>20250646</v>
      </c>
      <c r="C626" s="164" t="s">
        <v>208</v>
      </c>
      <c r="D626" s="165" t="s">
        <v>166</v>
      </c>
      <c r="E626" s="166" t="s">
        <v>592</v>
      </c>
      <c r="F626" s="164" t="s">
        <v>913</v>
      </c>
      <c r="G626" s="165" t="s">
        <v>119</v>
      </c>
      <c r="H626" s="167" t="s">
        <v>918</v>
      </c>
      <c r="I626" s="163">
        <v>4</v>
      </c>
      <c r="J626" s="163">
        <v>3</v>
      </c>
      <c r="K626" s="151">
        <v>0</v>
      </c>
      <c r="L626" s="154">
        <v>20000000</v>
      </c>
      <c r="M626" s="165" t="s">
        <v>473</v>
      </c>
      <c r="N626" s="150" t="s">
        <v>100</v>
      </c>
      <c r="O626" s="166" t="s">
        <v>218</v>
      </c>
      <c r="P626" s="168" t="str">
        <f>IFERROR(VLOOKUP(C626,TD!$B$32:$F$36,2,0)," ")</f>
        <v>O230117</v>
      </c>
      <c r="Q626" s="168" t="str">
        <f>IFERROR(VLOOKUP(C626,TD!$B$32:$F$36,3,0)," ")</f>
        <v>4599</v>
      </c>
      <c r="R626" s="168">
        <f>IFERROR(VLOOKUP(C626,TD!$B$32:$F$36,4,0)," ")</f>
        <v>20240207</v>
      </c>
      <c r="S626" s="166" t="s">
        <v>185</v>
      </c>
      <c r="T626" s="168" t="str">
        <f>IFERROR(VLOOKUP(S626,TD!$J$33:$K$43,2,0)," ")</f>
        <v>Infraestructura física, mantenimiento y dotación (Sedes construidas, mantenidas reforzadas)</v>
      </c>
      <c r="U626" s="161" t="str">
        <f>CONCATENATE(S626,"-",T626)</f>
        <v>08-Infraestructura física, mantenimiento y dotación (Sedes construidas, mantenidas reforzadas)</v>
      </c>
      <c r="V626" s="166" t="s">
        <v>238</v>
      </c>
      <c r="W626" s="168" t="str">
        <f>IFERROR(VLOOKUP(V626,TD!$N$33:$O$45,2,0)," ")</f>
        <v>Sedes mantenidas</v>
      </c>
      <c r="X626" s="161" t="str">
        <f>CONCATENATE(V626,"_",W626)</f>
        <v>016_Sedes mantenidas</v>
      </c>
      <c r="Y626" s="161" t="str">
        <f>CONCATENATE(U626," ",X626)</f>
        <v>08-Infraestructura física, mantenimiento y dotación (Sedes construidas, mantenidas reforzadas) 016_Sedes mantenidas</v>
      </c>
      <c r="Z626" s="168" t="str">
        <f>CONCATENATE(P626,Q626,R626,S626,V626)</f>
        <v>O23011745992024020708016</v>
      </c>
      <c r="AA626" s="168" t="str">
        <f>IFERROR(VLOOKUP(Y626,TD!$K$46:$L$64,2,0)," ")</f>
        <v>PM/0131/0108/45990160207</v>
      </c>
      <c r="AB626" s="150" t="s">
        <v>138</v>
      </c>
      <c r="AC626" s="169" t="s">
        <v>204</v>
      </c>
    </row>
    <row r="627" spans="2:29" s="28" customFormat="1" ht="99" customHeight="1" x14ac:dyDescent="0.35">
      <c r="B627" s="152">
        <v>20250647</v>
      </c>
      <c r="C627" s="164" t="s">
        <v>208</v>
      </c>
      <c r="D627" s="165" t="s">
        <v>166</v>
      </c>
      <c r="E627" s="166" t="s">
        <v>592</v>
      </c>
      <c r="F627" s="165" t="s">
        <v>914</v>
      </c>
      <c r="G627" s="165" t="s">
        <v>109</v>
      </c>
      <c r="H627" s="167" t="s">
        <v>919</v>
      </c>
      <c r="I627" s="163">
        <v>4</v>
      </c>
      <c r="J627" s="163">
        <v>3</v>
      </c>
      <c r="K627" s="151">
        <v>0</v>
      </c>
      <c r="L627" s="154">
        <v>25000000</v>
      </c>
      <c r="M627" s="165" t="s">
        <v>473</v>
      </c>
      <c r="N627" s="150" t="s">
        <v>100</v>
      </c>
      <c r="O627" s="166" t="s">
        <v>218</v>
      </c>
      <c r="P627" s="168" t="str">
        <f>IFERROR(VLOOKUP(C627,TD!$B$32:$F$36,2,0)," ")</f>
        <v>O230117</v>
      </c>
      <c r="Q627" s="168" t="str">
        <f>IFERROR(VLOOKUP(C627,TD!$B$32:$F$36,3,0)," ")</f>
        <v>4599</v>
      </c>
      <c r="R627" s="168">
        <f>IFERROR(VLOOKUP(C627,TD!$B$32:$F$36,4,0)," ")</f>
        <v>20240207</v>
      </c>
      <c r="S627" s="166" t="s">
        <v>185</v>
      </c>
      <c r="T627" s="168" t="str">
        <f>IFERROR(VLOOKUP(S627,TD!$J$33:$K$43,2,0)," ")</f>
        <v>Infraestructura física, mantenimiento y dotación (Sedes construidas, mantenidas reforzadas)</v>
      </c>
      <c r="U627" s="161" t="str">
        <f>CONCATENATE(S627,"-",T627)</f>
        <v>08-Infraestructura física, mantenimiento y dotación (Sedes construidas, mantenidas reforzadas)</v>
      </c>
      <c r="V627" s="166" t="s">
        <v>238</v>
      </c>
      <c r="W627" s="168" t="str">
        <f>IFERROR(VLOOKUP(V627,TD!$N$33:$O$45,2,0)," ")</f>
        <v>Sedes mantenidas</v>
      </c>
      <c r="X627" s="161" t="str">
        <f>CONCATENATE(V627,"_",W627)</f>
        <v>016_Sedes mantenidas</v>
      </c>
      <c r="Y627" s="161" t="str">
        <f>CONCATENATE(U627," ",X627)</f>
        <v>08-Infraestructura física, mantenimiento y dotación (Sedes construidas, mantenidas reforzadas) 016_Sedes mantenidas</v>
      </c>
      <c r="Z627" s="168" t="str">
        <f>CONCATENATE(P627,Q627,R627,S627,V627)</f>
        <v>O23011745992024020708016</v>
      </c>
      <c r="AA627" s="168" t="str">
        <f>IFERROR(VLOOKUP(Y627,TD!$K$46:$L$64,2,0)," ")</f>
        <v>PM/0131/0108/45990160207</v>
      </c>
      <c r="AB627" s="150" t="s">
        <v>138</v>
      </c>
      <c r="AC627" s="169" t="s">
        <v>204</v>
      </c>
    </row>
    <row r="628" spans="2:29" s="28" customFormat="1" ht="99" customHeight="1" x14ac:dyDescent="0.35">
      <c r="B628" s="152">
        <v>20250648</v>
      </c>
      <c r="C628" s="164" t="s">
        <v>208</v>
      </c>
      <c r="D628" s="165" t="s">
        <v>166</v>
      </c>
      <c r="E628" s="166" t="s">
        <v>592</v>
      </c>
      <c r="F628" s="165" t="s">
        <v>915</v>
      </c>
      <c r="G628" s="165" t="s">
        <v>119</v>
      </c>
      <c r="H628" s="167" t="s">
        <v>920</v>
      </c>
      <c r="I628" s="163">
        <v>4</v>
      </c>
      <c r="J628" s="163">
        <v>3</v>
      </c>
      <c r="K628" s="151">
        <v>0</v>
      </c>
      <c r="L628" s="154">
        <v>30000000</v>
      </c>
      <c r="M628" s="165" t="s">
        <v>473</v>
      </c>
      <c r="N628" s="150" t="s">
        <v>100</v>
      </c>
      <c r="O628" s="166" t="s">
        <v>218</v>
      </c>
      <c r="P628" s="168" t="str">
        <f>IFERROR(VLOOKUP(C628,TD!$B$32:$F$36,2,0)," ")</f>
        <v>O230117</v>
      </c>
      <c r="Q628" s="168" t="str">
        <f>IFERROR(VLOOKUP(C628,TD!$B$32:$F$36,3,0)," ")</f>
        <v>4599</v>
      </c>
      <c r="R628" s="168">
        <f>IFERROR(VLOOKUP(C628,TD!$B$32:$F$36,4,0)," ")</f>
        <v>20240207</v>
      </c>
      <c r="S628" s="166" t="s">
        <v>185</v>
      </c>
      <c r="T628" s="168" t="str">
        <f>IFERROR(VLOOKUP(S628,TD!$J$33:$K$43,2,0)," ")</f>
        <v>Infraestructura física, mantenimiento y dotación (Sedes construidas, mantenidas reforzadas)</v>
      </c>
      <c r="U628" s="161" t="str">
        <f>CONCATENATE(S628,"-",T628)</f>
        <v>08-Infraestructura física, mantenimiento y dotación (Sedes construidas, mantenidas reforzadas)</v>
      </c>
      <c r="V628" s="166" t="s">
        <v>238</v>
      </c>
      <c r="W628" s="168" t="str">
        <f>IFERROR(VLOOKUP(V628,TD!$N$33:$O$45,2,0)," ")</f>
        <v>Sedes mantenidas</v>
      </c>
      <c r="X628" s="161" t="str">
        <f>CONCATENATE(V628,"_",W628)</f>
        <v>016_Sedes mantenidas</v>
      </c>
      <c r="Y628" s="161" t="str">
        <f>CONCATENATE(U628," ",X628)</f>
        <v>08-Infraestructura física, mantenimiento y dotación (Sedes construidas, mantenidas reforzadas) 016_Sedes mantenidas</v>
      </c>
      <c r="Z628" s="168" t="str">
        <f>CONCATENATE(P628,Q628,R628,S628,V628)</f>
        <v>O23011745992024020708016</v>
      </c>
      <c r="AA628" s="168" t="str">
        <f>IFERROR(VLOOKUP(Y628,TD!$K$46:$L$64,2,0)," ")</f>
        <v>PM/0131/0108/45990160207</v>
      </c>
      <c r="AB628" s="150" t="s">
        <v>138</v>
      </c>
      <c r="AC628" s="169" t="s">
        <v>204</v>
      </c>
    </row>
    <row r="629" spans="2:29" s="28" customFormat="1" ht="99" customHeight="1" x14ac:dyDescent="0.35">
      <c r="B629" s="152">
        <v>20250649</v>
      </c>
      <c r="C629" s="164" t="s">
        <v>208</v>
      </c>
      <c r="D629" s="165" t="s">
        <v>166</v>
      </c>
      <c r="E629" s="166" t="s">
        <v>592</v>
      </c>
      <c r="F629" s="165" t="s">
        <v>916</v>
      </c>
      <c r="G629" s="165" t="s">
        <v>109</v>
      </c>
      <c r="H629" s="167" t="s">
        <v>921</v>
      </c>
      <c r="I629" s="163">
        <v>4</v>
      </c>
      <c r="J629" s="163">
        <v>3</v>
      </c>
      <c r="K629" s="151">
        <v>0</v>
      </c>
      <c r="L629" s="154">
        <v>10000000</v>
      </c>
      <c r="M629" s="165" t="s">
        <v>473</v>
      </c>
      <c r="N629" s="150" t="s">
        <v>100</v>
      </c>
      <c r="O629" s="166" t="s">
        <v>218</v>
      </c>
      <c r="P629" s="168" t="str">
        <f>IFERROR(VLOOKUP(C629,TD!$B$32:$F$36,2,0)," ")</f>
        <v>O230117</v>
      </c>
      <c r="Q629" s="168" t="str">
        <f>IFERROR(VLOOKUP(C629,TD!$B$32:$F$36,3,0)," ")</f>
        <v>4599</v>
      </c>
      <c r="R629" s="168">
        <f>IFERROR(VLOOKUP(C629,TD!$B$32:$F$36,4,0)," ")</f>
        <v>20240207</v>
      </c>
      <c r="S629" s="166" t="s">
        <v>185</v>
      </c>
      <c r="T629" s="168" t="str">
        <f>IFERROR(VLOOKUP(S629,TD!$J$33:$K$43,2,0)," ")</f>
        <v>Infraestructura física, mantenimiento y dotación (Sedes construidas, mantenidas reforzadas)</v>
      </c>
      <c r="U629" s="161" t="str">
        <f>CONCATENATE(S629,"-",T629)</f>
        <v>08-Infraestructura física, mantenimiento y dotación (Sedes construidas, mantenidas reforzadas)</v>
      </c>
      <c r="V629" s="166" t="s">
        <v>238</v>
      </c>
      <c r="W629" s="168" t="str">
        <f>IFERROR(VLOOKUP(V629,TD!$N$33:$O$45,2,0)," ")</f>
        <v>Sedes mantenidas</v>
      </c>
      <c r="X629" s="161" t="str">
        <f>CONCATENATE(V629,"_",W629)</f>
        <v>016_Sedes mantenidas</v>
      </c>
      <c r="Y629" s="161" t="str">
        <f>CONCATENATE(U629," ",X629)</f>
        <v>08-Infraestructura física, mantenimiento y dotación (Sedes construidas, mantenidas reforzadas) 016_Sedes mantenidas</v>
      </c>
      <c r="Z629" s="168" t="str">
        <f>CONCATENATE(P629,Q629,R629,S629,V629)</f>
        <v>O23011745992024020708016</v>
      </c>
      <c r="AA629" s="168" t="str">
        <f>IFERROR(VLOOKUP(Y629,TD!$K$46:$L$64,2,0)," ")</f>
        <v>PM/0131/0108/45990160207</v>
      </c>
      <c r="AB629" s="150" t="s">
        <v>138</v>
      </c>
      <c r="AC629" s="169" t="s">
        <v>204</v>
      </c>
    </row>
    <row r="630" spans="2:29" s="28" customFormat="1" ht="99" customHeight="1" x14ac:dyDescent="0.35">
      <c r="B630" s="77">
        <v>20250651</v>
      </c>
      <c r="C630" s="50" t="s">
        <v>209</v>
      </c>
      <c r="D630" s="158" t="s">
        <v>169</v>
      </c>
      <c r="E630" s="51" t="s">
        <v>642</v>
      </c>
      <c r="F630" s="158" t="s">
        <v>929</v>
      </c>
      <c r="G630" s="158" t="s">
        <v>156</v>
      </c>
      <c r="H630" s="97">
        <v>80111600</v>
      </c>
      <c r="I630" s="159">
        <v>3</v>
      </c>
      <c r="J630" s="159">
        <v>10</v>
      </c>
      <c r="K630" s="52">
        <v>0</v>
      </c>
      <c r="L630" s="153">
        <v>35000000</v>
      </c>
      <c r="M630" s="158" t="s">
        <v>473</v>
      </c>
      <c r="N630" s="53" t="s">
        <v>113</v>
      </c>
      <c r="O630" s="51" t="s">
        <v>222</v>
      </c>
      <c r="P630" s="160" t="str">
        <f>IFERROR(VLOOKUP(C630,TD!$B$32:$F$36,2,0)," ")</f>
        <v>O230117</v>
      </c>
      <c r="Q630" s="160" t="str">
        <f>IFERROR(VLOOKUP(C630,TD!$B$32:$F$36,3,0)," ")</f>
        <v>4503</v>
      </c>
      <c r="R630" s="160">
        <f>IFERROR(VLOOKUP(C630,TD!$B$32:$F$36,4,0)," ")</f>
        <v>20240255</v>
      </c>
      <c r="S630" s="51" t="s">
        <v>175</v>
      </c>
      <c r="T630" s="160" t="str">
        <f>IFERROR(VLOOKUP(S630,TD!$J$33:$K$43,2,0)," ")</f>
        <v>Servicio de atención a incidentes y emergencias.</v>
      </c>
      <c r="U630" s="161" t="str">
        <f>CONCATENATE(S630,"-",T630)</f>
        <v>04-Servicio de atención a incidentes y emergencias.</v>
      </c>
      <c r="V630" s="51" t="s">
        <v>232</v>
      </c>
      <c r="W630" s="160" t="str">
        <f>IFERROR(VLOOKUP(V630,TD!$N$33:$O$45,2,0)," ")</f>
        <v>Servicio de atención a emergencias y desastres</v>
      </c>
      <c r="X630" s="161" t="str">
        <f>CONCATENATE(V630,"_",W630)</f>
        <v>004_Servicio de atención a emergencias y desastres</v>
      </c>
      <c r="Y630" s="161" t="str">
        <f>CONCATENATE(U630," ",X630)</f>
        <v>04-Servicio de atención a incidentes y emergencias. 004_Servicio de atención a emergencias y desastres</v>
      </c>
      <c r="Z630" s="160" t="str">
        <f>CONCATENATE(P630,Q630,R630,S630,V630)</f>
        <v>O23011745032024025504004</v>
      </c>
      <c r="AA630" s="160" t="str">
        <f>IFERROR(VLOOKUP(Y630,TD!$K$46:$L$64,2,0)," ")</f>
        <v>PM/0131/0104/45030040255</v>
      </c>
      <c r="AB630" s="150" t="s">
        <v>138</v>
      </c>
      <c r="AC630" s="169" t="s">
        <v>204</v>
      </c>
    </row>
    <row r="631" spans="2:29" s="28" customFormat="1" ht="99" customHeight="1" x14ac:dyDescent="0.35">
      <c r="B631" s="77">
        <v>20250652</v>
      </c>
      <c r="C631" s="50" t="s">
        <v>209</v>
      </c>
      <c r="D631" s="158" t="s">
        <v>169</v>
      </c>
      <c r="E631" s="51" t="s">
        <v>642</v>
      </c>
      <c r="F631" s="158" t="s">
        <v>929</v>
      </c>
      <c r="G631" s="158" t="s">
        <v>156</v>
      </c>
      <c r="H631" s="97">
        <v>80111600</v>
      </c>
      <c r="I631" s="159">
        <v>3</v>
      </c>
      <c r="J631" s="159">
        <v>10</v>
      </c>
      <c r="K631" s="52">
        <v>0</v>
      </c>
      <c r="L631" s="153">
        <v>35000000</v>
      </c>
      <c r="M631" s="158" t="s">
        <v>473</v>
      </c>
      <c r="N631" s="53" t="s">
        <v>113</v>
      </c>
      <c r="O631" s="51" t="s">
        <v>222</v>
      </c>
      <c r="P631" s="160" t="str">
        <f>IFERROR(VLOOKUP(C631,TD!$B$32:$F$36,2,0)," ")</f>
        <v>O230117</v>
      </c>
      <c r="Q631" s="160" t="str">
        <f>IFERROR(VLOOKUP(C631,TD!$B$32:$F$36,3,0)," ")</f>
        <v>4503</v>
      </c>
      <c r="R631" s="160">
        <f>IFERROR(VLOOKUP(C631,TD!$B$32:$F$36,4,0)," ")</f>
        <v>20240255</v>
      </c>
      <c r="S631" s="51" t="s">
        <v>175</v>
      </c>
      <c r="T631" s="160" t="str">
        <f>IFERROR(VLOOKUP(S631,TD!$J$33:$K$43,2,0)," ")</f>
        <v>Servicio de atención a incidentes y emergencias.</v>
      </c>
      <c r="U631" s="161" t="str">
        <f>CONCATENATE(S631,"-",T631)</f>
        <v>04-Servicio de atención a incidentes y emergencias.</v>
      </c>
      <c r="V631" s="51" t="s">
        <v>232</v>
      </c>
      <c r="W631" s="160" t="str">
        <f>IFERROR(VLOOKUP(V631,TD!$N$33:$O$45,2,0)," ")</f>
        <v>Servicio de atención a emergencias y desastres</v>
      </c>
      <c r="X631" s="161" t="str">
        <f>CONCATENATE(V631,"_",W631)</f>
        <v>004_Servicio de atención a emergencias y desastres</v>
      </c>
      <c r="Y631" s="161" t="str">
        <f>CONCATENATE(U631," ",X631)</f>
        <v>04-Servicio de atención a incidentes y emergencias. 004_Servicio de atención a emergencias y desastres</v>
      </c>
      <c r="Z631" s="160" t="str">
        <f>CONCATENATE(P631,Q631,R631,S631,V631)</f>
        <v>O23011745032024025504004</v>
      </c>
      <c r="AA631" s="160" t="str">
        <f>IFERROR(VLOOKUP(Y631,TD!$K$46:$L$64,2,0)," ")</f>
        <v>PM/0131/0104/45030040255</v>
      </c>
      <c r="AB631" s="150" t="s">
        <v>138</v>
      </c>
      <c r="AC631" s="169" t="s">
        <v>204</v>
      </c>
    </row>
    <row r="632" spans="2:29" s="28" customFormat="1" ht="99" customHeight="1" x14ac:dyDescent="0.35">
      <c r="B632" s="186">
        <v>20250653</v>
      </c>
      <c r="C632" s="187" t="s">
        <v>208</v>
      </c>
      <c r="D632" s="188" t="s">
        <v>161</v>
      </c>
      <c r="E632" s="189" t="s">
        <v>355</v>
      </c>
      <c r="F632" s="188" t="s">
        <v>931</v>
      </c>
      <c r="G632" s="188" t="s">
        <v>155</v>
      </c>
      <c r="H632" s="190">
        <v>80111600</v>
      </c>
      <c r="I632" s="191">
        <v>3</v>
      </c>
      <c r="J632" s="191">
        <v>6</v>
      </c>
      <c r="K632" s="192">
        <v>0</v>
      </c>
      <c r="L632" s="193">
        <v>42000000</v>
      </c>
      <c r="M632" s="188" t="s">
        <v>473</v>
      </c>
      <c r="N632" s="194" t="s">
        <v>113</v>
      </c>
      <c r="O632" s="189" t="s">
        <v>220</v>
      </c>
      <c r="P632" s="195" t="str">
        <f>IFERROR(VLOOKUP(C632,TD!$B$32:$F$36,2,0)," ")</f>
        <v>O230117</v>
      </c>
      <c r="Q632" s="195" t="str">
        <f>IFERROR(VLOOKUP(C632,TD!$B$32:$F$36,3,0)," ")</f>
        <v>4599</v>
      </c>
      <c r="R632" s="195">
        <f>IFERROR(VLOOKUP(C632,TD!$B$32:$F$36,4,0)," ")</f>
        <v>20240207</v>
      </c>
      <c r="S632" s="189" t="s">
        <v>193</v>
      </c>
      <c r="T632" s="195" t="str">
        <f>IFERROR(VLOOKUP(S632,TD!$J$33:$K$43,2,0)," ")</f>
        <v>Servicios para la planeación y sistemas de gestión y comunicación estratégica</v>
      </c>
      <c r="U632" s="185" t="str">
        <f>CONCATENATE(S632,"-",T632)</f>
        <v>13-Servicios para la planeación y sistemas de gestión y comunicación estratégica</v>
      </c>
      <c r="V632" s="189" t="s">
        <v>242</v>
      </c>
      <c r="W632" s="195" t="str">
        <f>IFERROR(VLOOKUP(V632,TD!$N$33:$O$45,2,0)," ")</f>
        <v>Documentos de planeación</v>
      </c>
      <c r="X632" s="185" t="str">
        <f>CONCATENATE(V632,"_",W632)</f>
        <v>019_Documentos de planeación</v>
      </c>
      <c r="Y632" s="185" t="str">
        <f>CONCATENATE(U632," ",X632)</f>
        <v>13-Servicios para la planeación y sistemas de gestión y comunicación estratégica 019_Documentos de planeación</v>
      </c>
      <c r="Z632" s="195" t="str">
        <f>CONCATENATE(P632,Q632,R632,S632,V632)</f>
        <v>O23011745992024020713019</v>
      </c>
      <c r="AA632" s="195" t="str">
        <f>IFERROR(VLOOKUP(Y632,TD!$K$46:$L$64,2,0)," ")</f>
        <v>PM/0131/0113/45990190207</v>
      </c>
      <c r="AB632" s="194" t="s">
        <v>138</v>
      </c>
      <c r="AC632" s="196" t="s">
        <v>204</v>
      </c>
    </row>
    <row r="633" spans="2:29" s="28" customFormat="1" ht="99" customHeight="1" x14ac:dyDescent="0.35">
      <c r="B633" s="186">
        <v>20250654</v>
      </c>
      <c r="C633" s="187" t="s">
        <v>209</v>
      </c>
      <c r="D633" s="188" t="s">
        <v>165</v>
      </c>
      <c r="E633" s="189" t="s">
        <v>495</v>
      </c>
      <c r="F633" s="188" t="s">
        <v>933</v>
      </c>
      <c r="G633" s="188" t="s">
        <v>155</v>
      </c>
      <c r="H633" s="190">
        <v>80111600</v>
      </c>
      <c r="I633" s="191">
        <v>3</v>
      </c>
      <c r="J633" s="191">
        <v>8</v>
      </c>
      <c r="K633" s="192">
        <v>0</v>
      </c>
      <c r="L633" s="193">
        <f>65000000</f>
        <v>65000000</v>
      </c>
      <c r="M633" s="188" t="s">
        <v>473</v>
      </c>
      <c r="N633" s="194" t="s">
        <v>113</v>
      </c>
      <c r="O633" s="189" t="s">
        <v>229</v>
      </c>
      <c r="P633" s="195" t="str">
        <f>IFERROR(VLOOKUP(C633,TD!$B$32:$F$36,2,0)," ")</f>
        <v>O230117</v>
      </c>
      <c r="Q633" s="195" t="str">
        <f>IFERROR(VLOOKUP(C633,TD!$B$32:$F$36,3,0)," ")</f>
        <v>4503</v>
      </c>
      <c r="R633" s="195">
        <f>IFERROR(VLOOKUP(C633,TD!$B$32:$F$36,4,0)," ")</f>
        <v>20240255</v>
      </c>
      <c r="S633" s="189" t="s">
        <v>183</v>
      </c>
      <c r="T633" s="195" t="str">
        <f>IFERROR(VLOOKUP(S633,TD!$J$33:$K$43,2,0)," ")</f>
        <v>Servicio de formación en gestión del riesgo de incendios para el personal UAECOB</v>
      </c>
      <c r="U633" s="185" t="str">
        <f>CONCATENATE(S633,"-",T633)</f>
        <v>07-Servicio de formación en gestión del riesgo de incendios para el personal UAECOB</v>
      </c>
      <c r="V633" s="189" t="s">
        <v>233</v>
      </c>
      <c r="W633" s="195" t="str">
        <f>IFERROR(VLOOKUP(V633,TD!$N$33:$O$45,2,0)," ")</f>
        <v>Servicio de educación informal</v>
      </c>
      <c r="X633" s="185" t="str">
        <f>CONCATENATE(V633,"_",W633)</f>
        <v>002_Servicio de educación informal</v>
      </c>
      <c r="Y633" s="185" t="str">
        <f>CONCATENATE(U633," ",X633)</f>
        <v>07-Servicio de formación en gestión del riesgo de incendios para el personal UAECOB 002_Servicio de educación informal</v>
      </c>
      <c r="Z633" s="195" t="str">
        <f>CONCATENATE(P633,Q633,R633,S633,V633)</f>
        <v>O23011745032024025507002</v>
      </c>
      <c r="AA633" s="195" t="str">
        <f>IFERROR(VLOOKUP(Y633,TD!$K$46:$L$64,2,0)," ")</f>
        <v>PM/0131/0107/45030020255</v>
      </c>
      <c r="AB633" s="194" t="s">
        <v>138</v>
      </c>
      <c r="AC633" s="196" t="s">
        <v>204</v>
      </c>
    </row>
    <row r="634" spans="2:29" s="28" customFormat="1" ht="99" customHeight="1" x14ac:dyDescent="0.35">
      <c r="B634" s="186">
        <v>20250655</v>
      </c>
      <c r="C634" s="187" t="s">
        <v>346</v>
      </c>
      <c r="D634" s="188" t="s">
        <v>165</v>
      </c>
      <c r="E634" s="189" t="s">
        <v>495</v>
      </c>
      <c r="F634" s="188" t="s">
        <v>934</v>
      </c>
      <c r="G634" s="188" t="s">
        <v>96</v>
      </c>
      <c r="H634" s="190">
        <v>81141504</v>
      </c>
      <c r="I634" s="191">
        <v>5</v>
      </c>
      <c r="J634" s="191">
        <v>6</v>
      </c>
      <c r="K634" s="192">
        <v>0</v>
      </c>
      <c r="L634" s="193">
        <f>50000000</f>
        <v>50000000</v>
      </c>
      <c r="M634" s="188" t="s">
        <v>172</v>
      </c>
      <c r="N634" s="194" t="s">
        <v>100</v>
      </c>
      <c r="O634" s="189" t="s">
        <v>347</v>
      </c>
      <c r="P634" s="195" t="str">
        <f>IFERROR(VLOOKUP(C634,TD!$B$32:$F$36,2,0)," ")</f>
        <v>NA</v>
      </c>
      <c r="Q634" s="195" t="str">
        <f>IFERROR(VLOOKUP(C634,TD!$B$32:$F$36,3,0)," ")</f>
        <v>NA</v>
      </c>
      <c r="R634" s="195" t="str">
        <f>IFERROR(VLOOKUP(C634,TD!$B$32:$F$36,4,0)," ")</f>
        <v>NA</v>
      </c>
      <c r="S634" s="189" t="s">
        <v>406</v>
      </c>
      <c r="T634" s="195" t="str">
        <f>IFERROR(VLOOKUP(S634,TD!$J$33:$K$43,2,0)," ")</f>
        <v>N/A</v>
      </c>
      <c r="U634" s="185" t="str">
        <f>CONCATENATE(S634,"-",T634)</f>
        <v>N/A-N/A</v>
      </c>
      <c r="V634" s="189" t="s">
        <v>406</v>
      </c>
      <c r="W634" s="195" t="str">
        <f>IFERROR(VLOOKUP(V634,TD!$N$33:$O$45,2,0)," ")</f>
        <v>N/A</v>
      </c>
      <c r="X634" s="185" t="str">
        <f>CONCATENATE(V634,"_",W634)</f>
        <v>N/A_N/A</v>
      </c>
      <c r="Y634" s="185" t="str">
        <f>CONCATENATE(U634," ",X634)</f>
        <v>N/A-N/A N/A_N/A</v>
      </c>
      <c r="Z634" s="195" t="str">
        <f>CONCATENATE(P634,Q634,R634,S634,V634)</f>
        <v>NANANAN/AN/A</v>
      </c>
      <c r="AA634" s="195" t="str">
        <f>IFERROR(VLOOKUP(Y634,TD!$K$46:$L$64,2,0)," ")</f>
        <v>N/A</v>
      </c>
      <c r="AB634" s="194" t="s">
        <v>348</v>
      </c>
      <c r="AC634" s="196" t="s">
        <v>204</v>
      </c>
    </row>
    <row r="635" spans="2:29" s="28" customFormat="1" ht="99" customHeight="1" x14ac:dyDescent="0.35">
      <c r="B635" s="186">
        <v>20250656</v>
      </c>
      <c r="C635" s="187" t="s">
        <v>208</v>
      </c>
      <c r="D635" s="188" t="s">
        <v>36</v>
      </c>
      <c r="E635" s="189" t="s">
        <v>378</v>
      </c>
      <c r="F635" s="188" t="s">
        <v>955</v>
      </c>
      <c r="G635" s="188" t="s">
        <v>156</v>
      </c>
      <c r="H635" s="190">
        <v>80111601</v>
      </c>
      <c r="I635" s="191">
        <v>3</v>
      </c>
      <c r="J635" s="191">
        <v>8</v>
      </c>
      <c r="K635" s="192">
        <v>0</v>
      </c>
      <c r="L635" s="193">
        <v>46449783</v>
      </c>
      <c r="M635" s="188" t="s">
        <v>473</v>
      </c>
      <c r="N635" s="194" t="s">
        <v>113</v>
      </c>
      <c r="O635" s="189" t="s">
        <v>212</v>
      </c>
      <c r="P635" s="195" t="str">
        <f>IFERROR(VLOOKUP(C635,TD!$B$32:$F$36,2,0)," ")</f>
        <v>O230117</v>
      </c>
      <c r="Q635" s="195" t="str">
        <f>IFERROR(VLOOKUP(C635,TD!$B$32:$F$36,3,0)," ")</f>
        <v>4599</v>
      </c>
      <c r="R635" s="195">
        <f>IFERROR(VLOOKUP(C635,TD!$B$32:$F$36,4,0)," ")</f>
        <v>20240207</v>
      </c>
      <c r="S635" s="189" t="s">
        <v>193</v>
      </c>
      <c r="T635" s="195" t="str">
        <f>IFERROR(VLOOKUP(S635,TD!$J$33:$K$43,2,0)," ")</f>
        <v>Servicios para la planeación y sistemas de gestión y comunicación estratégica</v>
      </c>
      <c r="U635" s="208" t="str">
        <f>CONCATENATE(S635,"-",T635)</f>
        <v>13-Servicios para la planeación y sistemas de gestión y comunicación estratégica</v>
      </c>
      <c r="V635" s="189" t="s">
        <v>241</v>
      </c>
      <c r="W635" s="195" t="str">
        <f>IFERROR(VLOOKUP(V635,TD!$N$33:$O$45,2,0)," ")</f>
        <v>Servicio de Implementación Sistemas de Gestión</v>
      </c>
      <c r="X635" s="208" t="str">
        <f>CONCATENATE(V635,"_",W635)</f>
        <v>023_Servicio de Implementación Sistemas de Gestión</v>
      </c>
      <c r="Y635" s="208" t="str">
        <f>CONCATENATE(U635," ",X635)</f>
        <v>13-Servicios para la planeación y sistemas de gestión y comunicación estratégica 023_Servicio de Implementación Sistemas de Gestión</v>
      </c>
      <c r="Z635" s="195" t="str">
        <f>CONCATENATE(P635,Q635,R635,S635,V635)</f>
        <v>O23011745992024020713023</v>
      </c>
      <c r="AA635" s="195" t="str">
        <f>IFERROR(VLOOKUP(Y635,TD!$K$46:$L$64,2,0)," ")</f>
        <v>PM/0131/0113/45990230207</v>
      </c>
      <c r="AB635" s="194" t="s">
        <v>138</v>
      </c>
      <c r="AC635" s="196" t="s">
        <v>204</v>
      </c>
    </row>
    <row r="636" spans="2:29" s="28" customFormat="1" ht="99" customHeight="1" x14ac:dyDescent="0.35">
      <c r="B636" s="186">
        <v>20250657</v>
      </c>
      <c r="C636" s="187" t="s">
        <v>209</v>
      </c>
      <c r="D636" s="188" t="s">
        <v>168</v>
      </c>
      <c r="E636" s="189" t="s">
        <v>640</v>
      </c>
      <c r="F636" s="188" t="s">
        <v>959</v>
      </c>
      <c r="G636" s="188" t="s">
        <v>156</v>
      </c>
      <c r="H636" s="190">
        <v>80111600</v>
      </c>
      <c r="I636" s="191">
        <v>3</v>
      </c>
      <c r="J636" s="191">
        <v>8</v>
      </c>
      <c r="K636" s="192">
        <v>0</v>
      </c>
      <c r="L636" s="193">
        <f>19200000</f>
        <v>19200000</v>
      </c>
      <c r="M636" s="188" t="s">
        <v>473</v>
      </c>
      <c r="N636" s="194" t="s">
        <v>113</v>
      </c>
      <c r="O636" s="189" t="s">
        <v>224</v>
      </c>
      <c r="P636" s="195" t="str">
        <f>IFERROR(VLOOKUP(C636,TD!$B$32:$F$36,2,0)," ")</f>
        <v>O230117</v>
      </c>
      <c r="Q636" s="195" t="str">
        <f>IFERROR(VLOOKUP(C636,TD!$B$32:$F$36,3,0)," ")</f>
        <v>4503</v>
      </c>
      <c r="R636" s="195">
        <f>IFERROR(VLOOKUP(C636,TD!$B$32:$F$36,4,0)," ")</f>
        <v>20240255</v>
      </c>
      <c r="S636" s="189" t="s">
        <v>191</v>
      </c>
      <c r="T636" s="195" t="str">
        <f>IFERROR(VLOOKUP(S636,TD!$J$33:$K$43,2,0)," ")</f>
        <v>Servicio de apoyo   logístico  en eventos operativos y/o emergencias.</v>
      </c>
      <c r="U636" s="209" t="str">
        <f>CONCATENATE(S636,"-",T636)</f>
        <v>12-Servicio de apoyo   logístico  en eventos operativos y/o emergencias.</v>
      </c>
      <c r="V636" s="189" t="s">
        <v>232</v>
      </c>
      <c r="W636" s="195" t="str">
        <f>IFERROR(VLOOKUP(V636,TD!$N$33:$O$45,2,0)," ")</f>
        <v>Servicio de atención a emergencias y desastres</v>
      </c>
      <c r="X636" s="209" t="str">
        <f>CONCATENATE(V636,"_",W636)</f>
        <v>004_Servicio de atención a emergencias y desastres</v>
      </c>
      <c r="Y636" s="209" t="str">
        <f>CONCATENATE(U636," ",X636)</f>
        <v>12-Servicio de apoyo   logístico  en eventos operativos y/o emergencias. 004_Servicio de atención a emergencias y desastres</v>
      </c>
      <c r="Z636" s="195" t="str">
        <f>CONCATENATE(P636,Q636,R636,S636,V636)</f>
        <v>O23011745032024025512004</v>
      </c>
      <c r="AA636" s="195" t="str">
        <f>IFERROR(VLOOKUP(Y636,TD!$K$46:$L$64,2,0)," ")</f>
        <v>PM/0131/0112/45030040255</v>
      </c>
      <c r="AB636" s="194" t="s">
        <v>138</v>
      </c>
      <c r="AC636" s="196" t="s">
        <v>204</v>
      </c>
    </row>
    <row r="637" spans="2:29" s="28" customFormat="1" ht="99" customHeight="1" x14ac:dyDescent="0.35">
      <c r="B637" s="186">
        <v>20250658</v>
      </c>
      <c r="C637" s="187" t="s">
        <v>209</v>
      </c>
      <c r="D637" s="188" t="s">
        <v>168</v>
      </c>
      <c r="E637" s="189" t="s">
        <v>640</v>
      </c>
      <c r="F637" s="188" t="s">
        <v>964</v>
      </c>
      <c r="G637" s="188" t="s">
        <v>146</v>
      </c>
      <c r="H637" s="190">
        <v>78181500</v>
      </c>
      <c r="I637" s="191">
        <v>3</v>
      </c>
      <c r="J637" s="191">
        <v>3</v>
      </c>
      <c r="K637" s="192">
        <v>0</v>
      </c>
      <c r="L637" s="193">
        <f>1600000000</f>
        <v>1600000000</v>
      </c>
      <c r="M637" s="188" t="s">
        <v>473</v>
      </c>
      <c r="N637" s="194" t="s">
        <v>85</v>
      </c>
      <c r="O637" s="189" t="s">
        <v>224</v>
      </c>
      <c r="P637" s="195" t="str">
        <f>IFERROR(VLOOKUP(C637,TD!$B$32:$F$36,2,0)," ")</f>
        <v>O230117</v>
      </c>
      <c r="Q637" s="195" t="str">
        <f>IFERROR(VLOOKUP(C637,TD!$B$32:$F$36,3,0)," ")</f>
        <v>4503</v>
      </c>
      <c r="R637" s="195">
        <f>IFERROR(VLOOKUP(C637,TD!$B$32:$F$36,4,0)," ")</f>
        <v>20240255</v>
      </c>
      <c r="S637" s="189" t="s">
        <v>187</v>
      </c>
      <c r="T637" s="195" t="str">
        <f>IFERROR(VLOOKUP(S637,TD!$J$33:$K$43,2,0)," ")</f>
        <v>Servicio de mantenimiento, dotación (HEA´s y equipo menor) y adquisición de vehiculos   especializados para la atención de emergencias.</v>
      </c>
      <c r="U637" s="209" t="str">
        <f>CONCATENATE(S637,"-",T637)</f>
        <v>09-Servicio de mantenimiento, dotación (HEA´s y equipo menor) y adquisición de vehiculos   especializados para la atención de emergencias.</v>
      </c>
      <c r="V637" s="189" t="s">
        <v>232</v>
      </c>
      <c r="W637" s="195" t="str">
        <f>IFERROR(VLOOKUP(V637,TD!$N$33:$O$45,2,0)," ")</f>
        <v>Servicio de atención a emergencias y desastres</v>
      </c>
      <c r="X637" s="209" t="str">
        <f>CONCATENATE(V637,"_",W637)</f>
        <v>004_Servicio de atención a emergencias y desastres</v>
      </c>
      <c r="Y637" s="209" t="str">
        <f>CONCATENATE(U637," ",X637)</f>
        <v>09-Servicio de mantenimiento, dotación (HEA´s y equipo menor) y adquisición de vehiculos   especializados para la atención de emergencias. 004_Servicio de atención a emergencias y desastres</v>
      </c>
      <c r="Z637" s="195" t="str">
        <f>CONCATENATE(P637,Q637,R637,S637,V637)</f>
        <v>O23011745032024025509004</v>
      </c>
      <c r="AA637" s="195" t="str">
        <f>IFERROR(VLOOKUP(Y637,TD!$K$46:$L$64,2,0)," ")</f>
        <v>PM/0131/0109/45030040255</v>
      </c>
      <c r="AB637" s="194" t="s">
        <v>145</v>
      </c>
      <c r="AC637" s="196" t="s">
        <v>205</v>
      </c>
    </row>
    <row r="638" spans="2:29" s="28" customFormat="1" ht="99" customHeight="1" x14ac:dyDescent="0.35">
      <c r="B638" s="186">
        <v>20250659</v>
      </c>
      <c r="C638" s="187" t="s">
        <v>209</v>
      </c>
      <c r="D638" s="188" t="s">
        <v>168</v>
      </c>
      <c r="E638" s="189" t="s">
        <v>640</v>
      </c>
      <c r="F638" s="188" t="s">
        <v>958</v>
      </c>
      <c r="G638" s="188" t="s">
        <v>137</v>
      </c>
      <c r="H638" s="190" t="s">
        <v>406</v>
      </c>
      <c r="I638" s="191">
        <v>0</v>
      </c>
      <c r="J638" s="191">
        <v>0</v>
      </c>
      <c r="K638" s="192">
        <v>0</v>
      </c>
      <c r="L638" s="193">
        <f>5635667</f>
        <v>5635667</v>
      </c>
      <c r="M638" s="188" t="s">
        <v>473</v>
      </c>
      <c r="N638" s="194" t="s">
        <v>128</v>
      </c>
      <c r="O638" s="189" t="s">
        <v>224</v>
      </c>
      <c r="P638" s="195" t="str">
        <f>IFERROR(VLOOKUP(C638,TD!$B$32:$F$36,2,0)," ")</f>
        <v>O230117</v>
      </c>
      <c r="Q638" s="195" t="str">
        <f>IFERROR(VLOOKUP(C638,TD!$B$32:$F$36,3,0)," ")</f>
        <v>4503</v>
      </c>
      <c r="R638" s="195">
        <f>IFERROR(VLOOKUP(C638,TD!$B$32:$F$36,4,0)," ")</f>
        <v>20240255</v>
      </c>
      <c r="S638" s="189" t="s">
        <v>191</v>
      </c>
      <c r="T638" s="195" t="str">
        <f>IFERROR(VLOOKUP(S638,TD!$J$33:$K$43,2,0)," ")</f>
        <v>Servicio de apoyo   logístico  en eventos operativos y/o emergencias.</v>
      </c>
      <c r="U638" s="209" t="str">
        <f>CONCATENATE(S638,"-",T638)</f>
        <v>12-Servicio de apoyo   logístico  en eventos operativos y/o emergencias.</v>
      </c>
      <c r="V638" s="189" t="s">
        <v>232</v>
      </c>
      <c r="W638" s="195" t="str">
        <f>IFERROR(VLOOKUP(V638,TD!$N$33:$O$45,2,0)," ")</f>
        <v>Servicio de atención a emergencias y desastres</v>
      </c>
      <c r="X638" s="209" t="str">
        <f>CONCATENATE(V638,"_",W638)</f>
        <v>004_Servicio de atención a emergencias y desastres</v>
      </c>
      <c r="Y638" s="209" t="str">
        <f>CONCATENATE(U638," ",X638)</f>
        <v>12-Servicio de apoyo   logístico  en eventos operativos y/o emergencias. 004_Servicio de atención a emergencias y desastres</v>
      </c>
      <c r="Z638" s="195" t="str">
        <f>CONCATENATE(P638,Q638,R638,S638,V638)</f>
        <v>O23011745032024025512004</v>
      </c>
      <c r="AA638" s="195" t="str">
        <f>IFERROR(VLOOKUP(Y638,TD!$K$46:$L$64,2,0)," ")</f>
        <v>PM/0131/0112/45030040255</v>
      </c>
      <c r="AB638" s="194" t="s">
        <v>147</v>
      </c>
      <c r="AC638" s="196" t="s">
        <v>205</v>
      </c>
    </row>
    <row r="639" spans="2:29" s="28" customFormat="1" ht="99" customHeight="1" x14ac:dyDescent="0.35">
      <c r="B639" s="186">
        <v>20250660</v>
      </c>
      <c r="C639" s="187" t="s">
        <v>208</v>
      </c>
      <c r="D639" s="188" t="s">
        <v>162</v>
      </c>
      <c r="E639" s="189" t="s">
        <v>355</v>
      </c>
      <c r="F639" s="188" t="s">
        <v>960</v>
      </c>
      <c r="G639" s="188" t="s">
        <v>156</v>
      </c>
      <c r="H639" s="190">
        <v>80111600</v>
      </c>
      <c r="I639" s="191">
        <v>3</v>
      </c>
      <c r="J639" s="191">
        <v>10</v>
      </c>
      <c r="K639" s="192">
        <v>0</v>
      </c>
      <c r="L639" s="193">
        <v>43812400</v>
      </c>
      <c r="M639" s="188" t="s">
        <v>473</v>
      </c>
      <c r="N639" s="194" t="s">
        <v>113</v>
      </c>
      <c r="O639" s="189" t="s">
        <v>214</v>
      </c>
      <c r="P639" s="195" t="str">
        <f>IFERROR(VLOOKUP(C639,TD!$B$32:$F$36,2,0)," ")</f>
        <v>O230117</v>
      </c>
      <c r="Q639" s="195" t="str">
        <f>IFERROR(VLOOKUP(C639,TD!$B$32:$F$36,3,0)," ")</f>
        <v>4599</v>
      </c>
      <c r="R639" s="195">
        <f>IFERROR(VLOOKUP(C639,TD!$B$32:$F$36,4,0)," ")</f>
        <v>20240207</v>
      </c>
      <c r="S639" s="189" t="s">
        <v>179</v>
      </c>
      <c r="T639" s="195" t="str">
        <f>IFERROR(VLOOKUP(S639,TD!$J$33:$K$43,2,0)," ")</f>
        <v>Infraestructura Tecnológica   (Sistemas de Información y Tecnologia)</v>
      </c>
      <c r="U639" s="210" t="str">
        <f>CONCATENATE(S639,"-",T639)</f>
        <v>11-Infraestructura Tecnológica   (Sistemas de Información y Tecnologia)</v>
      </c>
      <c r="V639" s="189" t="s">
        <v>239</v>
      </c>
      <c r="W639" s="195" t="str">
        <f>IFERROR(VLOOKUP(V639,TD!$N$33:$O$45,2,0)," ")</f>
        <v>Servicios tecnológicos</v>
      </c>
      <c r="X639" s="210" t="str">
        <f>CONCATENATE(V639,"_",W639)</f>
        <v>007_Servicios tecnológicos</v>
      </c>
      <c r="Y639" s="210" t="str">
        <f>CONCATENATE(U639," ",X639)</f>
        <v>11-Infraestructura Tecnológica   (Sistemas de Información y Tecnologia) 007_Servicios tecnológicos</v>
      </c>
      <c r="Z639" s="195" t="str">
        <f>CONCATENATE(P639,Q639,R639,S639,V639)</f>
        <v>O23011745992024020711007</v>
      </c>
      <c r="AA639" s="195" t="str">
        <f>IFERROR(VLOOKUP(Y639,TD!$K$46:$L$64,2,0)," ")</f>
        <v>PM/0131/0111/45990070207</v>
      </c>
      <c r="AB639" s="194" t="s">
        <v>138</v>
      </c>
      <c r="AC639" s="196" t="s">
        <v>204</v>
      </c>
    </row>
    <row r="640" spans="2:29" s="28" customFormat="1" ht="99" customHeight="1" x14ac:dyDescent="0.35">
      <c r="B640" s="186">
        <v>20250661</v>
      </c>
      <c r="C640" s="187" t="s">
        <v>209</v>
      </c>
      <c r="D640" s="188" t="s">
        <v>167</v>
      </c>
      <c r="E640" s="189" t="s">
        <v>527</v>
      </c>
      <c r="F640" s="188" t="s">
        <v>373</v>
      </c>
      <c r="G640" s="188" t="s">
        <v>155</v>
      </c>
      <c r="H640" s="190">
        <v>80111600</v>
      </c>
      <c r="I640" s="191">
        <v>1</v>
      </c>
      <c r="J640" s="191">
        <v>10</v>
      </c>
      <c r="K640" s="192">
        <v>0</v>
      </c>
      <c r="L640" s="193">
        <v>61530876</v>
      </c>
      <c r="M640" s="188" t="s">
        <v>473</v>
      </c>
      <c r="N640" s="194" t="s">
        <v>113</v>
      </c>
      <c r="O640" s="189" t="s">
        <v>221</v>
      </c>
      <c r="P640" s="195" t="str">
        <f>IFERROR(VLOOKUP(C640,TD!$B$32:$F$36,2,0)," ")</f>
        <v>O230117</v>
      </c>
      <c r="Q640" s="195" t="str">
        <f>IFERROR(VLOOKUP(C640,TD!$B$32:$F$36,3,0)," ")</f>
        <v>4503</v>
      </c>
      <c r="R640" s="195">
        <f>IFERROR(VLOOKUP(C640,TD!$B$32:$F$36,4,0)," ")</f>
        <v>20240255</v>
      </c>
      <c r="S640" s="189" t="s">
        <v>181</v>
      </c>
      <c r="T640" s="195" t="str">
        <f>IFERROR(VLOOKUP(S640,TD!$J$33:$K$43,2,0)," ")</f>
        <v>Servicio de inspecciones técnicas realizadas</v>
      </c>
      <c r="U640" s="211" t="str">
        <f>CONCATENATE(S640,"-",T640)</f>
        <v>06-Servicio de inspecciones técnicas realizadas</v>
      </c>
      <c r="V640" s="189" t="s">
        <v>234</v>
      </c>
      <c r="W640" s="195" t="str">
        <f>IFERROR(VLOOKUP(V640,TD!$N$33:$O$45,2,0)," ")</f>
        <v>Servicio prevención y control de incendios</v>
      </c>
      <c r="X640" s="211" t="str">
        <f>CONCATENATE(V640,"_",W640)</f>
        <v>035_Servicio prevención y control de incendios</v>
      </c>
      <c r="Y640" s="211" t="str">
        <f>CONCATENATE(U640," ",X640)</f>
        <v>06-Servicio de inspecciones técnicas realizadas 035_Servicio prevención y control de incendios</v>
      </c>
      <c r="Z640" s="195" t="str">
        <f>CONCATENATE(P640,Q640,R640,S640,V640)</f>
        <v>O23011745032024025506035</v>
      </c>
      <c r="AA640" s="195" t="str">
        <f>IFERROR(VLOOKUP(Y640,TD!$K$46:$L$64,2,0)," ")</f>
        <v>PM/0131/0106/45030350255</v>
      </c>
      <c r="AB640" s="194" t="s">
        <v>138</v>
      </c>
      <c r="AC640" s="196" t="s">
        <v>204</v>
      </c>
    </row>
    <row r="641" spans="2:29" s="28" customFormat="1" ht="99" customHeight="1" x14ac:dyDescent="0.35">
      <c r="B641" s="186">
        <v>20250662</v>
      </c>
      <c r="C641" s="187" t="s">
        <v>209</v>
      </c>
      <c r="D641" s="188" t="s">
        <v>167</v>
      </c>
      <c r="E641" s="189" t="s">
        <v>527</v>
      </c>
      <c r="F641" s="188" t="s">
        <v>961</v>
      </c>
      <c r="G641" s="188" t="s">
        <v>155</v>
      </c>
      <c r="H641" s="190">
        <v>80111600</v>
      </c>
      <c r="I641" s="191">
        <v>0</v>
      </c>
      <c r="J641" s="191">
        <v>0</v>
      </c>
      <c r="K641" s="192">
        <v>0</v>
      </c>
      <c r="L641" s="193">
        <v>1410000</v>
      </c>
      <c r="M641" s="188" t="s">
        <v>173</v>
      </c>
      <c r="N641" s="194" t="s">
        <v>128</v>
      </c>
      <c r="O641" s="189" t="s">
        <v>225</v>
      </c>
      <c r="P641" s="195" t="str">
        <f>IFERROR(VLOOKUP(C641,TD!$B$32:$F$36,2,0)," ")</f>
        <v>O230117</v>
      </c>
      <c r="Q641" s="195" t="str">
        <f>IFERROR(VLOOKUP(C641,TD!$B$32:$F$36,3,0)," ")</f>
        <v>4503</v>
      </c>
      <c r="R641" s="195">
        <f>IFERROR(VLOOKUP(C641,TD!$B$32:$F$36,4,0)," ")</f>
        <v>20240255</v>
      </c>
      <c r="S641" s="189" t="s">
        <v>179</v>
      </c>
      <c r="T641" s="195" t="str">
        <f>IFERROR(VLOOKUP(S641,TD!$J$33:$K$43,2,0)," ")</f>
        <v>Infraestructura Tecnológica   (Sistemas de Información y Tecnologia)</v>
      </c>
      <c r="U641" s="211" t="str">
        <f>CONCATENATE(S641,"-",T641)</f>
        <v>11-Infraestructura Tecnológica   (Sistemas de Información y Tecnologia)</v>
      </c>
      <c r="V641" s="189" t="s">
        <v>235</v>
      </c>
      <c r="W641" s="195" t="str">
        <f>IFERROR(VLOOKUP(V641,TD!$N$33:$O$45,2,0)," ")</f>
        <v>"Servicio de monitoreo y seguimiento para la gestión del riesgo"</v>
      </c>
      <c r="X641" s="211" t="str">
        <f>CONCATENATE(V641,"_",W641)</f>
        <v>018_"Servicio de monitoreo y seguimiento para la gestión del riesgo"</v>
      </c>
      <c r="Y641" s="211" t="str">
        <f>CONCATENATE(U641," ",X641)</f>
        <v>11-Infraestructura Tecnológica   (Sistemas de Información y Tecnologia) 018_"Servicio de monitoreo y seguimiento para la gestión del riesgo"</v>
      </c>
      <c r="Z641" s="195" t="str">
        <f>CONCATENATE(P641,Q641,R641,S641,V641)</f>
        <v>O23011745032024025511018</v>
      </c>
      <c r="AA641" s="195" t="str">
        <f>IFERROR(VLOOKUP(Y641,TD!$K$46:$L$64,2,0)," ")</f>
        <v>PM/0131/0111/45030180255</v>
      </c>
      <c r="AB641" s="194" t="s">
        <v>138</v>
      </c>
      <c r="AC641" s="196" t="s">
        <v>205</v>
      </c>
    </row>
    <row r="642" spans="2:29" s="28" customFormat="1" ht="99" customHeight="1" x14ac:dyDescent="0.35">
      <c r="B642" s="186">
        <v>20250663</v>
      </c>
      <c r="C642" s="187" t="s">
        <v>346</v>
      </c>
      <c r="D642" s="188" t="s">
        <v>168</v>
      </c>
      <c r="E642" s="189" t="s">
        <v>640</v>
      </c>
      <c r="F642" s="188" t="s">
        <v>962</v>
      </c>
      <c r="G642" s="188" t="s">
        <v>96</v>
      </c>
      <c r="H642" s="190">
        <v>78181505</v>
      </c>
      <c r="I642" s="191">
        <v>3</v>
      </c>
      <c r="J642" s="191">
        <v>2</v>
      </c>
      <c r="K642" s="192">
        <v>0</v>
      </c>
      <c r="L642" s="193">
        <v>2000000</v>
      </c>
      <c r="M642" s="188" t="s">
        <v>172</v>
      </c>
      <c r="N642" s="194" t="s">
        <v>100</v>
      </c>
      <c r="O642" s="189" t="s">
        <v>347</v>
      </c>
      <c r="P642" s="195" t="str">
        <f>IFERROR(VLOOKUP(C642,TD!$B$32:$F$36,2,0)," ")</f>
        <v>NA</v>
      </c>
      <c r="Q642" s="195" t="str">
        <f>IFERROR(VLOOKUP(C642,TD!$B$32:$F$36,3,0)," ")</f>
        <v>NA</v>
      </c>
      <c r="R642" s="195" t="str">
        <f>IFERROR(VLOOKUP(C642,TD!$B$32:$F$36,4,0)," ")</f>
        <v>NA</v>
      </c>
      <c r="S642" s="189" t="s">
        <v>406</v>
      </c>
      <c r="T642" s="195" t="str">
        <f>IFERROR(VLOOKUP(S642,TD!$J$33:$K$43,2,0)," ")</f>
        <v>N/A</v>
      </c>
      <c r="U642" s="209" t="str">
        <f>CONCATENATE(S642,"-",T642)</f>
        <v>N/A-N/A</v>
      </c>
      <c r="V642" s="189" t="s">
        <v>406</v>
      </c>
      <c r="W642" s="195" t="str">
        <f>IFERROR(VLOOKUP(V642,TD!$N$33:$O$45,2,0)," ")</f>
        <v>N/A</v>
      </c>
      <c r="X642" s="209" t="str">
        <f>CONCATENATE(V642,"_",W642)</f>
        <v>N/A_N/A</v>
      </c>
      <c r="Y642" s="209" t="str">
        <f>CONCATENATE(U642," ",X642)</f>
        <v>N/A-N/A N/A_N/A</v>
      </c>
      <c r="Z642" s="195" t="str">
        <f>CONCATENATE(P642,Q642,R642,S642,V642)</f>
        <v>NANANAN/AN/A</v>
      </c>
      <c r="AA642" s="195" t="str">
        <f>IFERROR(VLOOKUP(Y642,TD!$K$46:$L$64,2,0)," ")</f>
        <v>N/A</v>
      </c>
      <c r="AB642" s="194" t="s">
        <v>461</v>
      </c>
      <c r="AC642" s="196" t="s">
        <v>205</v>
      </c>
    </row>
    <row r="643" spans="2:29" s="28" customFormat="1" ht="99" customHeight="1" x14ac:dyDescent="0.35">
      <c r="B643" s="186">
        <v>20250664</v>
      </c>
      <c r="C643" s="187" t="s">
        <v>209</v>
      </c>
      <c r="D643" s="188" t="s">
        <v>168</v>
      </c>
      <c r="E643" s="189" t="s">
        <v>640</v>
      </c>
      <c r="F643" s="188" t="s">
        <v>963</v>
      </c>
      <c r="G643" s="188" t="s">
        <v>156</v>
      </c>
      <c r="H643" s="190">
        <v>80111600</v>
      </c>
      <c r="I643" s="191">
        <v>3</v>
      </c>
      <c r="J643" s="191">
        <v>6</v>
      </c>
      <c r="K643" s="192">
        <v>0</v>
      </c>
      <c r="L643" s="193">
        <v>19680000</v>
      </c>
      <c r="M643" s="188" t="s">
        <v>473</v>
      </c>
      <c r="N643" s="194" t="s">
        <v>113</v>
      </c>
      <c r="O643" s="189" t="s">
        <v>226</v>
      </c>
      <c r="P643" s="195" t="str">
        <f>IFERROR(VLOOKUP(C643,TD!$B$32:$F$36,2,0)," ")</f>
        <v>O230117</v>
      </c>
      <c r="Q643" s="195" t="str">
        <f>IFERROR(VLOOKUP(C643,TD!$B$32:$F$36,3,0)," ")</f>
        <v>4503</v>
      </c>
      <c r="R643" s="195">
        <f>IFERROR(VLOOKUP(C643,TD!$B$32:$F$36,4,0)," ")</f>
        <v>20240255</v>
      </c>
      <c r="S643" s="189" t="s">
        <v>191</v>
      </c>
      <c r="T643" s="195" t="str">
        <f>IFERROR(VLOOKUP(S643,TD!$J$33:$K$43,2,0)," ")</f>
        <v>Servicio de apoyo   logístico  en eventos operativos y/o emergencias.</v>
      </c>
      <c r="U643" s="209" t="str">
        <f>CONCATENATE(S643,"-",T643)</f>
        <v>12-Servicio de apoyo   logístico  en eventos operativos y/o emergencias.</v>
      </c>
      <c r="V643" s="189" t="s">
        <v>232</v>
      </c>
      <c r="W643" s="195" t="str">
        <f>IFERROR(VLOOKUP(V643,TD!$N$33:$O$45,2,0)," ")</f>
        <v>Servicio de atención a emergencias y desastres</v>
      </c>
      <c r="X643" s="209" t="str">
        <f>CONCATENATE(V643,"_",W643)</f>
        <v>004_Servicio de atención a emergencias y desastres</v>
      </c>
      <c r="Y643" s="209" t="str">
        <f>CONCATENATE(U643," ",X643)</f>
        <v>12-Servicio de apoyo   logístico  en eventos operativos y/o emergencias. 004_Servicio de atención a emergencias y desastres</v>
      </c>
      <c r="Z643" s="195" t="str">
        <f>CONCATENATE(P643,Q643,R643,S643,V643)</f>
        <v>O23011745032024025512004</v>
      </c>
      <c r="AA643" s="195" t="str">
        <f>IFERROR(VLOOKUP(Y643,TD!$K$46:$L$64,2,0)," ")</f>
        <v>PM/0131/0112/45030040255</v>
      </c>
      <c r="AB643" s="194" t="s">
        <v>138</v>
      </c>
      <c r="AC643" s="196" t="s">
        <v>204</v>
      </c>
    </row>
    <row r="644" spans="2:29" s="28" customFormat="1" ht="99" customHeight="1" x14ac:dyDescent="0.35">
      <c r="B644" s="186">
        <v>20250665</v>
      </c>
      <c r="C644" s="187" t="s">
        <v>208</v>
      </c>
      <c r="D644" s="188" t="s">
        <v>166</v>
      </c>
      <c r="E644" s="189" t="s">
        <v>592</v>
      </c>
      <c r="F644" s="188" t="s">
        <v>969</v>
      </c>
      <c r="G644" s="188" t="s">
        <v>152</v>
      </c>
      <c r="H644" s="190" t="s">
        <v>971</v>
      </c>
      <c r="I644" s="191">
        <v>3</v>
      </c>
      <c r="J644" s="191">
        <v>3</v>
      </c>
      <c r="K644" s="192">
        <v>0</v>
      </c>
      <c r="L644" s="193">
        <v>50000000</v>
      </c>
      <c r="M644" s="188" t="s">
        <v>473</v>
      </c>
      <c r="N644" s="194" t="s">
        <v>95</v>
      </c>
      <c r="O644" s="189" t="s">
        <v>218</v>
      </c>
      <c r="P644" s="195" t="str">
        <f>IFERROR(VLOOKUP(C644,TD!$B$32:$F$36,2,0)," ")</f>
        <v>O230117</v>
      </c>
      <c r="Q644" s="195" t="str">
        <f>IFERROR(VLOOKUP(C644,TD!$B$32:$F$36,3,0)," ")</f>
        <v>4599</v>
      </c>
      <c r="R644" s="195">
        <f>IFERROR(VLOOKUP(C644,TD!$B$32:$F$36,4,0)," ")</f>
        <v>20240207</v>
      </c>
      <c r="S644" s="189" t="s">
        <v>185</v>
      </c>
      <c r="T644" s="195" t="str">
        <f>IFERROR(VLOOKUP(S644,TD!$J$33:$K$43,2,0)," ")</f>
        <v>Infraestructura física, mantenimiento y dotación (Sedes construidas, mantenidas reforzadas)</v>
      </c>
      <c r="U644" s="185" t="str">
        <f>CONCATENATE(S644,"-",T644)</f>
        <v>08-Infraestructura física, mantenimiento y dotación (Sedes construidas, mantenidas reforzadas)</v>
      </c>
      <c r="V644" s="189" t="s">
        <v>238</v>
      </c>
      <c r="W644" s="195" t="str">
        <f>IFERROR(VLOOKUP(V644,TD!$N$33:$O$45,2,0)," ")</f>
        <v>Sedes mantenidas</v>
      </c>
      <c r="X644" s="185" t="str">
        <f>CONCATENATE(V644,"_",W644)</f>
        <v>016_Sedes mantenidas</v>
      </c>
      <c r="Y644" s="185" t="str">
        <f>CONCATENATE(U644," ",X644)</f>
        <v>08-Infraestructura física, mantenimiento y dotación (Sedes construidas, mantenidas reforzadas) 016_Sedes mantenidas</v>
      </c>
      <c r="Z644" s="195" t="str">
        <f>CONCATENATE(P644,Q644,R644,S644,V644)</f>
        <v>O23011745992024020708016</v>
      </c>
      <c r="AA644" s="195" t="str">
        <f>IFERROR(VLOOKUP(Y644,TD!$K$46:$L$64,2,0)," ")</f>
        <v>PM/0131/0108/45990160207</v>
      </c>
      <c r="AB644" s="194" t="s">
        <v>138</v>
      </c>
      <c r="AC644" s="196" t="s">
        <v>205</v>
      </c>
    </row>
    <row r="645" spans="2:29" s="28" customFormat="1" ht="99" customHeight="1" x14ac:dyDescent="0.35">
      <c r="B645" s="186">
        <v>20250666</v>
      </c>
      <c r="C645" s="187" t="s">
        <v>208</v>
      </c>
      <c r="D645" s="188" t="s">
        <v>166</v>
      </c>
      <c r="E645" s="189" t="s">
        <v>592</v>
      </c>
      <c r="F645" s="188" t="s">
        <v>970</v>
      </c>
      <c r="G645" s="188" t="s">
        <v>146</v>
      </c>
      <c r="H645" s="190" t="s">
        <v>972</v>
      </c>
      <c r="I645" s="191">
        <v>4</v>
      </c>
      <c r="J645" s="191">
        <v>1</v>
      </c>
      <c r="K645" s="192">
        <v>0</v>
      </c>
      <c r="L645" s="193">
        <v>10000000</v>
      </c>
      <c r="M645" s="188" t="s">
        <v>473</v>
      </c>
      <c r="N645" s="194" t="s">
        <v>90</v>
      </c>
      <c r="O645" s="189" t="s">
        <v>218</v>
      </c>
      <c r="P645" s="195" t="str">
        <f>IFERROR(VLOOKUP(C645,TD!$B$32:$F$36,2,0)," ")</f>
        <v>O230117</v>
      </c>
      <c r="Q645" s="195" t="str">
        <f>IFERROR(VLOOKUP(C645,TD!$B$32:$F$36,3,0)," ")</f>
        <v>4599</v>
      </c>
      <c r="R645" s="195">
        <f>IFERROR(VLOOKUP(C645,TD!$B$32:$F$36,4,0)," ")</f>
        <v>20240207</v>
      </c>
      <c r="S645" s="189" t="s">
        <v>185</v>
      </c>
      <c r="T645" s="195" t="str">
        <f>IFERROR(VLOOKUP(S645,TD!$J$33:$K$43,2,0)," ")</f>
        <v>Infraestructura física, mantenimiento y dotación (Sedes construidas, mantenidas reforzadas)</v>
      </c>
      <c r="U645" s="185" t="str">
        <f>CONCATENATE(S645,"-",T645)</f>
        <v>08-Infraestructura física, mantenimiento y dotación (Sedes construidas, mantenidas reforzadas)</v>
      </c>
      <c r="V645" s="189" t="s">
        <v>238</v>
      </c>
      <c r="W645" s="195" t="str">
        <f>IFERROR(VLOOKUP(V645,TD!$N$33:$O$45,2,0)," ")</f>
        <v>Sedes mantenidas</v>
      </c>
      <c r="X645" s="185" t="str">
        <f>CONCATENATE(V645,"_",W645)</f>
        <v>016_Sedes mantenidas</v>
      </c>
      <c r="Y645" s="185" t="str">
        <f>CONCATENATE(U645," ",X645)</f>
        <v>08-Infraestructura física, mantenimiento y dotación (Sedes construidas, mantenidas reforzadas) 016_Sedes mantenidas</v>
      </c>
      <c r="Z645" s="195" t="str">
        <f>CONCATENATE(P645,Q645,R645,S645,V645)</f>
        <v>O23011745992024020708016</v>
      </c>
      <c r="AA645" s="195" t="str">
        <f>IFERROR(VLOOKUP(Y645,TD!$K$46:$L$64,2,0)," ")</f>
        <v>PM/0131/0108/45990160207</v>
      </c>
      <c r="AB645" s="194" t="s">
        <v>147</v>
      </c>
      <c r="AC645" s="196" t="s">
        <v>205</v>
      </c>
    </row>
    <row r="646" spans="2:29" s="28" customFormat="1" ht="99" customHeight="1" x14ac:dyDescent="0.35">
      <c r="B646" s="186">
        <v>20250667</v>
      </c>
      <c r="C646" s="187" t="s">
        <v>208</v>
      </c>
      <c r="D646" s="188" t="s">
        <v>162</v>
      </c>
      <c r="E646" s="189" t="s">
        <v>355</v>
      </c>
      <c r="F646" s="188" t="s">
        <v>824</v>
      </c>
      <c r="G646" s="188" t="s">
        <v>155</v>
      </c>
      <c r="H646" s="190">
        <v>80111600</v>
      </c>
      <c r="I646" s="191">
        <v>4</v>
      </c>
      <c r="J646" s="191">
        <v>8</v>
      </c>
      <c r="K646" s="192">
        <v>0</v>
      </c>
      <c r="L646" s="193">
        <v>48000000</v>
      </c>
      <c r="M646" s="188" t="s">
        <v>473</v>
      </c>
      <c r="N646" s="194" t="s">
        <v>113</v>
      </c>
      <c r="O646" s="189" t="s">
        <v>215</v>
      </c>
      <c r="P646" s="195" t="str">
        <f>IFERROR(VLOOKUP(C646,TD!$B$32:$F$36,2,0)," ")</f>
        <v>O230117</v>
      </c>
      <c r="Q646" s="195" t="str">
        <f>IFERROR(VLOOKUP(C646,TD!$B$32:$F$36,3,0)," ")</f>
        <v>4599</v>
      </c>
      <c r="R646" s="195">
        <f>IFERROR(VLOOKUP(C646,TD!$B$32:$F$36,4,0)," ")</f>
        <v>20240207</v>
      </c>
      <c r="S646" s="189" t="s">
        <v>179</v>
      </c>
      <c r="T646" s="195" t="str">
        <f>IFERROR(VLOOKUP(S646,TD!$J$33:$K$43,2,0)," ")</f>
        <v>Infraestructura Tecnológica   (Sistemas de Información y Tecnologia)</v>
      </c>
      <c r="U646" s="185" t="str">
        <f>CONCATENATE(S646,"-",T646)</f>
        <v>11-Infraestructura Tecnológica   (Sistemas de Información y Tecnologia)</v>
      </c>
      <c r="V646" s="189" t="s">
        <v>239</v>
      </c>
      <c r="W646" s="195" t="str">
        <f>IFERROR(VLOOKUP(V646,TD!$N$33:$O$45,2,0)," ")</f>
        <v>Servicios tecnológicos</v>
      </c>
      <c r="X646" s="185" t="str">
        <f>CONCATENATE(V646,"_",W646)</f>
        <v>007_Servicios tecnológicos</v>
      </c>
      <c r="Y646" s="185" t="str">
        <f>CONCATENATE(U646," ",X646)</f>
        <v>11-Infraestructura Tecnológica   (Sistemas de Información y Tecnologia) 007_Servicios tecnológicos</v>
      </c>
      <c r="Z646" s="195" t="str">
        <f>CONCATENATE(P646,Q646,R646,S646,V646)</f>
        <v>O23011745992024020711007</v>
      </c>
      <c r="AA646" s="195" t="str">
        <f>IFERROR(VLOOKUP(Y646,TD!$K$46:$L$64,2,0)," ")</f>
        <v>PM/0131/0111/45990070207</v>
      </c>
      <c r="AB646" s="194" t="s">
        <v>138</v>
      </c>
      <c r="AC646" s="196" t="s">
        <v>204</v>
      </c>
    </row>
    <row r="647" spans="2:29" s="28" customFormat="1" ht="99" customHeight="1" x14ac:dyDescent="0.35">
      <c r="B647" s="77"/>
      <c r="C647" s="50"/>
      <c r="D647" s="158"/>
      <c r="E647" s="51"/>
      <c r="F647" s="158"/>
      <c r="G647" s="158"/>
      <c r="H647" s="97"/>
      <c r="I647" s="159"/>
      <c r="J647" s="159"/>
      <c r="K647" s="52"/>
      <c r="L647" s="153"/>
      <c r="M647" s="158"/>
      <c r="N647" s="53"/>
      <c r="O647" s="51"/>
      <c r="P647" s="160" t="str">
        <f>IFERROR(VLOOKUP(C647,TD!$B$32:$F$36,2,0)," ")</f>
        <v xml:space="preserve"> </v>
      </c>
      <c r="Q647" s="160" t="str">
        <f>IFERROR(VLOOKUP(C647,TD!$B$32:$F$36,3,0)," ")</f>
        <v xml:space="preserve"> </v>
      </c>
      <c r="R647" s="160" t="str">
        <f>IFERROR(VLOOKUP(C647,TD!$B$32:$F$36,4,0)," ")</f>
        <v xml:space="preserve"> </v>
      </c>
      <c r="S647" s="51"/>
      <c r="T647" s="160" t="str">
        <f>IFERROR(VLOOKUP(S647,TD!$J$33:$K$43,2,0)," ")</f>
        <v xml:space="preserve"> </v>
      </c>
      <c r="U647" s="161" t="str">
        <f>CONCATENATE(S647,"-",T647)</f>
        <v xml:space="preserve">- </v>
      </c>
      <c r="V647" s="51"/>
      <c r="W647" s="160" t="str">
        <f>IFERROR(VLOOKUP(V647,TD!$N$33:$O$45,2,0)," ")</f>
        <v xml:space="preserve"> </v>
      </c>
      <c r="X647" s="161" t="str">
        <f>CONCATENATE(V647,"_",W647)</f>
        <v xml:space="preserve">_ </v>
      </c>
      <c r="Y647" s="161" t="str">
        <f>CONCATENATE(U647," ",X647)</f>
        <v xml:space="preserve">-  _ </v>
      </c>
      <c r="Z647" s="160" t="str">
        <f>CONCATENATE(P647,Q647,R647,S647,V647)</f>
        <v xml:space="preserve">   </v>
      </c>
      <c r="AA647" s="160" t="str">
        <f>IFERROR(VLOOKUP(Y647,TD!$K$46:$L$64,2,0)," ")</f>
        <v xml:space="preserve"> </v>
      </c>
      <c r="AB647" s="53"/>
      <c r="AC647" s="162"/>
    </row>
    <row r="648" spans="2:29" s="28" customFormat="1" ht="99" customHeight="1" x14ac:dyDescent="0.35">
      <c r="B648" s="77"/>
      <c r="C648" s="50"/>
      <c r="D648" s="158"/>
      <c r="E648" s="51"/>
      <c r="F648" s="158"/>
      <c r="G648" s="158"/>
      <c r="H648" s="97"/>
      <c r="I648" s="159"/>
      <c r="J648" s="159"/>
      <c r="K648" s="52"/>
      <c r="L648" s="153"/>
      <c r="M648" s="158"/>
      <c r="N648" s="53"/>
      <c r="O648" s="51"/>
      <c r="P648" s="160" t="str">
        <f>IFERROR(VLOOKUP(C648,TD!$B$32:$F$36,2,0)," ")</f>
        <v xml:space="preserve"> </v>
      </c>
      <c r="Q648" s="160" t="str">
        <f>IFERROR(VLOOKUP(C648,TD!$B$32:$F$36,3,0)," ")</f>
        <v xml:space="preserve"> </v>
      </c>
      <c r="R648" s="160" t="str">
        <f>IFERROR(VLOOKUP(C648,TD!$B$32:$F$36,4,0)," ")</f>
        <v xml:space="preserve"> </v>
      </c>
      <c r="S648" s="51"/>
      <c r="T648" s="160" t="str">
        <f>IFERROR(VLOOKUP(S648,TD!$J$33:$K$43,2,0)," ")</f>
        <v xml:space="preserve"> </v>
      </c>
      <c r="U648" s="161" t="str">
        <f>CONCATENATE(S648,"-",T648)</f>
        <v xml:space="preserve">- </v>
      </c>
      <c r="V648" s="51"/>
      <c r="W648" s="160" t="str">
        <f>IFERROR(VLOOKUP(V648,TD!$N$33:$O$45,2,0)," ")</f>
        <v xml:space="preserve"> </v>
      </c>
      <c r="X648" s="161" t="str">
        <f>CONCATENATE(V648,"_",W648)</f>
        <v xml:space="preserve">_ </v>
      </c>
      <c r="Y648" s="161" t="str">
        <f>CONCATENATE(U648," ",X648)</f>
        <v xml:space="preserve">-  _ </v>
      </c>
      <c r="Z648" s="160" t="str">
        <f>CONCATENATE(P648,Q648,R648,S648,V648)</f>
        <v xml:space="preserve">   </v>
      </c>
      <c r="AA648" s="160" t="str">
        <f>IFERROR(VLOOKUP(Y648,TD!$K$46:$L$64,2,0)," ")</f>
        <v xml:space="preserve"> </v>
      </c>
      <c r="AB648" s="53"/>
      <c r="AC648" s="162"/>
    </row>
    <row r="649" spans="2:29" s="28" customFormat="1" ht="99" customHeight="1" x14ac:dyDescent="0.35">
      <c r="B649" s="77"/>
      <c r="C649" s="50"/>
      <c r="D649" s="158"/>
      <c r="E649" s="51"/>
      <c r="F649" s="158"/>
      <c r="G649" s="158"/>
      <c r="H649" s="97"/>
      <c r="I649" s="159"/>
      <c r="J649" s="159"/>
      <c r="K649" s="52"/>
      <c r="L649" s="153"/>
      <c r="M649" s="158"/>
      <c r="N649" s="53"/>
      <c r="O649" s="51"/>
      <c r="P649" s="160" t="str">
        <f>IFERROR(VLOOKUP(C649,TD!$B$32:$F$36,2,0)," ")</f>
        <v xml:space="preserve"> </v>
      </c>
      <c r="Q649" s="160" t="str">
        <f>IFERROR(VLOOKUP(C649,TD!$B$32:$F$36,3,0)," ")</f>
        <v xml:space="preserve"> </v>
      </c>
      <c r="R649" s="160" t="str">
        <f>IFERROR(VLOOKUP(C649,TD!$B$32:$F$36,4,0)," ")</f>
        <v xml:space="preserve"> </v>
      </c>
      <c r="S649" s="51"/>
      <c r="T649" s="160" t="str">
        <f>IFERROR(VLOOKUP(S649,TD!$J$33:$K$43,2,0)," ")</f>
        <v xml:space="preserve"> </v>
      </c>
      <c r="U649" s="161" t="str">
        <f>CONCATENATE(S649,"-",T649)</f>
        <v xml:space="preserve">- </v>
      </c>
      <c r="V649" s="51"/>
      <c r="W649" s="160" t="str">
        <f>IFERROR(VLOOKUP(V649,TD!$N$33:$O$45,2,0)," ")</f>
        <v xml:space="preserve"> </v>
      </c>
      <c r="X649" s="161" t="str">
        <f>CONCATENATE(V649,"_",W649)</f>
        <v xml:space="preserve">_ </v>
      </c>
      <c r="Y649" s="161" t="str">
        <f>CONCATENATE(U649," ",X649)</f>
        <v xml:space="preserve">-  _ </v>
      </c>
      <c r="Z649" s="160" t="str">
        <f>CONCATENATE(P649,Q649,R649,S649,V649)</f>
        <v xml:space="preserve">   </v>
      </c>
      <c r="AA649" s="160" t="str">
        <f>IFERROR(VLOOKUP(Y649,TD!$K$46:$L$64,2,0)," ")</f>
        <v xml:space="preserve"> </v>
      </c>
      <c r="AB649" s="53"/>
      <c r="AC649" s="162"/>
    </row>
    <row r="650" spans="2:29" s="28" customFormat="1" ht="99" customHeight="1" x14ac:dyDescent="0.35">
      <c r="B650" s="77"/>
      <c r="C650" s="50"/>
      <c r="D650" s="158"/>
      <c r="E650" s="51"/>
      <c r="F650" s="158"/>
      <c r="G650" s="158"/>
      <c r="H650" s="97"/>
      <c r="I650" s="159"/>
      <c r="J650" s="159"/>
      <c r="K650" s="52"/>
      <c r="L650" s="153"/>
      <c r="M650" s="158"/>
      <c r="N650" s="53"/>
      <c r="O650" s="51"/>
      <c r="P650" s="160" t="str">
        <f>IFERROR(VLOOKUP(C650,TD!$B$32:$F$36,2,0)," ")</f>
        <v xml:space="preserve"> </v>
      </c>
      <c r="Q650" s="160" t="str">
        <f>IFERROR(VLOOKUP(C650,TD!$B$32:$F$36,3,0)," ")</f>
        <v xml:space="preserve"> </v>
      </c>
      <c r="R650" s="160" t="str">
        <f>IFERROR(VLOOKUP(C650,TD!$B$32:$F$36,4,0)," ")</f>
        <v xml:space="preserve"> </v>
      </c>
      <c r="S650" s="51"/>
      <c r="T650" s="160" t="str">
        <f>IFERROR(VLOOKUP(S650,TD!$J$33:$K$43,2,0)," ")</f>
        <v xml:space="preserve"> </v>
      </c>
      <c r="U650" s="161" t="str">
        <f>CONCATENATE(S650,"-",T650)</f>
        <v xml:space="preserve">- </v>
      </c>
      <c r="V650" s="51"/>
      <c r="W650" s="160" t="str">
        <f>IFERROR(VLOOKUP(V650,TD!$N$33:$O$45,2,0)," ")</f>
        <v xml:space="preserve"> </v>
      </c>
      <c r="X650" s="161" t="str">
        <f>CONCATENATE(V650,"_",W650)</f>
        <v xml:space="preserve">_ </v>
      </c>
      <c r="Y650" s="161" t="str">
        <f>CONCATENATE(U650," ",X650)</f>
        <v xml:space="preserve">-  _ </v>
      </c>
      <c r="Z650" s="160" t="str">
        <f>CONCATENATE(P650,Q650,R650,S650,V650)</f>
        <v xml:space="preserve">   </v>
      </c>
      <c r="AA650" s="160" t="str">
        <f>IFERROR(VLOOKUP(Y650,TD!$K$46:$L$64,2,0)," ")</f>
        <v xml:space="preserve"> </v>
      </c>
      <c r="AB650" s="53"/>
      <c r="AC650" s="162"/>
    </row>
    <row r="651" spans="2:29" s="28" customFormat="1" ht="99" customHeight="1" x14ac:dyDescent="0.35">
      <c r="B651" s="77"/>
      <c r="C651" s="50"/>
      <c r="D651" s="158"/>
      <c r="E651" s="51"/>
      <c r="F651" s="158"/>
      <c r="G651" s="158"/>
      <c r="H651" s="97"/>
      <c r="I651" s="159"/>
      <c r="J651" s="159"/>
      <c r="K651" s="52"/>
      <c r="L651" s="153"/>
      <c r="M651" s="158"/>
      <c r="N651" s="53"/>
      <c r="O651" s="51"/>
      <c r="P651" s="160" t="str">
        <f>IFERROR(VLOOKUP(C651,TD!$B$32:$F$36,2,0)," ")</f>
        <v xml:space="preserve"> </v>
      </c>
      <c r="Q651" s="160" t="str">
        <f>IFERROR(VLOOKUP(C651,TD!$B$32:$F$36,3,0)," ")</f>
        <v xml:space="preserve"> </v>
      </c>
      <c r="R651" s="160" t="str">
        <f>IFERROR(VLOOKUP(C651,TD!$B$32:$F$36,4,0)," ")</f>
        <v xml:space="preserve"> </v>
      </c>
      <c r="S651" s="51"/>
      <c r="T651" s="160" t="str">
        <f>IFERROR(VLOOKUP(S651,TD!$J$33:$K$43,2,0)," ")</f>
        <v xml:space="preserve"> </v>
      </c>
      <c r="U651" s="161" t="str">
        <f>CONCATENATE(S651,"-",T651)</f>
        <v xml:space="preserve">- </v>
      </c>
      <c r="V651" s="51"/>
      <c r="W651" s="160" t="str">
        <f>IFERROR(VLOOKUP(V651,TD!$N$33:$O$45,2,0)," ")</f>
        <v xml:space="preserve"> </v>
      </c>
      <c r="X651" s="161" t="str">
        <f>CONCATENATE(V651,"_",W651)</f>
        <v xml:space="preserve">_ </v>
      </c>
      <c r="Y651" s="161" t="str">
        <f>CONCATENATE(U651," ",X651)</f>
        <v xml:space="preserve">-  _ </v>
      </c>
      <c r="Z651" s="160" t="str">
        <f>CONCATENATE(P651,Q651,R651,S651,V651)</f>
        <v xml:space="preserve">   </v>
      </c>
      <c r="AA651" s="160" t="str">
        <f>IFERROR(VLOOKUP(Y651,TD!$K$46:$L$64,2,0)," ")</f>
        <v xml:space="preserve"> </v>
      </c>
      <c r="AB651" s="53"/>
      <c r="AC651" s="162"/>
    </row>
    <row r="652" spans="2:29" s="28" customFormat="1" ht="99" customHeight="1" x14ac:dyDescent="0.35">
      <c r="B652" s="77"/>
      <c r="C652" s="50"/>
      <c r="D652" s="158"/>
      <c r="E652" s="51"/>
      <c r="F652" s="158"/>
      <c r="G652" s="158"/>
      <c r="H652" s="97"/>
      <c r="I652" s="159"/>
      <c r="J652" s="159"/>
      <c r="K652" s="52"/>
      <c r="L652" s="153"/>
      <c r="M652" s="158"/>
      <c r="N652" s="53"/>
      <c r="O652" s="51"/>
      <c r="P652" s="160" t="str">
        <f>IFERROR(VLOOKUP(C652,TD!$B$32:$F$36,2,0)," ")</f>
        <v xml:space="preserve"> </v>
      </c>
      <c r="Q652" s="160" t="str">
        <f>IFERROR(VLOOKUP(C652,TD!$B$32:$F$36,3,0)," ")</f>
        <v xml:space="preserve"> </v>
      </c>
      <c r="R652" s="160" t="str">
        <f>IFERROR(VLOOKUP(C652,TD!$B$32:$F$36,4,0)," ")</f>
        <v xml:space="preserve"> </v>
      </c>
      <c r="S652" s="51"/>
      <c r="T652" s="160" t="str">
        <f>IFERROR(VLOOKUP(S652,TD!$J$33:$K$43,2,0)," ")</f>
        <v xml:space="preserve"> </v>
      </c>
      <c r="U652" s="161" t="str">
        <f>CONCATENATE(S652,"-",T652)</f>
        <v xml:space="preserve">- </v>
      </c>
      <c r="V652" s="51"/>
      <c r="W652" s="160" t="str">
        <f>IFERROR(VLOOKUP(V652,TD!$N$33:$O$45,2,0)," ")</f>
        <v xml:space="preserve"> </v>
      </c>
      <c r="X652" s="161" t="str">
        <f>CONCATENATE(V652,"_",W652)</f>
        <v xml:space="preserve">_ </v>
      </c>
      <c r="Y652" s="161" t="str">
        <f>CONCATENATE(U652," ",X652)</f>
        <v xml:space="preserve">-  _ </v>
      </c>
      <c r="Z652" s="160" t="str">
        <f>CONCATENATE(P652,Q652,R652,S652,V652)</f>
        <v xml:space="preserve">   </v>
      </c>
      <c r="AA652" s="160" t="str">
        <f>IFERROR(VLOOKUP(Y652,TD!$K$46:$L$64,2,0)," ")</f>
        <v xml:space="preserve"> </v>
      </c>
      <c r="AB652" s="53"/>
      <c r="AC652" s="162"/>
    </row>
    <row r="653" spans="2:29" s="28" customFormat="1" ht="99" customHeight="1" x14ac:dyDescent="0.35">
      <c r="B653" s="77"/>
      <c r="C653" s="50"/>
      <c r="D653" s="158"/>
      <c r="E653" s="51"/>
      <c r="F653" s="158"/>
      <c r="G653" s="158"/>
      <c r="H653" s="97"/>
      <c r="I653" s="159"/>
      <c r="J653" s="159"/>
      <c r="K653" s="52"/>
      <c r="L653" s="153"/>
      <c r="M653" s="158"/>
      <c r="N653" s="53"/>
      <c r="O653" s="51"/>
      <c r="P653" s="160" t="str">
        <f>IFERROR(VLOOKUP(C653,TD!$B$32:$F$36,2,0)," ")</f>
        <v xml:space="preserve"> </v>
      </c>
      <c r="Q653" s="160" t="str">
        <f>IFERROR(VLOOKUP(C653,TD!$B$32:$F$36,3,0)," ")</f>
        <v xml:space="preserve"> </v>
      </c>
      <c r="R653" s="160" t="str">
        <f>IFERROR(VLOOKUP(C653,TD!$B$32:$F$36,4,0)," ")</f>
        <v xml:space="preserve"> </v>
      </c>
      <c r="S653" s="51"/>
      <c r="T653" s="160" t="str">
        <f>IFERROR(VLOOKUP(S653,TD!$J$33:$K$43,2,0)," ")</f>
        <v xml:space="preserve"> </v>
      </c>
      <c r="U653" s="161" t="str">
        <f>CONCATENATE(S653,"-",T653)</f>
        <v xml:space="preserve">- </v>
      </c>
      <c r="V653" s="51"/>
      <c r="W653" s="160" t="str">
        <f>IFERROR(VLOOKUP(V653,TD!$N$33:$O$45,2,0)," ")</f>
        <v xml:space="preserve"> </v>
      </c>
      <c r="X653" s="161" t="str">
        <f>CONCATENATE(V653,"_",W653)</f>
        <v xml:space="preserve">_ </v>
      </c>
      <c r="Y653" s="161" t="str">
        <f>CONCATENATE(U653," ",X653)</f>
        <v xml:space="preserve">-  _ </v>
      </c>
      <c r="Z653" s="160" t="str">
        <f>CONCATENATE(P653,Q653,R653,S653,V653)</f>
        <v xml:space="preserve">   </v>
      </c>
      <c r="AA653" s="160" t="str">
        <f>IFERROR(VLOOKUP(Y653,TD!$K$46:$L$64,2,0)," ")</f>
        <v xml:space="preserve"> </v>
      </c>
      <c r="AB653" s="53"/>
      <c r="AC653" s="162"/>
    </row>
    <row r="654" spans="2:29" s="28" customFormat="1" ht="99" customHeight="1" x14ac:dyDescent="0.35">
      <c r="B654" s="77"/>
      <c r="C654" s="50"/>
      <c r="D654" s="158"/>
      <c r="E654" s="51"/>
      <c r="F654" s="158"/>
      <c r="G654" s="158"/>
      <c r="H654" s="97"/>
      <c r="I654" s="159"/>
      <c r="J654" s="159"/>
      <c r="K654" s="52"/>
      <c r="L654" s="153"/>
      <c r="M654" s="158"/>
      <c r="N654" s="53"/>
      <c r="O654" s="51"/>
      <c r="P654" s="160" t="str">
        <f>IFERROR(VLOOKUP(C654,TD!$B$32:$F$36,2,0)," ")</f>
        <v xml:space="preserve"> </v>
      </c>
      <c r="Q654" s="160" t="str">
        <f>IFERROR(VLOOKUP(C654,TD!$B$32:$F$36,3,0)," ")</f>
        <v xml:space="preserve"> </v>
      </c>
      <c r="R654" s="160" t="str">
        <f>IFERROR(VLOOKUP(C654,TD!$B$32:$F$36,4,0)," ")</f>
        <v xml:space="preserve"> </v>
      </c>
      <c r="S654" s="51"/>
      <c r="T654" s="160" t="str">
        <f>IFERROR(VLOOKUP(S654,TD!$J$33:$K$43,2,0)," ")</f>
        <v xml:space="preserve"> </v>
      </c>
      <c r="U654" s="161" t="str">
        <f>CONCATENATE(S654,"-",T654)</f>
        <v xml:space="preserve">- </v>
      </c>
      <c r="V654" s="51"/>
      <c r="W654" s="160" t="str">
        <f>IFERROR(VLOOKUP(V654,TD!$N$33:$O$45,2,0)," ")</f>
        <v xml:space="preserve"> </v>
      </c>
      <c r="X654" s="161" t="str">
        <f>CONCATENATE(V654,"_",W654)</f>
        <v xml:space="preserve">_ </v>
      </c>
      <c r="Y654" s="161" t="str">
        <f>CONCATENATE(U654," ",X654)</f>
        <v xml:space="preserve">-  _ </v>
      </c>
      <c r="Z654" s="160" t="str">
        <f>CONCATENATE(P654,Q654,R654,S654,V654)</f>
        <v xml:space="preserve">   </v>
      </c>
      <c r="AA654" s="160" t="str">
        <f>IFERROR(VLOOKUP(Y654,TD!$K$46:$L$64,2,0)," ")</f>
        <v xml:space="preserve"> </v>
      </c>
      <c r="AB654" s="53"/>
      <c r="AC654" s="162"/>
    </row>
    <row r="655" spans="2:29" s="28" customFormat="1" ht="99" customHeight="1" x14ac:dyDescent="0.35">
      <c r="B655" s="77"/>
      <c r="C655" s="50"/>
      <c r="D655" s="158"/>
      <c r="E655" s="51"/>
      <c r="F655" s="158"/>
      <c r="G655" s="158"/>
      <c r="H655" s="97"/>
      <c r="I655" s="159"/>
      <c r="J655" s="159"/>
      <c r="K655" s="52"/>
      <c r="L655" s="153"/>
      <c r="M655" s="158"/>
      <c r="N655" s="53"/>
      <c r="O655" s="51"/>
      <c r="P655" s="160" t="str">
        <f>IFERROR(VLOOKUP(C655,TD!$B$32:$F$36,2,0)," ")</f>
        <v xml:space="preserve"> </v>
      </c>
      <c r="Q655" s="160" t="str">
        <f>IFERROR(VLOOKUP(C655,TD!$B$32:$F$36,3,0)," ")</f>
        <v xml:space="preserve"> </v>
      </c>
      <c r="R655" s="160" t="str">
        <f>IFERROR(VLOOKUP(C655,TD!$B$32:$F$36,4,0)," ")</f>
        <v xml:space="preserve"> </v>
      </c>
      <c r="S655" s="51"/>
      <c r="T655" s="160" t="str">
        <f>IFERROR(VLOOKUP(S655,TD!$J$33:$K$43,2,0)," ")</f>
        <v xml:space="preserve"> </v>
      </c>
      <c r="U655" s="161" t="str">
        <f>CONCATENATE(S655,"-",T655)</f>
        <v xml:space="preserve">- </v>
      </c>
      <c r="V655" s="51"/>
      <c r="W655" s="160" t="str">
        <f>IFERROR(VLOOKUP(V655,TD!$N$33:$O$45,2,0)," ")</f>
        <v xml:space="preserve"> </v>
      </c>
      <c r="X655" s="161" t="str">
        <f>CONCATENATE(V655,"_",W655)</f>
        <v xml:space="preserve">_ </v>
      </c>
      <c r="Y655" s="161" t="str">
        <f>CONCATENATE(U655," ",X655)</f>
        <v xml:space="preserve">-  _ </v>
      </c>
      <c r="Z655" s="160" t="str">
        <f>CONCATENATE(P655,Q655,R655,S655,V655)</f>
        <v xml:space="preserve">   </v>
      </c>
      <c r="AA655" s="160" t="str">
        <f>IFERROR(VLOOKUP(Y655,TD!$K$46:$L$64,2,0)," ")</f>
        <v xml:space="preserve"> </v>
      </c>
      <c r="AB655" s="53"/>
      <c r="AC655" s="162"/>
    </row>
    <row r="656" spans="2:29" s="28" customFormat="1" ht="99" customHeight="1" x14ac:dyDescent="0.35">
      <c r="B656" s="77"/>
      <c r="C656" s="50"/>
      <c r="D656" s="158"/>
      <c r="E656" s="51"/>
      <c r="F656" s="158"/>
      <c r="G656" s="158"/>
      <c r="H656" s="97"/>
      <c r="I656" s="159"/>
      <c r="J656" s="159"/>
      <c r="K656" s="52"/>
      <c r="L656" s="153"/>
      <c r="M656" s="158"/>
      <c r="N656" s="53"/>
      <c r="O656" s="51"/>
      <c r="P656" s="160" t="str">
        <f>IFERROR(VLOOKUP(C656,TD!$B$32:$F$36,2,0)," ")</f>
        <v xml:space="preserve"> </v>
      </c>
      <c r="Q656" s="160" t="str">
        <f>IFERROR(VLOOKUP(C656,TD!$B$32:$F$36,3,0)," ")</f>
        <v xml:space="preserve"> </v>
      </c>
      <c r="R656" s="160" t="str">
        <f>IFERROR(VLOOKUP(C656,TD!$B$32:$F$36,4,0)," ")</f>
        <v xml:space="preserve"> </v>
      </c>
      <c r="S656" s="51"/>
      <c r="T656" s="160" t="str">
        <f>IFERROR(VLOOKUP(S656,TD!$J$33:$K$43,2,0)," ")</f>
        <v xml:space="preserve"> </v>
      </c>
      <c r="U656" s="161" t="str">
        <f>CONCATENATE(S656,"-",T656)</f>
        <v xml:space="preserve">- </v>
      </c>
      <c r="V656" s="51"/>
      <c r="W656" s="160" t="str">
        <f>IFERROR(VLOOKUP(V656,TD!$N$33:$O$45,2,0)," ")</f>
        <v xml:space="preserve"> </v>
      </c>
      <c r="X656" s="161" t="str">
        <f>CONCATENATE(V656,"_",W656)</f>
        <v xml:space="preserve">_ </v>
      </c>
      <c r="Y656" s="161" t="str">
        <f>CONCATENATE(U656," ",X656)</f>
        <v xml:space="preserve">-  _ </v>
      </c>
      <c r="Z656" s="160" t="str">
        <f>CONCATENATE(P656,Q656,R656,S656,V656)</f>
        <v xml:space="preserve">   </v>
      </c>
      <c r="AA656" s="160" t="str">
        <f>IFERROR(VLOOKUP(Y656,TD!$K$46:$L$64,2,0)," ")</f>
        <v xml:space="preserve"> </v>
      </c>
      <c r="AB656" s="53"/>
      <c r="AC656" s="162"/>
    </row>
    <row r="657" spans="2:29" s="28" customFormat="1" ht="99" customHeight="1" x14ac:dyDescent="0.35">
      <c r="B657" s="77"/>
      <c r="C657" s="50"/>
      <c r="D657" s="158"/>
      <c r="E657" s="51"/>
      <c r="F657" s="158"/>
      <c r="G657" s="158"/>
      <c r="H657" s="97"/>
      <c r="I657" s="159"/>
      <c r="J657" s="159"/>
      <c r="K657" s="52"/>
      <c r="L657" s="153"/>
      <c r="M657" s="158"/>
      <c r="N657" s="53"/>
      <c r="O657" s="51"/>
      <c r="P657" s="160" t="str">
        <f>IFERROR(VLOOKUP(C657,TD!$B$32:$F$36,2,0)," ")</f>
        <v xml:space="preserve"> </v>
      </c>
      <c r="Q657" s="160" t="str">
        <f>IFERROR(VLOOKUP(C657,TD!$B$32:$F$36,3,0)," ")</f>
        <v xml:space="preserve"> </v>
      </c>
      <c r="R657" s="160" t="str">
        <f>IFERROR(VLOOKUP(C657,TD!$B$32:$F$36,4,0)," ")</f>
        <v xml:space="preserve"> </v>
      </c>
      <c r="S657" s="51"/>
      <c r="T657" s="160" t="str">
        <f>IFERROR(VLOOKUP(S657,TD!$J$33:$K$43,2,0)," ")</f>
        <v xml:space="preserve"> </v>
      </c>
      <c r="U657" s="161" t="str">
        <f>CONCATENATE(S657,"-",T657)</f>
        <v xml:space="preserve">- </v>
      </c>
      <c r="V657" s="51"/>
      <c r="W657" s="160" t="str">
        <f>IFERROR(VLOOKUP(V657,TD!$N$33:$O$45,2,0)," ")</f>
        <v xml:space="preserve"> </v>
      </c>
      <c r="X657" s="161" t="str">
        <f>CONCATENATE(V657,"_",W657)</f>
        <v xml:space="preserve">_ </v>
      </c>
      <c r="Y657" s="161" t="str">
        <f>CONCATENATE(U657," ",X657)</f>
        <v xml:space="preserve">-  _ </v>
      </c>
      <c r="Z657" s="160" t="str">
        <f>CONCATENATE(P657,Q657,R657,S657,V657)</f>
        <v xml:space="preserve">   </v>
      </c>
      <c r="AA657" s="160" t="str">
        <f>IFERROR(VLOOKUP(Y657,TD!$K$46:$L$64,2,0)," ")</f>
        <v xml:space="preserve"> </v>
      </c>
      <c r="AB657" s="53"/>
      <c r="AC657" s="162"/>
    </row>
    <row r="658" spans="2:29" s="28" customFormat="1" ht="99" customHeight="1" x14ac:dyDescent="0.35">
      <c r="B658" s="77"/>
      <c r="C658" s="50"/>
      <c r="D658" s="158"/>
      <c r="E658" s="51"/>
      <c r="F658" s="158"/>
      <c r="G658" s="158"/>
      <c r="H658" s="97"/>
      <c r="I658" s="159"/>
      <c r="J658" s="159"/>
      <c r="K658" s="52"/>
      <c r="L658" s="153"/>
      <c r="M658" s="158"/>
      <c r="N658" s="53"/>
      <c r="O658" s="51"/>
      <c r="P658" s="160" t="str">
        <f>IFERROR(VLOOKUP(C658,TD!$B$32:$F$36,2,0)," ")</f>
        <v xml:space="preserve"> </v>
      </c>
      <c r="Q658" s="160" t="str">
        <f>IFERROR(VLOOKUP(C658,TD!$B$32:$F$36,3,0)," ")</f>
        <v xml:space="preserve"> </v>
      </c>
      <c r="R658" s="160" t="str">
        <f>IFERROR(VLOOKUP(C658,TD!$B$32:$F$36,4,0)," ")</f>
        <v xml:space="preserve"> </v>
      </c>
      <c r="S658" s="51"/>
      <c r="T658" s="160" t="str">
        <f>IFERROR(VLOOKUP(S658,TD!$J$33:$K$43,2,0)," ")</f>
        <v xml:space="preserve"> </v>
      </c>
      <c r="U658" s="161" t="str">
        <f>CONCATENATE(S658,"-",T658)</f>
        <v xml:space="preserve">- </v>
      </c>
      <c r="V658" s="51"/>
      <c r="W658" s="160" t="str">
        <f>IFERROR(VLOOKUP(V658,TD!$N$33:$O$45,2,0)," ")</f>
        <v xml:space="preserve"> </v>
      </c>
      <c r="X658" s="161" t="str">
        <f>CONCATENATE(V658,"_",W658)</f>
        <v xml:space="preserve">_ </v>
      </c>
      <c r="Y658" s="161" t="str">
        <f>CONCATENATE(U658," ",X658)</f>
        <v xml:space="preserve">-  _ </v>
      </c>
      <c r="Z658" s="160" t="str">
        <f>CONCATENATE(P658,Q658,R658,S658,V658)</f>
        <v xml:space="preserve">   </v>
      </c>
      <c r="AA658" s="160" t="str">
        <f>IFERROR(VLOOKUP(Y658,TD!$K$46:$L$64,2,0)," ")</f>
        <v xml:space="preserve"> </v>
      </c>
      <c r="AB658" s="53"/>
      <c r="AC658" s="162"/>
    </row>
    <row r="659" spans="2:29" s="28" customFormat="1" ht="99" customHeight="1" x14ac:dyDescent="0.35">
      <c r="B659" s="77"/>
      <c r="C659" s="50"/>
      <c r="D659" s="158"/>
      <c r="E659" s="51"/>
      <c r="F659" s="158"/>
      <c r="G659" s="158"/>
      <c r="H659" s="97"/>
      <c r="I659" s="159"/>
      <c r="J659" s="159"/>
      <c r="K659" s="52"/>
      <c r="L659" s="153"/>
      <c r="M659" s="158"/>
      <c r="N659" s="53"/>
      <c r="O659" s="51"/>
      <c r="P659" s="160" t="str">
        <f>IFERROR(VLOOKUP(C659,TD!$B$32:$F$36,2,0)," ")</f>
        <v xml:space="preserve"> </v>
      </c>
      <c r="Q659" s="160" t="str">
        <f>IFERROR(VLOOKUP(C659,TD!$B$32:$F$36,3,0)," ")</f>
        <v xml:space="preserve"> </v>
      </c>
      <c r="R659" s="160" t="str">
        <f>IFERROR(VLOOKUP(C659,TD!$B$32:$F$36,4,0)," ")</f>
        <v xml:space="preserve"> </v>
      </c>
      <c r="S659" s="51"/>
      <c r="T659" s="160" t="str">
        <f>IFERROR(VLOOKUP(S659,TD!$J$33:$K$43,2,0)," ")</f>
        <v xml:space="preserve"> </v>
      </c>
      <c r="U659" s="161" t="str">
        <f>CONCATENATE(S659,"-",T659)</f>
        <v xml:space="preserve">- </v>
      </c>
      <c r="V659" s="51"/>
      <c r="W659" s="160" t="str">
        <f>IFERROR(VLOOKUP(V659,TD!$N$33:$O$45,2,0)," ")</f>
        <v xml:space="preserve"> </v>
      </c>
      <c r="X659" s="161" t="str">
        <f>CONCATENATE(V659,"_",W659)</f>
        <v xml:space="preserve">_ </v>
      </c>
      <c r="Y659" s="161" t="str">
        <f>CONCATENATE(U659," ",X659)</f>
        <v xml:space="preserve">-  _ </v>
      </c>
      <c r="Z659" s="160" t="str">
        <f>CONCATENATE(P659,Q659,R659,S659,V659)</f>
        <v xml:space="preserve">   </v>
      </c>
      <c r="AA659" s="160" t="str">
        <f>IFERROR(VLOOKUP(Y659,TD!$K$46:$L$64,2,0)," ")</f>
        <v xml:space="preserve"> </v>
      </c>
      <c r="AB659" s="53"/>
      <c r="AC659" s="162"/>
    </row>
    <row r="660" spans="2:29" s="28" customFormat="1" ht="99" customHeight="1" x14ac:dyDescent="0.35">
      <c r="B660" s="77"/>
      <c r="C660" s="50"/>
      <c r="D660" s="158"/>
      <c r="E660" s="51"/>
      <c r="F660" s="158"/>
      <c r="G660" s="158"/>
      <c r="H660" s="97"/>
      <c r="I660" s="159"/>
      <c r="J660" s="159"/>
      <c r="K660" s="52"/>
      <c r="L660" s="153"/>
      <c r="M660" s="158"/>
      <c r="N660" s="53"/>
      <c r="O660" s="51"/>
      <c r="P660" s="160" t="str">
        <f>IFERROR(VLOOKUP(C660,TD!$B$32:$F$36,2,0)," ")</f>
        <v xml:space="preserve"> </v>
      </c>
      <c r="Q660" s="160" t="str">
        <f>IFERROR(VLOOKUP(C660,TD!$B$32:$F$36,3,0)," ")</f>
        <v xml:space="preserve"> </v>
      </c>
      <c r="R660" s="160" t="str">
        <f>IFERROR(VLOOKUP(C660,TD!$B$32:$F$36,4,0)," ")</f>
        <v xml:space="preserve"> </v>
      </c>
      <c r="S660" s="51"/>
      <c r="T660" s="160" t="str">
        <f>IFERROR(VLOOKUP(S660,TD!$J$33:$K$43,2,0)," ")</f>
        <v xml:space="preserve"> </v>
      </c>
      <c r="U660" s="161" t="str">
        <f>CONCATENATE(S660,"-",T660)</f>
        <v xml:space="preserve">- </v>
      </c>
      <c r="V660" s="51"/>
      <c r="W660" s="160" t="str">
        <f>IFERROR(VLOOKUP(V660,TD!$N$33:$O$45,2,0)," ")</f>
        <v xml:space="preserve"> </v>
      </c>
      <c r="X660" s="161" t="str">
        <f>CONCATENATE(V660,"_",W660)</f>
        <v xml:space="preserve">_ </v>
      </c>
      <c r="Y660" s="161" t="str">
        <f>CONCATENATE(U660," ",X660)</f>
        <v xml:space="preserve">-  _ </v>
      </c>
      <c r="Z660" s="160" t="str">
        <f>CONCATENATE(P660,Q660,R660,S660,V660)</f>
        <v xml:space="preserve">   </v>
      </c>
      <c r="AA660" s="160" t="str">
        <f>IFERROR(VLOOKUP(Y660,TD!$K$46:$L$64,2,0)," ")</f>
        <v xml:space="preserve"> </v>
      </c>
      <c r="AB660" s="53"/>
      <c r="AC660" s="162"/>
    </row>
    <row r="661" spans="2:29" s="28" customFormat="1" ht="99" customHeight="1" x14ac:dyDescent="0.35">
      <c r="B661" s="77"/>
      <c r="C661" s="50"/>
      <c r="D661" s="158"/>
      <c r="E661" s="51"/>
      <c r="F661" s="158"/>
      <c r="G661" s="158"/>
      <c r="H661" s="97"/>
      <c r="I661" s="159"/>
      <c r="J661" s="159"/>
      <c r="K661" s="52"/>
      <c r="L661" s="153"/>
      <c r="M661" s="158"/>
      <c r="N661" s="53"/>
      <c r="O661" s="51"/>
      <c r="P661" s="160" t="str">
        <f>IFERROR(VLOOKUP(C661,TD!$B$32:$F$36,2,0)," ")</f>
        <v xml:space="preserve"> </v>
      </c>
      <c r="Q661" s="160" t="str">
        <f>IFERROR(VLOOKUP(C661,TD!$B$32:$F$36,3,0)," ")</f>
        <v xml:space="preserve"> </v>
      </c>
      <c r="R661" s="160" t="str">
        <f>IFERROR(VLOOKUP(C661,TD!$B$32:$F$36,4,0)," ")</f>
        <v xml:space="preserve"> </v>
      </c>
      <c r="S661" s="51"/>
      <c r="T661" s="160" t="str">
        <f>IFERROR(VLOOKUP(S661,TD!$J$33:$K$43,2,0)," ")</f>
        <v xml:space="preserve"> </v>
      </c>
      <c r="U661" s="161" t="str">
        <f>CONCATENATE(S661,"-",T661)</f>
        <v xml:space="preserve">- </v>
      </c>
      <c r="V661" s="51"/>
      <c r="W661" s="160" t="str">
        <f>IFERROR(VLOOKUP(V661,TD!$N$33:$O$45,2,0)," ")</f>
        <v xml:space="preserve"> </v>
      </c>
      <c r="X661" s="161" t="str">
        <f>CONCATENATE(V661,"_",W661)</f>
        <v xml:space="preserve">_ </v>
      </c>
      <c r="Y661" s="161" t="str">
        <f>CONCATENATE(U661," ",X661)</f>
        <v xml:space="preserve">-  _ </v>
      </c>
      <c r="Z661" s="160" t="str">
        <f>CONCATENATE(P661,Q661,R661,S661,V661)</f>
        <v xml:space="preserve">   </v>
      </c>
      <c r="AA661" s="160" t="str">
        <f>IFERROR(VLOOKUP(Y661,TD!$K$46:$L$64,2,0)," ")</f>
        <v xml:space="preserve"> </v>
      </c>
      <c r="AB661" s="53"/>
      <c r="AC661" s="162"/>
    </row>
    <row r="662" spans="2:29" s="28" customFormat="1" ht="99" customHeight="1" x14ac:dyDescent="0.35">
      <c r="B662" s="77"/>
      <c r="C662" s="50"/>
      <c r="D662" s="158"/>
      <c r="E662" s="51"/>
      <c r="F662" s="158"/>
      <c r="G662" s="158"/>
      <c r="H662" s="97"/>
      <c r="I662" s="159"/>
      <c r="J662" s="159"/>
      <c r="K662" s="52"/>
      <c r="L662" s="153"/>
      <c r="M662" s="158"/>
      <c r="N662" s="53"/>
      <c r="O662" s="51"/>
      <c r="P662" s="160" t="str">
        <f>IFERROR(VLOOKUP(C662,TD!$B$32:$F$36,2,0)," ")</f>
        <v xml:space="preserve"> </v>
      </c>
      <c r="Q662" s="160" t="str">
        <f>IFERROR(VLOOKUP(C662,TD!$B$32:$F$36,3,0)," ")</f>
        <v xml:space="preserve"> </v>
      </c>
      <c r="R662" s="160" t="str">
        <f>IFERROR(VLOOKUP(C662,TD!$B$32:$F$36,4,0)," ")</f>
        <v xml:space="preserve"> </v>
      </c>
      <c r="S662" s="51"/>
      <c r="T662" s="160" t="str">
        <f>IFERROR(VLOOKUP(S662,TD!$J$33:$K$43,2,0)," ")</f>
        <v xml:space="preserve"> </v>
      </c>
      <c r="U662" s="161" t="str">
        <f>CONCATENATE(S662,"-",T662)</f>
        <v xml:space="preserve">- </v>
      </c>
      <c r="V662" s="51"/>
      <c r="W662" s="160" t="str">
        <f>IFERROR(VLOOKUP(V662,TD!$N$33:$O$45,2,0)," ")</f>
        <v xml:space="preserve"> </v>
      </c>
      <c r="X662" s="161" t="str">
        <f>CONCATENATE(V662,"_",W662)</f>
        <v xml:space="preserve">_ </v>
      </c>
      <c r="Y662" s="161" t="str">
        <f>CONCATENATE(U662," ",X662)</f>
        <v xml:space="preserve">-  _ </v>
      </c>
      <c r="Z662" s="160" t="str">
        <f>CONCATENATE(P662,Q662,R662,S662,V662)</f>
        <v xml:space="preserve">   </v>
      </c>
      <c r="AA662" s="160" t="str">
        <f>IFERROR(VLOOKUP(Y662,TD!$K$46:$L$64,2,0)," ")</f>
        <v xml:space="preserve"> </v>
      </c>
      <c r="AB662" s="53"/>
      <c r="AC662" s="162"/>
    </row>
    <row r="663" spans="2:29" s="28" customFormat="1" ht="99" customHeight="1" x14ac:dyDescent="0.35">
      <c r="B663" s="77"/>
      <c r="C663" s="50"/>
      <c r="D663" s="158"/>
      <c r="E663" s="51"/>
      <c r="F663" s="158"/>
      <c r="G663" s="158"/>
      <c r="H663" s="97"/>
      <c r="I663" s="159"/>
      <c r="J663" s="159"/>
      <c r="K663" s="52"/>
      <c r="L663" s="153"/>
      <c r="M663" s="158"/>
      <c r="N663" s="53"/>
      <c r="O663" s="51"/>
      <c r="P663" s="160" t="str">
        <f>IFERROR(VLOOKUP(C663,TD!$B$32:$F$36,2,0)," ")</f>
        <v xml:space="preserve"> </v>
      </c>
      <c r="Q663" s="160" t="str">
        <f>IFERROR(VLOOKUP(C663,TD!$B$32:$F$36,3,0)," ")</f>
        <v xml:space="preserve"> </v>
      </c>
      <c r="R663" s="160" t="str">
        <f>IFERROR(VLOOKUP(C663,TD!$B$32:$F$36,4,0)," ")</f>
        <v xml:space="preserve"> </v>
      </c>
      <c r="S663" s="51"/>
      <c r="T663" s="160" t="str">
        <f>IFERROR(VLOOKUP(S663,TD!$J$33:$K$43,2,0)," ")</f>
        <v xml:space="preserve"> </v>
      </c>
      <c r="U663" s="161" t="str">
        <f>CONCATENATE(S663,"-",T663)</f>
        <v xml:space="preserve">- </v>
      </c>
      <c r="V663" s="51"/>
      <c r="W663" s="160" t="str">
        <f>IFERROR(VLOOKUP(V663,TD!$N$33:$O$45,2,0)," ")</f>
        <v xml:space="preserve"> </v>
      </c>
      <c r="X663" s="161" t="str">
        <f>CONCATENATE(V663,"_",W663)</f>
        <v xml:space="preserve">_ </v>
      </c>
      <c r="Y663" s="161" t="str">
        <f>CONCATENATE(U663," ",X663)</f>
        <v xml:space="preserve">-  _ </v>
      </c>
      <c r="Z663" s="160" t="str">
        <f>CONCATENATE(P663,Q663,R663,S663,V663)</f>
        <v xml:space="preserve">   </v>
      </c>
      <c r="AA663" s="160" t="str">
        <f>IFERROR(VLOOKUP(Y663,TD!$K$46:$L$64,2,0)," ")</f>
        <v xml:space="preserve"> </v>
      </c>
      <c r="AB663" s="53"/>
      <c r="AC663" s="162"/>
    </row>
    <row r="664" spans="2:29" s="28" customFormat="1" ht="99" customHeight="1" x14ac:dyDescent="0.35">
      <c r="B664" s="77"/>
      <c r="C664" s="50"/>
      <c r="D664" s="158"/>
      <c r="E664" s="51"/>
      <c r="F664" s="158"/>
      <c r="G664" s="158"/>
      <c r="H664" s="97"/>
      <c r="I664" s="159"/>
      <c r="J664" s="159"/>
      <c r="K664" s="52"/>
      <c r="L664" s="153"/>
      <c r="M664" s="158"/>
      <c r="N664" s="53"/>
      <c r="O664" s="51"/>
      <c r="P664" s="160" t="str">
        <f>IFERROR(VLOOKUP(C664,TD!$B$32:$F$36,2,0)," ")</f>
        <v xml:space="preserve"> </v>
      </c>
      <c r="Q664" s="160" t="str">
        <f>IFERROR(VLOOKUP(C664,TD!$B$32:$F$36,3,0)," ")</f>
        <v xml:space="preserve"> </v>
      </c>
      <c r="R664" s="160" t="str">
        <f>IFERROR(VLOOKUP(C664,TD!$B$32:$F$36,4,0)," ")</f>
        <v xml:space="preserve"> </v>
      </c>
      <c r="S664" s="51"/>
      <c r="T664" s="160" t="str">
        <f>IFERROR(VLOOKUP(S664,TD!$J$33:$K$43,2,0)," ")</f>
        <v xml:space="preserve"> </v>
      </c>
      <c r="U664" s="161" t="str">
        <f>CONCATENATE(S664,"-",T664)</f>
        <v xml:space="preserve">- </v>
      </c>
      <c r="V664" s="51"/>
      <c r="W664" s="160" t="str">
        <f>IFERROR(VLOOKUP(V664,TD!$N$33:$O$45,2,0)," ")</f>
        <v xml:space="preserve"> </v>
      </c>
      <c r="X664" s="161" t="str">
        <f>CONCATENATE(V664,"_",W664)</f>
        <v xml:space="preserve">_ </v>
      </c>
      <c r="Y664" s="161" t="str">
        <f>CONCATENATE(U664," ",X664)</f>
        <v xml:space="preserve">-  _ </v>
      </c>
      <c r="Z664" s="160" t="str">
        <f>CONCATENATE(P664,Q664,R664,S664,V664)</f>
        <v xml:space="preserve">   </v>
      </c>
      <c r="AA664" s="160" t="str">
        <f>IFERROR(VLOOKUP(Y664,TD!$K$46:$L$64,2,0)," ")</f>
        <v xml:space="preserve"> </v>
      </c>
      <c r="AB664" s="53"/>
      <c r="AC664" s="162"/>
    </row>
    <row r="665" spans="2:29" s="28" customFormat="1" ht="99" customHeight="1" x14ac:dyDescent="0.35">
      <c r="B665" s="77"/>
      <c r="C665" s="50"/>
      <c r="D665" s="158"/>
      <c r="E665" s="51"/>
      <c r="F665" s="158"/>
      <c r="G665" s="158"/>
      <c r="H665" s="97"/>
      <c r="I665" s="159"/>
      <c r="J665" s="159"/>
      <c r="K665" s="52"/>
      <c r="L665" s="153"/>
      <c r="M665" s="158"/>
      <c r="N665" s="53"/>
      <c r="O665" s="51"/>
      <c r="P665" s="160" t="str">
        <f>IFERROR(VLOOKUP(C665,TD!$B$32:$F$36,2,0)," ")</f>
        <v xml:space="preserve"> </v>
      </c>
      <c r="Q665" s="160" t="str">
        <f>IFERROR(VLOOKUP(C665,TD!$B$32:$F$36,3,0)," ")</f>
        <v xml:space="preserve"> </v>
      </c>
      <c r="R665" s="160" t="str">
        <f>IFERROR(VLOOKUP(C665,TD!$B$32:$F$36,4,0)," ")</f>
        <v xml:space="preserve"> </v>
      </c>
      <c r="S665" s="51"/>
      <c r="T665" s="160" t="str">
        <f>IFERROR(VLOOKUP(S665,TD!$J$33:$K$43,2,0)," ")</f>
        <v xml:space="preserve"> </v>
      </c>
      <c r="U665" s="161" t="str">
        <f>CONCATENATE(S665,"-",T665)</f>
        <v xml:space="preserve">- </v>
      </c>
      <c r="V665" s="51"/>
      <c r="W665" s="160" t="str">
        <f>IFERROR(VLOOKUP(V665,TD!$N$33:$O$45,2,0)," ")</f>
        <v xml:space="preserve"> </v>
      </c>
      <c r="X665" s="161" t="str">
        <f>CONCATENATE(V665,"_",W665)</f>
        <v xml:space="preserve">_ </v>
      </c>
      <c r="Y665" s="161" t="str">
        <f>CONCATENATE(U665," ",X665)</f>
        <v xml:space="preserve">-  _ </v>
      </c>
      <c r="Z665" s="160" t="str">
        <f>CONCATENATE(P665,Q665,R665,S665,V665)</f>
        <v xml:space="preserve">   </v>
      </c>
      <c r="AA665" s="160" t="str">
        <f>IFERROR(VLOOKUP(Y665,TD!$K$46:$L$64,2,0)," ")</f>
        <v xml:space="preserve"> </v>
      </c>
      <c r="AB665" s="53"/>
      <c r="AC665" s="162"/>
    </row>
    <row r="666" spans="2:29" s="28" customFormat="1" ht="99" customHeight="1" x14ac:dyDescent="0.35">
      <c r="B666" s="77"/>
      <c r="C666" s="50"/>
      <c r="D666" s="158"/>
      <c r="E666" s="51"/>
      <c r="F666" s="158"/>
      <c r="G666" s="158"/>
      <c r="H666" s="97"/>
      <c r="I666" s="159"/>
      <c r="J666" s="159"/>
      <c r="K666" s="52"/>
      <c r="L666" s="153"/>
      <c r="M666" s="158"/>
      <c r="N666" s="53"/>
      <c r="O666" s="51"/>
      <c r="P666" s="160" t="str">
        <f>IFERROR(VLOOKUP(C666,TD!$B$32:$F$36,2,0)," ")</f>
        <v xml:space="preserve"> </v>
      </c>
      <c r="Q666" s="160" t="str">
        <f>IFERROR(VLOOKUP(C666,TD!$B$32:$F$36,3,0)," ")</f>
        <v xml:space="preserve"> </v>
      </c>
      <c r="R666" s="160" t="str">
        <f>IFERROR(VLOOKUP(C666,TD!$B$32:$F$36,4,0)," ")</f>
        <v xml:space="preserve"> </v>
      </c>
      <c r="S666" s="51"/>
      <c r="T666" s="160" t="str">
        <f>IFERROR(VLOOKUP(S666,TD!$J$33:$K$43,2,0)," ")</f>
        <v xml:space="preserve"> </v>
      </c>
      <c r="U666" s="161" t="str">
        <f>CONCATENATE(S666,"-",T666)</f>
        <v xml:space="preserve">- </v>
      </c>
      <c r="V666" s="51"/>
      <c r="W666" s="160" t="str">
        <f>IFERROR(VLOOKUP(V666,TD!$N$33:$O$45,2,0)," ")</f>
        <v xml:space="preserve"> </v>
      </c>
      <c r="X666" s="161" t="str">
        <f>CONCATENATE(V666,"_",W666)</f>
        <v xml:space="preserve">_ </v>
      </c>
      <c r="Y666" s="161" t="str">
        <f>CONCATENATE(U666," ",X666)</f>
        <v xml:space="preserve">-  _ </v>
      </c>
      <c r="Z666" s="160" t="str">
        <f>CONCATENATE(P666,Q666,R666,S666,V666)</f>
        <v xml:space="preserve">   </v>
      </c>
      <c r="AA666" s="160" t="str">
        <f>IFERROR(VLOOKUP(Y666,TD!$K$46:$L$64,2,0)," ")</f>
        <v xml:space="preserve"> </v>
      </c>
      <c r="AB666" s="53"/>
      <c r="AC666" s="162"/>
    </row>
    <row r="667" spans="2:29" s="28" customFormat="1" ht="99" customHeight="1" x14ac:dyDescent="0.35">
      <c r="B667" s="77"/>
      <c r="C667" s="50"/>
      <c r="D667" s="158"/>
      <c r="E667" s="51"/>
      <c r="F667" s="158"/>
      <c r="G667" s="158"/>
      <c r="H667" s="97"/>
      <c r="I667" s="159"/>
      <c r="J667" s="159"/>
      <c r="K667" s="52"/>
      <c r="L667" s="153"/>
      <c r="M667" s="158"/>
      <c r="N667" s="53"/>
      <c r="O667" s="51"/>
      <c r="P667" s="160" t="str">
        <f>IFERROR(VLOOKUP(C667,TD!$B$32:$F$36,2,0)," ")</f>
        <v xml:space="preserve"> </v>
      </c>
      <c r="Q667" s="160" t="str">
        <f>IFERROR(VLOOKUP(C667,TD!$B$32:$F$36,3,0)," ")</f>
        <v xml:space="preserve"> </v>
      </c>
      <c r="R667" s="160" t="str">
        <f>IFERROR(VLOOKUP(C667,TD!$B$32:$F$36,4,0)," ")</f>
        <v xml:space="preserve"> </v>
      </c>
      <c r="S667" s="51"/>
      <c r="T667" s="160" t="str">
        <f>IFERROR(VLOOKUP(S667,TD!$J$33:$K$43,2,0)," ")</f>
        <v xml:space="preserve"> </v>
      </c>
      <c r="U667" s="161" t="str">
        <f>CONCATENATE(S667,"-",T667)</f>
        <v xml:space="preserve">- </v>
      </c>
      <c r="V667" s="51"/>
      <c r="W667" s="160" t="str">
        <f>IFERROR(VLOOKUP(V667,TD!$N$33:$O$45,2,0)," ")</f>
        <v xml:space="preserve"> </v>
      </c>
      <c r="X667" s="161" t="str">
        <f>CONCATENATE(V667,"_",W667)</f>
        <v xml:space="preserve">_ </v>
      </c>
      <c r="Y667" s="161" t="str">
        <f>CONCATENATE(U667," ",X667)</f>
        <v xml:space="preserve">-  _ </v>
      </c>
      <c r="Z667" s="160" t="str">
        <f>CONCATENATE(P667,Q667,R667,S667,V667)</f>
        <v xml:space="preserve">   </v>
      </c>
      <c r="AA667" s="160" t="str">
        <f>IFERROR(VLOOKUP(Y667,TD!$K$46:$L$64,2,0)," ")</f>
        <v xml:space="preserve"> </v>
      </c>
      <c r="AB667" s="53"/>
      <c r="AC667" s="162"/>
    </row>
    <row r="668" spans="2:29" s="28" customFormat="1" ht="99" customHeight="1" x14ac:dyDescent="0.35">
      <c r="B668" s="77"/>
      <c r="C668" s="50"/>
      <c r="D668" s="158"/>
      <c r="E668" s="51"/>
      <c r="F668" s="158"/>
      <c r="G668" s="158"/>
      <c r="H668" s="97"/>
      <c r="I668" s="159"/>
      <c r="J668" s="159"/>
      <c r="K668" s="52"/>
      <c r="L668" s="153"/>
      <c r="M668" s="158"/>
      <c r="N668" s="53"/>
      <c r="O668" s="51"/>
      <c r="P668" s="160" t="str">
        <f>IFERROR(VLOOKUP(C668,TD!$B$32:$F$36,2,0)," ")</f>
        <v xml:space="preserve"> </v>
      </c>
      <c r="Q668" s="160" t="str">
        <f>IFERROR(VLOOKUP(C668,TD!$B$32:$F$36,3,0)," ")</f>
        <v xml:space="preserve"> </v>
      </c>
      <c r="R668" s="160" t="str">
        <f>IFERROR(VLOOKUP(C668,TD!$B$32:$F$36,4,0)," ")</f>
        <v xml:space="preserve"> </v>
      </c>
      <c r="S668" s="51"/>
      <c r="T668" s="160" t="str">
        <f>IFERROR(VLOOKUP(S668,TD!$J$33:$K$43,2,0)," ")</f>
        <v xml:space="preserve"> </v>
      </c>
      <c r="U668" s="161" t="str">
        <f>CONCATENATE(S668,"-",T668)</f>
        <v xml:space="preserve">- </v>
      </c>
      <c r="V668" s="51"/>
      <c r="W668" s="160" t="str">
        <f>IFERROR(VLOOKUP(V668,TD!$N$33:$O$45,2,0)," ")</f>
        <v xml:space="preserve"> </v>
      </c>
      <c r="X668" s="161" t="str">
        <f>CONCATENATE(V668,"_",W668)</f>
        <v xml:space="preserve">_ </v>
      </c>
      <c r="Y668" s="161" t="str">
        <f>CONCATENATE(U668," ",X668)</f>
        <v xml:space="preserve">-  _ </v>
      </c>
      <c r="Z668" s="160" t="str">
        <f>CONCATENATE(P668,Q668,R668,S668,V668)</f>
        <v xml:space="preserve">   </v>
      </c>
      <c r="AA668" s="160" t="str">
        <f>IFERROR(VLOOKUP(Y668,TD!$K$46:$L$64,2,0)," ")</f>
        <v xml:space="preserve"> </v>
      </c>
      <c r="AB668" s="53"/>
      <c r="AC668" s="162"/>
    </row>
    <row r="669" spans="2:29" s="28" customFormat="1" ht="99" customHeight="1" x14ac:dyDescent="0.35">
      <c r="B669" s="77"/>
      <c r="C669" s="50"/>
      <c r="D669" s="158"/>
      <c r="E669" s="51"/>
      <c r="F669" s="158"/>
      <c r="G669" s="158"/>
      <c r="H669" s="97"/>
      <c r="I669" s="159"/>
      <c r="J669" s="159"/>
      <c r="K669" s="52"/>
      <c r="L669" s="153"/>
      <c r="M669" s="158"/>
      <c r="N669" s="53"/>
      <c r="O669" s="51"/>
      <c r="P669" s="160" t="str">
        <f>IFERROR(VLOOKUP(C669,TD!$B$32:$F$36,2,0)," ")</f>
        <v xml:space="preserve"> </v>
      </c>
      <c r="Q669" s="160" t="str">
        <f>IFERROR(VLOOKUP(C669,TD!$B$32:$F$36,3,0)," ")</f>
        <v xml:space="preserve"> </v>
      </c>
      <c r="R669" s="160" t="str">
        <f>IFERROR(VLOOKUP(C669,TD!$B$32:$F$36,4,0)," ")</f>
        <v xml:space="preserve"> </v>
      </c>
      <c r="S669" s="51"/>
      <c r="T669" s="160" t="str">
        <f>IFERROR(VLOOKUP(S669,TD!$J$33:$K$43,2,0)," ")</f>
        <v xml:space="preserve"> </v>
      </c>
      <c r="U669" s="161" t="str">
        <f>CONCATENATE(S669,"-",T669)</f>
        <v xml:space="preserve">- </v>
      </c>
      <c r="V669" s="51"/>
      <c r="W669" s="160" t="str">
        <f>IFERROR(VLOOKUP(V669,TD!$N$33:$O$45,2,0)," ")</f>
        <v xml:space="preserve"> </v>
      </c>
      <c r="X669" s="161" t="str">
        <f>CONCATENATE(V669,"_",W669)</f>
        <v xml:space="preserve">_ </v>
      </c>
      <c r="Y669" s="161" t="str">
        <f>CONCATENATE(U669," ",X669)</f>
        <v xml:space="preserve">-  _ </v>
      </c>
      <c r="Z669" s="160" t="str">
        <f>CONCATENATE(P669,Q669,R669,S669,V669)</f>
        <v xml:space="preserve">   </v>
      </c>
      <c r="AA669" s="160" t="str">
        <f>IFERROR(VLOOKUP(Y669,TD!$K$46:$L$64,2,0)," ")</f>
        <v xml:space="preserve"> </v>
      </c>
      <c r="AB669" s="53"/>
      <c r="AC669" s="162"/>
    </row>
    <row r="670" spans="2:29" s="28" customFormat="1" ht="99" customHeight="1" x14ac:dyDescent="0.35">
      <c r="B670" s="77"/>
      <c r="C670" s="50"/>
      <c r="D670" s="158"/>
      <c r="E670" s="51"/>
      <c r="F670" s="158"/>
      <c r="G670" s="158"/>
      <c r="H670" s="97"/>
      <c r="I670" s="159"/>
      <c r="J670" s="159"/>
      <c r="K670" s="52"/>
      <c r="L670" s="153"/>
      <c r="M670" s="158"/>
      <c r="N670" s="53"/>
      <c r="O670" s="51"/>
      <c r="P670" s="160" t="str">
        <f>IFERROR(VLOOKUP(C670,TD!$B$32:$F$36,2,0)," ")</f>
        <v xml:space="preserve"> </v>
      </c>
      <c r="Q670" s="160" t="str">
        <f>IFERROR(VLOOKUP(C670,TD!$B$32:$F$36,3,0)," ")</f>
        <v xml:space="preserve"> </v>
      </c>
      <c r="R670" s="160" t="str">
        <f>IFERROR(VLOOKUP(C670,TD!$B$32:$F$36,4,0)," ")</f>
        <v xml:space="preserve"> </v>
      </c>
      <c r="S670" s="51"/>
      <c r="T670" s="160" t="str">
        <f>IFERROR(VLOOKUP(S670,TD!$J$33:$K$43,2,0)," ")</f>
        <v xml:space="preserve"> </v>
      </c>
      <c r="U670" s="161" t="str">
        <f>CONCATENATE(S670,"-",T670)</f>
        <v xml:space="preserve">- </v>
      </c>
      <c r="V670" s="51"/>
      <c r="W670" s="160" t="str">
        <f>IFERROR(VLOOKUP(V670,TD!$N$33:$O$45,2,0)," ")</f>
        <v xml:space="preserve"> </v>
      </c>
      <c r="X670" s="161" t="str">
        <f>CONCATENATE(V670,"_",W670)</f>
        <v xml:space="preserve">_ </v>
      </c>
      <c r="Y670" s="161" t="str">
        <f>CONCATENATE(U670," ",X670)</f>
        <v xml:space="preserve">-  _ </v>
      </c>
      <c r="Z670" s="160" t="str">
        <f>CONCATENATE(P670,Q670,R670,S670,V670)</f>
        <v xml:space="preserve">   </v>
      </c>
      <c r="AA670" s="160" t="str">
        <f>IFERROR(VLOOKUP(Y670,TD!$K$46:$L$64,2,0)," ")</f>
        <v xml:space="preserve"> </v>
      </c>
      <c r="AB670" s="53"/>
      <c r="AC670" s="162"/>
    </row>
    <row r="671" spans="2:29" s="28" customFormat="1" ht="99" customHeight="1" x14ac:dyDescent="0.35">
      <c r="B671" s="77"/>
      <c r="C671" s="50"/>
      <c r="D671" s="158"/>
      <c r="E671" s="51"/>
      <c r="F671" s="158"/>
      <c r="G671" s="158"/>
      <c r="H671" s="97"/>
      <c r="I671" s="159"/>
      <c r="J671" s="159"/>
      <c r="K671" s="52"/>
      <c r="L671" s="153"/>
      <c r="M671" s="158"/>
      <c r="N671" s="53"/>
      <c r="O671" s="51"/>
      <c r="P671" s="160" t="str">
        <f>IFERROR(VLOOKUP(C671,TD!$B$32:$F$36,2,0)," ")</f>
        <v xml:space="preserve"> </v>
      </c>
      <c r="Q671" s="160" t="str">
        <f>IFERROR(VLOOKUP(C671,TD!$B$32:$F$36,3,0)," ")</f>
        <v xml:space="preserve"> </v>
      </c>
      <c r="R671" s="160" t="str">
        <f>IFERROR(VLOOKUP(C671,TD!$B$32:$F$36,4,0)," ")</f>
        <v xml:space="preserve"> </v>
      </c>
      <c r="S671" s="51"/>
      <c r="T671" s="160" t="str">
        <f>IFERROR(VLOOKUP(S671,TD!$J$33:$K$43,2,0)," ")</f>
        <v xml:space="preserve"> </v>
      </c>
      <c r="U671" s="161" t="str">
        <f>CONCATENATE(S671,"-",T671)</f>
        <v xml:space="preserve">- </v>
      </c>
      <c r="V671" s="51"/>
      <c r="W671" s="160" t="str">
        <f>IFERROR(VLOOKUP(V671,TD!$N$33:$O$45,2,0)," ")</f>
        <v xml:space="preserve"> </v>
      </c>
      <c r="X671" s="161" t="str">
        <f>CONCATENATE(V671,"_",W671)</f>
        <v xml:space="preserve">_ </v>
      </c>
      <c r="Y671" s="161" t="str">
        <f>CONCATENATE(U671," ",X671)</f>
        <v xml:space="preserve">-  _ </v>
      </c>
      <c r="Z671" s="160" t="str">
        <f>CONCATENATE(P671,Q671,R671,S671,V671)</f>
        <v xml:space="preserve">   </v>
      </c>
      <c r="AA671" s="160" t="str">
        <f>IFERROR(VLOOKUP(Y671,TD!$K$46:$L$64,2,0)," ")</f>
        <v xml:space="preserve"> </v>
      </c>
      <c r="AB671" s="53"/>
      <c r="AC671" s="162"/>
    </row>
    <row r="672" spans="2:29" s="28" customFormat="1" ht="99" customHeight="1" x14ac:dyDescent="0.35">
      <c r="B672" s="77"/>
      <c r="C672" s="50"/>
      <c r="D672" s="158"/>
      <c r="E672" s="51"/>
      <c r="F672" s="158"/>
      <c r="G672" s="158"/>
      <c r="H672" s="97"/>
      <c r="I672" s="159"/>
      <c r="J672" s="159"/>
      <c r="K672" s="52"/>
      <c r="L672" s="153"/>
      <c r="M672" s="158"/>
      <c r="N672" s="53"/>
      <c r="O672" s="51"/>
      <c r="P672" s="160" t="str">
        <f>IFERROR(VLOOKUP(C672,TD!$B$32:$F$36,2,0)," ")</f>
        <v xml:space="preserve"> </v>
      </c>
      <c r="Q672" s="160" t="str">
        <f>IFERROR(VLOOKUP(C672,TD!$B$32:$F$36,3,0)," ")</f>
        <v xml:space="preserve"> </v>
      </c>
      <c r="R672" s="160" t="str">
        <f>IFERROR(VLOOKUP(C672,TD!$B$32:$F$36,4,0)," ")</f>
        <v xml:space="preserve"> </v>
      </c>
      <c r="S672" s="51"/>
      <c r="T672" s="160" t="str">
        <f>IFERROR(VLOOKUP(S672,TD!$J$33:$K$43,2,0)," ")</f>
        <v xml:space="preserve"> </v>
      </c>
      <c r="U672" s="161" t="str">
        <f>CONCATENATE(S672,"-",T672)</f>
        <v xml:space="preserve">- </v>
      </c>
      <c r="V672" s="51"/>
      <c r="W672" s="160" t="str">
        <f>IFERROR(VLOOKUP(V672,TD!$N$33:$O$45,2,0)," ")</f>
        <v xml:space="preserve"> </v>
      </c>
      <c r="X672" s="161" t="str">
        <f>CONCATENATE(V672,"_",W672)</f>
        <v xml:space="preserve">_ </v>
      </c>
      <c r="Y672" s="161" t="str">
        <f>CONCATENATE(U672," ",X672)</f>
        <v xml:space="preserve">-  _ </v>
      </c>
      <c r="Z672" s="160" t="str">
        <f>CONCATENATE(P672,Q672,R672,S672,V672)</f>
        <v xml:space="preserve">   </v>
      </c>
      <c r="AA672" s="160" t="str">
        <f>IFERROR(VLOOKUP(Y672,TD!$K$46:$L$64,2,0)," ")</f>
        <v xml:space="preserve"> </v>
      </c>
      <c r="AB672" s="53"/>
      <c r="AC672" s="162"/>
    </row>
    <row r="673" spans="2:29" s="28" customFormat="1" ht="99" customHeight="1" x14ac:dyDescent="0.35">
      <c r="B673" s="77"/>
      <c r="C673" s="50"/>
      <c r="D673" s="158"/>
      <c r="E673" s="51"/>
      <c r="F673" s="158"/>
      <c r="G673" s="158"/>
      <c r="H673" s="97"/>
      <c r="I673" s="159"/>
      <c r="J673" s="159"/>
      <c r="K673" s="52"/>
      <c r="L673" s="153"/>
      <c r="M673" s="158"/>
      <c r="N673" s="53"/>
      <c r="O673" s="51"/>
      <c r="P673" s="160" t="str">
        <f>IFERROR(VLOOKUP(C673,TD!$B$32:$F$36,2,0)," ")</f>
        <v xml:space="preserve"> </v>
      </c>
      <c r="Q673" s="160" t="str">
        <f>IFERROR(VLOOKUP(C673,TD!$B$32:$F$36,3,0)," ")</f>
        <v xml:space="preserve"> </v>
      </c>
      <c r="R673" s="160" t="str">
        <f>IFERROR(VLOOKUP(C673,TD!$B$32:$F$36,4,0)," ")</f>
        <v xml:space="preserve"> </v>
      </c>
      <c r="S673" s="51"/>
      <c r="T673" s="160" t="str">
        <f>IFERROR(VLOOKUP(S673,TD!$J$33:$K$43,2,0)," ")</f>
        <v xml:space="preserve"> </v>
      </c>
      <c r="U673" s="161" t="str">
        <f>CONCATENATE(S673,"-",T673)</f>
        <v xml:space="preserve">- </v>
      </c>
      <c r="V673" s="51"/>
      <c r="W673" s="160" t="str">
        <f>IFERROR(VLOOKUP(V673,TD!$N$33:$O$45,2,0)," ")</f>
        <v xml:space="preserve"> </v>
      </c>
      <c r="X673" s="161" t="str">
        <f>CONCATENATE(V673,"_",W673)</f>
        <v xml:space="preserve">_ </v>
      </c>
      <c r="Y673" s="161" t="str">
        <f>CONCATENATE(U673," ",X673)</f>
        <v xml:space="preserve">-  _ </v>
      </c>
      <c r="Z673" s="160" t="str">
        <f>CONCATENATE(P673,Q673,R673,S673,V673)</f>
        <v xml:space="preserve">   </v>
      </c>
      <c r="AA673" s="160" t="str">
        <f>IFERROR(VLOOKUP(Y673,TD!$K$46:$L$64,2,0)," ")</f>
        <v xml:space="preserve"> </v>
      </c>
      <c r="AB673" s="53"/>
      <c r="AC673" s="162"/>
    </row>
    <row r="674" spans="2:29" s="28" customFormat="1" ht="99" customHeight="1" x14ac:dyDescent="0.35">
      <c r="B674" s="77"/>
      <c r="C674" s="50"/>
      <c r="D674" s="158"/>
      <c r="E674" s="51"/>
      <c r="F674" s="158"/>
      <c r="G674" s="158"/>
      <c r="H674" s="97"/>
      <c r="I674" s="159"/>
      <c r="J674" s="159"/>
      <c r="K674" s="52"/>
      <c r="L674" s="153"/>
      <c r="M674" s="158"/>
      <c r="N674" s="53"/>
      <c r="O674" s="51"/>
      <c r="P674" s="160" t="str">
        <f>IFERROR(VLOOKUP(C674,TD!$B$32:$F$36,2,0)," ")</f>
        <v xml:space="preserve"> </v>
      </c>
      <c r="Q674" s="160" t="str">
        <f>IFERROR(VLOOKUP(C674,TD!$B$32:$F$36,3,0)," ")</f>
        <v xml:space="preserve"> </v>
      </c>
      <c r="R674" s="160" t="str">
        <f>IFERROR(VLOOKUP(C674,TD!$B$32:$F$36,4,0)," ")</f>
        <v xml:space="preserve"> </v>
      </c>
      <c r="S674" s="51"/>
      <c r="T674" s="160" t="str">
        <f>IFERROR(VLOOKUP(S674,TD!$J$33:$K$43,2,0)," ")</f>
        <v xml:space="preserve"> </v>
      </c>
      <c r="U674" s="161" t="str">
        <f>CONCATENATE(S674,"-",T674)</f>
        <v xml:space="preserve">- </v>
      </c>
      <c r="V674" s="51"/>
      <c r="W674" s="160" t="str">
        <f>IFERROR(VLOOKUP(V674,TD!$N$33:$O$45,2,0)," ")</f>
        <v xml:space="preserve"> </v>
      </c>
      <c r="X674" s="161" t="str">
        <f>CONCATENATE(V674,"_",W674)</f>
        <v xml:space="preserve">_ </v>
      </c>
      <c r="Y674" s="161" t="str">
        <f>CONCATENATE(U674," ",X674)</f>
        <v xml:space="preserve">-  _ </v>
      </c>
      <c r="Z674" s="160" t="str">
        <f>CONCATENATE(P674,Q674,R674,S674,V674)</f>
        <v xml:space="preserve">   </v>
      </c>
      <c r="AA674" s="160" t="str">
        <f>IFERROR(VLOOKUP(Y674,TD!$K$46:$L$64,2,0)," ")</f>
        <v xml:space="preserve"> </v>
      </c>
      <c r="AB674" s="53"/>
      <c r="AC674" s="162"/>
    </row>
    <row r="675" spans="2:29" s="28" customFormat="1" ht="99" customHeight="1" x14ac:dyDescent="0.35">
      <c r="B675" s="77"/>
      <c r="C675" s="50"/>
      <c r="D675" s="158"/>
      <c r="E675" s="51"/>
      <c r="F675" s="158"/>
      <c r="G675" s="158"/>
      <c r="H675" s="97"/>
      <c r="I675" s="159"/>
      <c r="J675" s="159"/>
      <c r="K675" s="52"/>
      <c r="L675" s="153"/>
      <c r="M675" s="158"/>
      <c r="N675" s="53"/>
      <c r="O675" s="51"/>
      <c r="P675" s="160" t="str">
        <f>IFERROR(VLOOKUP(C675,TD!$B$32:$F$36,2,0)," ")</f>
        <v xml:space="preserve"> </v>
      </c>
      <c r="Q675" s="160" t="str">
        <f>IFERROR(VLOOKUP(C675,TD!$B$32:$F$36,3,0)," ")</f>
        <v xml:space="preserve"> </v>
      </c>
      <c r="R675" s="160" t="str">
        <f>IFERROR(VLOOKUP(C675,TD!$B$32:$F$36,4,0)," ")</f>
        <v xml:space="preserve"> </v>
      </c>
      <c r="S675" s="51"/>
      <c r="T675" s="160" t="str">
        <f>IFERROR(VLOOKUP(S675,TD!$J$33:$K$43,2,0)," ")</f>
        <v xml:space="preserve"> </v>
      </c>
      <c r="U675" s="161" t="str">
        <f>CONCATENATE(S675,"-",T675)</f>
        <v xml:space="preserve">- </v>
      </c>
      <c r="V675" s="51"/>
      <c r="W675" s="160" t="str">
        <f>IFERROR(VLOOKUP(V675,TD!$N$33:$O$45,2,0)," ")</f>
        <v xml:space="preserve"> </v>
      </c>
      <c r="X675" s="161" t="str">
        <f>CONCATENATE(V675,"_",W675)</f>
        <v xml:space="preserve">_ </v>
      </c>
      <c r="Y675" s="161" t="str">
        <f>CONCATENATE(U675," ",X675)</f>
        <v xml:space="preserve">-  _ </v>
      </c>
      <c r="Z675" s="160" t="str">
        <f>CONCATENATE(P675,Q675,R675,S675,V675)</f>
        <v xml:space="preserve">   </v>
      </c>
      <c r="AA675" s="160" t="str">
        <f>IFERROR(VLOOKUP(Y675,TD!$K$46:$L$64,2,0)," ")</f>
        <v xml:space="preserve"> </v>
      </c>
      <c r="AB675" s="53"/>
      <c r="AC675" s="162"/>
    </row>
    <row r="676" spans="2:29" s="28" customFormat="1" ht="99" customHeight="1" x14ac:dyDescent="0.35">
      <c r="B676" s="77"/>
      <c r="C676" s="50"/>
      <c r="D676" s="158"/>
      <c r="E676" s="51"/>
      <c r="F676" s="158"/>
      <c r="G676" s="158"/>
      <c r="H676" s="97"/>
      <c r="I676" s="159"/>
      <c r="J676" s="159"/>
      <c r="K676" s="52"/>
      <c r="L676" s="153"/>
      <c r="M676" s="158"/>
      <c r="N676" s="53"/>
      <c r="O676" s="51"/>
      <c r="P676" s="160" t="str">
        <f>IFERROR(VLOOKUP(C676,TD!$B$32:$F$36,2,0)," ")</f>
        <v xml:space="preserve"> </v>
      </c>
      <c r="Q676" s="160" t="str">
        <f>IFERROR(VLOOKUP(C676,TD!$B$32:$F$36,3,0)," ")</f>
        <v xml:space="preserve"> </v>
      </c>
      <c r="R676" s="160" t="str">
        <f>IFERROR(VLOOKUP(C676,TD!$B$32:$F$36,4,0)," ")</f>
        <v xml:space="preserve"> </v>
      </c>
      <c r="S676" s="51"/>
      <c r="T676" s="160" t="str">
        <f>IFERROR(VLOOKUP(S676,TD!$J$33:$K$43,2,0)," ")</f>
        <v xml:space="preserve"> </v>
      </c>
      <c r="U676" s="161" t="str">
        <f>CONCATENATE(S676,"-",T676)</f>
        <v xml:space="preserve">- </v>
      </c>
      <c r="V676" s="51"/>
      <c r="W676" s="160" t="str">
        <f>IFERROR(VLOOKUP(V676,TD!$N$33:$O$45,2,0)," ")</f>
        <v xml:space="preserve"> </v>
      </c>
      <c r="X676" s="161" t="str">
        <f>CONCATENATE(V676,"_",W676)</f>
        <v xml:space="preserve">_ </v>
      </c>
      <c r="Y676" s="161" t="str">
        <f>CONCATENATE(U676," ",X676)</f>
        <v xml:space="preserve">-  _ </v>
      </c>
      <c r="Z676" s="160" t="str">
        <f>CONCATENATE(P676,Q676,R676,S676,V676)</f>
        <v xml:space="preserve">   </v>
      </c>
      <c r="AA676" s="160" t="str">
        <f>IFERROR(VLOOKUP(Y676,TD!$K$46:$L$64,2,0)," ")</f>
        <v xml:space="preserve"> </v>
      </c>
      <c r="AB676" s="53"/>
      <c r="AC676" s="162"/>
    </row>
    <row r="677" spans="2:29" s="28" customFormat="1" ht="99" customHeight="1" x14ac:dyDescent="0.35">
      <c r="B677" s="77"/>
      <c r="C677" s="50"/>
      <c r="D677" s="158"/>
      <c r="E677" s="51"/>
      <c r="F677" s="158"/>
      <c r="G677" s="158"/>
      <c r="H677" s="97"/>
      <c r="I677" s="159"/>
      <c r="J677" s="159"/>
      <c r="K677" s="52"/>
      <c r="L677" s="153"/>
      <c r="M677" s="158"/>
      <c r="N677" s="53"/>
      <c r="O677" s="51"/>
      <c r="P677" s="160" t="str">
        <f>IFERROR(VLOOKUP(C677,TD!$B$32:$F$36,2,0)," ")</f>
        <v xml:space="preserve"> </v>
      </c>
      <c r="Q677" s="160" t="str">
        <f>IFERROR(VLOOKUP(C677,TD!$B$32:$F$36,3,0)," ")</f>
        <v xml:space="preserve"> </v>
      </c>
      <c r="R677" s="160" t="str">
        <f>IFERROR(VLOOKUP(C677,TD!$B$32:$F$36,4,0)," ")</f>
        <v xml:space="preserve"> </v>
      </c>
      <c r="S677" s="51"/>
      <c r="T677" s="160" t="str">
        <f>IFERROR(VLOOKUP(S677,TD!$J$33:$K$43,2,0)," ")</f>
        <v xml:space="preserve"> </v>
      </c>
      <c r="U677" s="161" t="str">
        <f>CONCATENATE(S677,"-",T677)</f>
        <v xml:space="preserve">- </v>
      </c>
      <c r="V677" s="51"/>
      <c r="W677" s="160" t="str">
        <f>IFERROR(VLOOKUP(V677,TD!$N$33:$O$45,2,0)," ")</f>
        <v xml:space="preserve"> </v>
      </c>
      <c r="X677" s="161" t="str">
        <f>CONCATENATE(V677,"_",W677)</f>
        <v xml:space="preserve">_ </v>
      </c>
      <c r="Y677" s="161" t="str">
        <f>CONCATENATE(U677," ",X677)</f>
        <v xml:space="preserve">-  _ </v>
      </c>
      <c r="Z677" s="160" t="str">
        <f>CONCATENATE(P677,Q677,R677,S677,V677)</f>
        <v xml:space="preserve">   </v>
      </c>
      <c r="AA677" s="160" t="str">
        <f>IFERROR(VLOOKUP(Y677,TD!$K$46:$L$64,2,0)," ")</f>
        <v xml:space="preserve"> </v>
      </c>
      <c r="AB677" s="53"/>
      <c r="AC677" s="162"/>
    </row>
    <row r="678" spans="2:29" s="28" customFormat="1" ht="99" customHeight="1" x14ac:dyDescent="0.35">
      <c r="B678" s="77"/>
      <c r="C678" s="50"/>
      <c r="D678" s="158"/>
      <c r="E678" s="51"/>
      <c r="F678" s="158"/>
      <c r="G678" s="158"/>
      <c r="H678" s="97"/>
      <c r="I678" s="159"/>
      <c r="J678" s="159"/>
      <c r="K678" s="52"/>
      <c r="L678" s="153"/>
      <c r="M678" s="158"/>
      <c r="N678" s="53"/>
      <c r="O678" s="51"/>
      <c r="P678" s="160" t="str">
        <f>IFERROR(VLOOKUP(C678,TD!$B$32:$F$36,2,0)," ")</f>
        <v xml:space="preserve"> </v>
      </c>
      <c r="Q678" s="160" t="str">
        <f>IFERROR(VLOOKUP(C678,TD!$B$32:$F$36,3,0)," ")</f>
        <v xml:space="preserve"> </v>
      </c>
      <c r="R678" s="160" t="str">
        <f>IFERROR(VLOOKUP(C678,TD!$B$32:$F$36,4,0)," ")</f>
        <v xml:space="preserve"> </v>
      </c>
      <c r="S678" s="51"/>
      <c r="T678" s="160" t="str">
        <f>IFERROR(VLOOKUP(S678,TD!$J$33:$K$43,2,0)," ")</f>
        <v xml:space="preserve"> </v>
      </c>
      <c r="U678" s="161" t="str">
        <f>CONCATENATE(S678,"-",T678)</f>
        <v xml:space="preserve">- </v>
      </c>
      <c r="V678" s="51"/>
      <c r="W678" s="160" t="str">
        <f>IFERROR(VLOOKUP(V678,TD!$N$33:$O$45,2,0)," ")</f>
        <v xml:space="preserve"> </v>
      </c>
      <c r="X678" s="161" t="str">
        <f>CONCATENATE(V678,"_",W678)</f>
        <v xml:space="preserve">_ </v>
      </c>
      <c r="Y678" s="161" t="str">
        <f>CONCATENATE(U678," ",X678)</f>
        <v xml:space="preserve">-  _ </v>
      </c>
      <c r="Z678" s="160" t="str">
        <f>CONCATENATE(P678,Q678,R678,S678,V678)</f>
        <v xml:space="preserve">   </v>
      </c>
      <c r="AA678" s="160" t="str">
        <f>IFERROR(VLOOKUP(Y678,TD!$K$46:$L$64,2,0)," ")</f>
        <v xml:space="preserve"> </v>
      </c>
      <c r="AB678" s="53"/>
      <c r="AC678" s="162"/>
    </row>
    <row r="679" spans="2:29" s="28" customFormat="1" ht="99" customHeight="1" x14ac:dyDescent="0.35">
      <c r="B679" s="77"/>
      <c r="C679" s="50"/>
      <c r="D679" s="158"/>
      <c r="E679" s="51"/>
      <c r="F679" s="158"/>
      <c r="G679" s="158"/>
      <c r="H679" s="97"/>
      <c r="I679" s="159"/>
      <c r="J679" s="159"/>
      <c r="K679" s="52"/>
      <c r="L679" s="153"/>
      <c r="M679" s="158"/>
      <c r="N679" s="53"/>
      <c r="O679" s="51"/>
      <c r="P679" s="160" t="str">
        <f>IFERROR(VLOOKUP(C679,TD!$B$32:$F$36,2,0)," ")</f>
        <v xml:space="preserve"> </v>
      </c>
      <c r="Q679" s="160" t="str">
        <f>IFERROR(VLOOKUP(C679,TD!$B$32:$F$36,3,0)," ")</f>
        <v xml:space="preserve"> </v>
      </c>
      <c r="R679" s="160" t="str">
        <f>IFERROR(VLOOKUP(C679,TD!$B$32:$F$36,4,0)," ")</f>
        <v xml:space="preserve"> </v>
      </c>
      <c r="S679" s="51"/>
      <c r="T679" s="160" t="str">
        <f>IFERROR(VLOOKUP(S679,TD!$J$33:$K$43,2,0)," ")</f>
        <v xml:space="preserve"> </v>
      </c>
      <c r="U679" s="161" t="str">
        <f>CONCATENATE(S679,"-",T679)</f>
        <v xml:space="preserve">- </v>
      </c>
      <c r="V679" s="51"/>
      <c r="W679" s="160" t="str">
        <f>IFERROR(VLOOKUP(V679,TD!$N$33:$O$45,2,0)," ")</f>
        <v xml:space="preserve"> </v>
      </c>
      <c r="X679" s="161" t="str">
        <f>CONCATENATE(V679,"_",W679)</f>
        <v xml:space="preserve">_ </v>
      </c>
      <c r="Y679" s="161" t="str">
        <f>CONCATENATE(U679," ",X679)</f>
        <v xml:space="preserve">-  _ </v>
      </c>
      <c r="Z679" s="160" t="str">
        <f>CONCATENATE(P679,Q679,R679,S679,V679)</f>
        <v xml:space="preserve">   </v>
      </c>
      <c r="AA679" s="160" t="str">
        <f>IFERROR(VLOOKUP(Y679,TD!$K$46:$L$64,2,0)," ")</f>
        <v xml:space="preserve"> </v>
      </c>
      <c r="AB679" s="53"/>
      <c r="AC679" s="162"/>
    </row>
    <row r="680" spans="2:29" s="28" customFormat="1" ht="99" customHeight="1" x14ac:dyDescent="0.35">
      <c r="B680" s="77"/>
      <c r="C680" s="50"/>
      <c r="D680" s="158"/>
      <c r="E680" s="51"/>
      <c r="F680" s="158"/>
      <c r="G680" s="158"/>
      <c r="H680" s="97"/>
      <c r="I680" s="159"/>
      <c r="J680" s="159"/>
      <c r="K680" s="52"/>
      <c r="L680" s="153"/>
      <c r="M680" s="158"/>
      <c r="N680" s="53"/>
      <c r="O680" s="51"/>
      <c r="P680" s="160" t="str">
        <f>IFERROR(VLOOKUP(C680,TD!$B$32:$F$36,2,0)," ")</f>
        <v xml:space="preserve"> </v>
      </c>
      <c r="Q680" s="160" t="str">
        <f>IFERROR(VLOOKUP(C680,TD!$B$32:$F$36,3,0)," ")</f>
        <v xml:space="preserve"> </v>
      </c>
      <c r="R680" s="160" t="str">
        <f>IFERROR(VLOOKUP(C680,TD!$B$32:$F$36,4,0)," ")</f>
        <v xml:space="preserve"> </v>
      </c>
      <c r="S680" s="51"/>
      <c r="T680" s="160" t="str">
        <f>IFERROR(VLOOKUP(S680,TD!$J$33:$K$43,2,0)," ")</f>
        <v xml:space="preserve"> </v>
      </c>
      <c r="U680" s="161" t="str">
        <f>CONCATENATE(S680,"-",T680)</f>
        <v xml:space="preserve">- </v>
      </c>
      <c r="V680" s="51"/>
      <c r="W680" s="160" t="str">
        <f>IFERROR(VLOOKUP(V680,TD!$N$33:$O$45,2,0)," ")</f>
        <v xml:space="preserve"> </v>
      </c>
      <c r="X680" s="161" t="str">
        <f>CONCATENATE(V680,"_",W680)</f>
        <v xml:space="preserve">_ </v>
      </c>
      <c r="Y680" s="161" t="str">
        <f>CONCATENATE(U680," ",X680)</f>
        <v xml:space="preserve">-  _ </v>
      </c>
      <c r="Z680" s="160" t="str">
        <f>CONCATENATE(P680,Q680,R680,S680,V680)</f>
        <v xml:space="preserve">   </v>
      </c>
      <c r="AA680" s="160" t="str">
        <f>IFERROR(VLOOKUP(Y680,TD!$K$46:$L$64,2,0)," ")</f>
        <v xml:space="preserve"> </v>
      </c>
      <c r="AB680" s="53"/>
      <c r="AC680" s="162"/>
    </row>
    <row r="681" spans="2:29" s="28" customFormat="1" ht="99" customHeight="1" x14ac:dyDescent="0.35">
      <c r="B681" s="77"/>
      <c r="C681" s="50"/>
      <c r="D681" s="158"/>
      <c r="E681" s="51"/>
      <c r="F681" s="158"/>
      <c r="G681" s="158"/>
      <c r="H681" s="97"/>
      <c r="I681" s="159"/>
      <c r="J681" s="159"/>
      <c r="K681" s="52"/>
      <c r="L681" s="153"/>
      <c r="M681" s="158"/>
      <c r="N681" s="53"/>
      <c r="O681" s="51"/>
      <c r="P681" s="160" t="str">
        <f>IFERROR(VLOOKUP(C681,TD!$B$32:$F$36,2,0)," ")</f>
        <v xml:space="preserve"> </v>
      </c>
      <c r="Q681" s="160" t="str">
        <f>IFERROR(VLOOKUP(C681,TD!$B$32:$F$36,3,0)," ")</f>
        <v xml:space="preserve"> </v>
      </c>
      <c r="R681" s="160" t="str">
        <f>IFERROR(VLOOKUP(C681,TD!$B$32:$F$36,4,0)," ")</f>
        <v xml:space="preserve"> </v>
      </c>
      <c r="S681" s="51"/>
      <c r="T681" s="160" t="str">
        <f>IFERROR(VLOOKUP(S681,TD!$J$33:$K$43,2,0)," ")</f>
        <v xml:space="preserve"> </v>
      </c>
      <c r="U681" s="161" t="str">
        <f>CONCATENATE(S681,"-",T681)</f>
        <v xml:space="preserve">- </v>
      </c>
      <c r="V681" s="51"/>
      <c r="W681" s="160" t="str">
        <f>IFERROR(VLOOKUP(V681,TD!$N$33:$O$45,2,0)," ")</f>
        <v xml:space="preserve"> </v>
      </c>
      <c r="X681" s="161" t="str">
        <f>CONCATENATE(V681,"_",W681)</f>
        <v xml:space="preserve">_ </v>
      </c>
      <c r="Y681" s="161" t="str">
        <f>CONCATENATE(U681," ",X681)</f>
        <v xml:space="preserve">-  _ </v>
      </c>
      <c r="Z681" s="160" t="str">
        <f>CONCATENATE(P681,Q681,R681,S681,V681)</f>
        <v xml:space="preserve">   </v>
      </c>
      <c r="AA681" s="160" t="str">
        <f>IFERROR(VLOOKUP(Y681,TD!$K$46:$L$64,2,0)," ")</f>
        <v xml:space="preserve"> </v>
      </c>
      <c r="AB681" s="53"/>
      <c r="AC681" s="162"/>
    </row>
    <row r="682" spans="2:29" s="28" customFormat="1" ht="99" customHeight="1" x14ac:dyDescent="0.35">
      <c r="B682" s="77"/>
      <c r="C682" s="50"/>
      <c r="D682" s="158"/>
      <c r="E682" s="51"/>
      <c r="F682" s="158"/>
      <c r="G682" s="158"/>
      <c r="H682" s="97"/>
      <c r="I682" s="159"/>
      <c r="J682" s="159"/>
      <c r="K682" s="52"/>
      <c r="L682" s="153"/>
      <c r="M682" s="158"/>
      <c r="N682" s="53"/>
      <c r="O682" s="51"/>
      <c r="P682" s="160" t="str">
        <f>IFERROR(VLOOKUP(C682,TD!$B$32:$F$36,2,0)," ")</f>
        <v xml:space="preserve"> </v>
      </c>
      <c r="Q682" s="160" t="str">
        <f>IFERROR(VLOOKUP(C682,TD!$B$32:$F$36,3,0)," ")</f>
        <v xml:space="preserve"> </v>
      </c>
      <c r="R682" s="160" t="str">
        <f>IFERROR(VLOOKUP(C682,TD!$B$32:$F$36,4,0)," ")</f>
        <v xml:space="preserve"> </v>
      </c>
      <c r="S682" s="51"/>
      <c r="T682" s="160" t="str">
        <f>IFERROR(VLOOKUP(S682,TD!$J$33:$K$43,2,0)," ")</f>
        <v xml:space="preserve"> </v>
      </c>
      <c r="U682" s="161" t="str">
        <f>CONCATENATE(S682,"-",T682)</f>
        <v xml:space="preserve">- </v>
      </c>
      <c r="V682" s="51"/>
      <c r="W682" s="160" t="str">
        <f>IFERROR(VLOOKUP(V682,TD!$N$33:$O$45,2,0)," ")</f>
        <v xml:space="preserve"> </v>
      </c>
      <c r="X682" s="161" t="str">
        <f>CONCATENATE(V682,"_",W682)</f>
        <v xml:space="preserve">_ </v>
      </c>
      <c r="Y682" s="161" t="str">
        <f>CONCATENATE(U682," ",X682)</f>
        <v xml:space="preserve">-  _ </v>
      </c>
      <c r="Z682" s="160" t="str">
        <f>CONCATENATE(P682,Q682,R682,S682,V682)</f>
        <v xml:space="preserve">   </v>
      </c>
      <c r="AA682" s="160" t="str">
        <f>IFERROR(VLOOKUP(Y682,TD!$K$46:$L$64,2,0)," ")</f>
        <v xml:space="preserve"> </v>
      </c>
      <c r="AB682" s="53"/>
      <c r="AC682" s="162"/>
    </row>
    <row r="683" spans="2:29" s="28" customFormat="1" ht="99" customHeight="1" x14ac:dyDescent="0.35">
      <c r="B683" s="77"/>
      <c r="C683" s="50"/>
      <c r="D683" s="158"/>
      <c r="E683" s="51"/>
      <c r="F683" s="158"/>
      <c r="G683" s="158"/>
      <c r="H683" s="97"/>
      <c r="I683" s="159"/>
      <c r="J683" s="159"/>
      <c r="K683" s="52"/>
      <c r="L683" s="153"/>
      <c r="M683" s="158"/>
      <c r="N683" s="53"/>
      <c r="O683" s="51"/>
      <c r="P683" s="160" t="str">
        <f>IFERROR(VLOOKUP(C683,TD!$B$32:$F$36,2,0)," ")</f>
        <v xml:space="preserve"> </v>
      </c>
      <c r="Q683" s="160" t="str">
        <f>IFERROR(VLOOKUP(C683,TD!$B$32:$F$36,3,0)," ")</f>
        <v xml:space="preserve"> </v>
      </c>
      <c r="R683" s="160" t="str">
        <f>IFERROR(VLOOKUP(C683,TD!$B$32:$F$36,4,0)," ")</f>
        <v xml:space="preserve"> </v>
      </c>
      <c r="S683" s="51"/>
      <c r="T683" s="160" t="str">
        <f>IFERROR(VLOOKUP(S683,TD!$J$33:$K$43,2,0)," ")</f>
        <v xml:space="preserve"> </v>
      </c>
      <c r="U683" s="161" t="str">
        <f>CONCATENATE(S683,"-",T683)</f>
        <v xml:space="preserve">- </v>
      </c>
      <c r="V683" s="51"/>
      <c r="W683" s="160" t="str">
        <f>IFERROR(VLOOKUP(V683,TD!$N$33:$O$45,2,0)," ")</f>
        <v xml:space="preserve"> </v>
      </c>
      <c r="X683" s="161" t="str">
        <f>CONCATENATE(V683,"_",W683)</f>
        <v xml:space="preserve">_ </v>
      </c>
      <c r="Y683" s="161" t="str">
        <f>CONCATENATE(U683," ",X683)</f>
        <v xml:space="preserve">-  _ </v>
      </c>
      <c r="Z683" s="160" t="str">
        <f>CONCATENATE(P683,Q683,R683,S683,V683)</f>
        <v xml:space="preserve">   </v>
      </c>
      <c r="AA683" s="160" t="str">
        <f>IFERROR(VLOOKUP(Y683,TD!$K$46:$L$64,2,0)," ")</f>
        <v xml:space="preserve"> </v>
      </c>
      <c r="AB683" s="53"/>
      <c r="AC683" s="162"/>
    </row>
    <row r="684" spans="2:29" s="28" customFormat="1" ht="99" customHeight="1" x14ac:dyDescent="0.35">
      <c r="B684" s="77"/>
      <c r="C684" s="50"/>
      <c r="D684" s="158"/>
      <c r="E684" s="51"/>
      <c r="F684" s="158"/>
      <c r="G684" s="158"/>
      <c r="H684" s="97"/>
      <c r="I684" s="159"/>
      <c r="J684" s="159"/>
      <c r="K684" s="52"/>
      <c r="L684" s="153"/>
      <c r="M684" s="158"/>
      <c r="N684" s="53"/>
      <c r="O684" s="51"/>
      <c r="P684" s="160" t="str">
        <f>IFERROR(VLOOKUP(C684,TD!$B$32:$F$36,2,0)," ")</f>
        <v xml:space="preserve"> </v>
      </c>
      <c r="Q684" s="160" t="str">
        <f>IFERROR(VLOOKUP(C684,TD!$B$32:$F$36,3,0)," ")</f>
        <v xml:space="preserve"> </v>
      </c>
      <c r="R684" s="160" t="str">
        <f>IFERROR(VLOOKUP(C684,TD!$B$32:$F$36,4,0)," ")</f>
        <v xml:space="preserve"> </v>
      </c>
      <c r="S684" s="51"/>
      <c r="T684" s="160" t="str">
        <f>IFERROR(VLOOKUP(S684,TD!$J$33:$K$43,2,0)," ")</f>
        <v xml:space="preserve"> </v>
      </c>
      <c r="U684" s="161" t="str">
        <f>CONCATENATE(S684,"-",T684)</f>
        <v xml:space="preserve">- </v>
      </c>
      <c r="V684" s="51"/>
      <c r="W684" s="160" t="str">
        <f>IFERROR(VLOOKUP(V684,TD!$N$33:$O$45,2,0)," ")</f>
        <v xml:space="preserve"> </v>
      </c>
      <c r="X684" s="161" t="str">
        <f>CONCATENATE(V684,"_",W684)</f>
        <v xml:space="preserve">_ </v>
      </c>
      <c r="Y684" s="161" t="str">
        <f>CONCATENATE(U684," ",X684)</f>
        <v xml:space="preserve">-  _ </v>
      </c>
      <c r="Z684" s="160" t="str">
        <f>CONCATENATE(P684,Q684,R684,S684,V684)</f>
        <v xml:space="preserve">   </v>
      </c>
      <c r="AA684" s="160" t="str">
        <f>IFERROR(VLOOKUP(Y684,TD!$K$46:$L$64,2,0)," ")</f>
        <v xml:space="preserve"> </v>
      </c>
      <c r="AB684" s="53"/>
      <c r="AC684" s="162"/>
    </row>
    <row r="685" spans="2:29" s="28" customFormat="1" ht="99" customHeight="1" x14ac:dyDescent="0.35">
      <c r="B685" s="77"/>
      <c r="C685" s="50"/>
      <c r="D685" s="158"/>
      <c r="E685" s="51"/>
      <c r="F685" s="158"/>
      <c r="G685" s="158"/>
      <c r="H685" s="97"/>
      <c r="I685" s="159"/>
      <c r="J685" s="159"/>
      <c r="K685" s="52"/>
      <c r="L685" s="153"/>
      <c r="M685" s="158"/>
      <c r="N685" s="53"/>
      <c r="O685" s="51"/>
      <c r="P685" s="160" t="str">
        <f>IFERROR(VLOOKUP(C685,TD!$B$32:$F$36,2,0)," ")</f>
        <v xml:space="preserve"> </v>
      </c>
      <c r="Q685" s="160" t="str">
        <f>IFERROR(VLOOKUP(C685,TD!$B$32:$F$36,3,0)," ")</f>
        <v xml:space="preserve"> </v>
      </c>
      <c r="R685" s="160" t="str">
        <f>IFERROR(VLOOKUP(C685,TD!$B$32:$F$36,4,0)," ")</f>
        <v xml:space="preserve"> </v>
      </c>
      <c r="S685" s="51"/>
      <c r="T685" s="160" t="str">
        <f>IFERROR(VLOOKUP(S685,TD!$J$33:$K$43,2,0)," ")</f>
        <v xml:space="preserve"> </v>
      </c>
      <c r="U685" s="161" t="str">
        <f>CONCATENATE(S685,"-",T685)</f>
        <v xml:space="preserve">- </v>
      </c>
      <c r="V685" s="51"/>
      <c r="W685" s="160" t="str">
        <f>IFERROR(VLOOKUP(V685,TD!$N$33:$O$45,2,0)," ")</f>
        <v xml:space="preserve"> </v>
      </c>
      <c r="X685" s="161" t="str">
        <f>CONCATENATE(V685,"_",W685)</f>
        <v xml:space="preserve">_ </v>
      </c>
      <c r="Y685" s="161" t="str">
        <f>CONCATENATE(U685," ",X685)</f>
        <v xml:space="preserve">-  _ </v>
      </c>
      <c r="Z685" s="160" t="str">
        <f>CONCATENATE(P685,Q685,R685,S685,V685)</f>
        <v xml:space="preserve">   </v>
      </c>
      <c r="AA685" s="160" t="str">
        <f>IFERROR(VLOOKUP(Y685,TD!$K$46:$L$64,2,0)," ")</f>
        <v xml:space="preserve"> </v>
      </c>
      <c r="AB685" s="53"/>
      <c r="AC685" s="162"/>
    </row>
    <row r="686" spans="2:29" s="28" customFormat="1" ht="99" customHeight="1" x14ac:dyDescent="0.35">
      <c r="B686" s="77"/>
      <c r="C686" s="50"/>
      <c r="D686" s="158"/>
      <c r="E686" s="51"/>
      <c r="F686" s="158"/>
      <c r="G686" s="158"/>
      <c r="H686" s="97"/>
      <c r="I686" s="159"/>
      <c r="J686" s="159"/>
      <c r="K686" s="52"/>
      <c r="L686" s="153"/>
      <c r="M686" s="158"/>
      <c r="N686" s="53"/>
      <c r="O686" s="51"/>
      <c r="P686" s="160" t="str">
        <f>IFERROR(VLOOKUP(C686,TD!$B$32:$F$36,2,0)," ")</f>
        <v xml:space="preserve"> </v>
      </c>
      <c r="Q686" s="160" t="str">
        <f>IFERROR(VLOOKUP(C686,TD!$B$32:$F$36,3,0)," ")</f>
        <v xml:space="preserve"> </v>
      </c>
      <c r="R686" s="160" t="str">
        <f>IFERROR(VLOOKUP(C686,TD!$B$32:$F$36,4,0)," ")</f>
        <v xml:space="preserve"> </v>
      </c>
      <c r="S686" s="51"/>
      <c r="T686" s="160" t="str">
        <f>IFERROR(VLOOKUP(S686,TD!$J$33:$K$43,2,0)," ")</f>
        <v xml:space="preserve"> </v>
      </c>
      <c r="U686" s="161" t="str">
        <f>CONCATENATE(S686,"-",T686)</f>
        <v xml:space="preserve">- </v>
      </c>
      <c r="V686" s="51"/>
      <c r="W686" s="160" t="str">
        <f>IFERROR(VLOOKUP(V686,TD!$N$33:$O$45,2,0)," ")</f>
        <v xml:space="preserve"> </v>
      </c>
      <c r="X686" s="161" t="str">
        <f>CONCATENATE(V686,"_",W686)</f>
        <v xml:space="preserve">_ </v>
      </c>
      <c r="Y686" s="161" t="str">
        <f>CONCATENATE(U686," ",X686)</f>
        <v xml:space="preserve">-  _ </v>
      </c>
      <c r="Z686" s="160" t="str">
        <f>CONCATENATE(P686,Q686,R686,S686,V686)</f>
        <v xml:space="preserve">   </v>
      </c>
      <c r="AA686" s="160" t="str">
        <f>IFERROR(VLOOKUP(Y686,TD!$K$46:$L$64,2,0)," ")</f>
        <v xml:space="preserve"> </v>
      </c>
      <c r="AB686" s="53"/>
      <c r="AC686" s="162"/>
    </row>
    <row r="687" spans="2:29" s="28" customFormat="1" ht="99" customHeight="1" x14ac:dyDescent="0.35">
      <c r="B687" s="77"/>
      <c r="C687" s="50"/>
      <c r="D687" s="158"/>
      <c r="E687" s="51"/>
      <c r="F687" s="158"/>
      <c r="G687" s="158"/>
      <c r="H687" s="97"/>
      <c r="I687" s="159"/>
      <c r="J687" s="159"/>
      <c r="K687" s="52"/>
      <c r="L687" s="153"/>
      <c r="M687" s="158"/>
      <c r="N687" s="53"/>
      <c r="O687" s="51"/>
      <c r="P687" s="160" t="str">
        <f>IFERROR(VLOOKUP(C687,TD!$B$32:$F$36,2,0)," ")</f>
        <v xml:space="preserve"> </v>
      </c>
      <c r="Q687" s="160" t="str">
        <f>IFERROR(VLOOKUP(C687,TD!$B$32:$F$36,3,0)," ")</f>
        <v xml:space="preserve"> </v>
      </c>
      <c r="R687" s="160" t="str">
        <f>IFERROR(VLOOKUP(C687,TD!$B$32:$F$36,4,0)," ")</f>
        <v xml:space="preserve"> </v>
      </c>
      <c r="S687" s="51"/>
      <c r="T687" s="160" t="str">
        <f>IFERROR(VLOOKUP(S687,TD!$J$33:$K$43,2,0)," ")</f>
        <v xml:space="preserve"> </v>
      </c>
      <c r="U687" s="161" t="str">
        <f>CONCATENATE(S687,"-",T687)</f>
        <v xml:space="preserve">- </v>
      </c>
      <c r="V687" s="51"/>
      <c r="W687" s="160" t="str">
        <f>IFERROR(VLOOKUP(V687,TD!$N$33:$O$45,2,0)," ")</f>
        <v xml:space="preserve"> </v>
      </c>
      <c r="X687" s="161" t="str">
        <f>CONCATENATE(V687,"_",W687)</f>
        <v xml:space="preserve">_ </v>
      </c>
      <c r="Y687" s="161" t="str">
        <f>CONCATENATE(U687," ",X687)</f>
        <v xml:space="preserve">-  _ </v>
      </c>
      <c r="Z687" s="160" t="str">
        <f>CONCATENATE(P687,Q687,R687,S687,V687)</f>
        <v xml:space="preserve">   </v>
      </c>
      <c r="AA687" s="160" t="str">
        <f>IFERROR(VLOOKUP(Y687,TD!$K$46:$L$64,2,0)," ")</f>
        <v xml:space="preserve"> </v>
      </c>
      <c r="AB687" s="53"/>
      <c r="AC687" s="162"/>
    </row>
    <row r="688" spans="2:29" s="28" customFormat="1" ht="99" customHeight="1" x14ac:dyDescent="0.35">
      <c r="B688" s="77"/>
      <c r="C688" s="50"/>
      <c r="D688" s="158"/>
      <c r="E688" s="51"/>
      <c r="F688" s="158"/>
      <c r="G688" s="158"/>
      <c r="H688" s="97"/>
      <c r="I688" s="159"/>
      <c r="J688" s="159"/>
      <c r="K688" s="52"/>
      <c r="L688" s="153"/>
      <c r="M688" s="158"/>
      <c r="N688" s="53"/>
      <c r="O688" s="51"/>
      <c r="P688" s="160" t="str">
        <f>IFERROR(VLOOKUP(C688,TD!$B$32:$F$36,2,0)," ")</f>
        <v xml:space="preserve"> </v>
      </c>
      <c r="Q688" s="160" t="str">
        <f>IFERROR(VLOOKUP(C688,TD!$B$32:$F$36,3,0)," ")</f>
        <v xml:space="preserve"> </v>
      </c>
      <c r="R688" s="160" t="str">
        <f>IFERROR(VLOOKUP(C688,TD!$B$32:$F$36,4,0)," ")</f>
        <v xml:space="preserve"> </v>
      </c>
      <c r="S688" s="51"/>
      <c r="T688" s="160" t="str">
        <f>IFERROR(VLOOKUP(S688,TD!$J$33:$K$43,2,0)," ")</f>
        <v xml:space="preserve"> </v>
      </c>
      <c r="U688" s="161" t="str">
        <f>CONCATENATE(S688,"-",T688)</f>
        <v xml:space="preserve">- </v>
      </c>
      <c r="V688" s="51"/>
      <c r="W688" s="160" t="str">
        <f>IFERROR(VLOOKUP(V688,TD!$N$33:$O$45,2,0)," ")</f>
        <v xml:space="preserve"> </v>
      </c>
      <c r="X688" s="161" t="str">
        <f>CONCATENATE(V688,"_",W688)</f>
        <v xml:space="preserve">_ </v>
      </c>
      <c r="Y688" s="161" t="str">
        <f>CONCATENATE(U688," ",X688)</f>
        <v xml:space="preserve">-  _ </v>
      </c>
      <c r="Z688" s="160" t="str">
        <f>CONCATENATE(P688,Q688,R688,S688,V688)</f>
        <v xml:space="preserve">   </v>
      </c>
      <c r="AA688" s="160" t="str">
        <f>IFERROR(VLOOKUP(Y688,TD!$K$46:$L$64,2,0)," ")</f>
        <v xml:space="preserve"> </v>
      </c>
      <c r="AB688" s="53"/>
      <c r="AC688" s="162"/>
    </row>
    <row r="689" spans="2:29" s="28" customFormat="1" ht="99" customHeight="1" x14ac:dyDescent="0.35">
      <c r="B689" s="77"/>
      <c r="C689" s="50"/>
      <c r="D689" s="158"/>
      <c r="E689" s="51"/>
      <c r="F689" s="158"/>
      <c r="G689" s="158"/>
      <c r="H689" s="97"/>
      <c r="I689" s="159"/>
      <c r="J689" s="159"/>
      <c r="K689" s="52"/>
      <c r="L689" s="153"/>
      <c r="M689" s="158"/>
      <c r="N689" s="53"/>
      <c r="O689" s="51"/>
      <c r="P689" s="160" t="str">
        <f>IFERROR(VLOOKUP(C689,TD!$B$32:$F$36,2,0)," ")</f>
        <v xml:space="preserve"> </v>
      </c>
      <c r="Q689" s="160" t="str">
        <f>IFERROR(VLOOKUP(C689,TD!$B$32:$F$36,3,0)," ")</f>
        <v xml:space="preserve"> </v>
      </c>
      <c r="R689" s="160" t="str">
        <f>IFERROR(VLOOKUP(C689,TD!$B$32:$F$36,4,0)," ")</f>
        <v xml:space="preserve"> </v>
      </c>
      <c r="S689" s="51"/>
      <c r="T689" s="160" t="str">
        <f>IFERROR(VLOOKUP(S689,TD!$J$33:$K$43,2,0)," ")</f>
        <v xml:space="preserve"> </v>
      </c>
      <c r="U689" s="161" t="str">
        <f>CONCATENATE(S689,"-",T689)</f>
        <v xml:space="preserve">- </v>
      </c>
      <c r="V689" s="51"/>
      <c r="W689" s="160" t="str">
        <f>IFERROR(VLOOKUP(V689,TD!$N$33:$O$45,2,0)," ")</f>
        <v xml:space="preserve"> </v>
      </c>
      <c r="X689" s="161" t="str">
        <f>CONCATENATE(V689,"_",W689)</f>
        <v xml:space="preserve">_ </v>
      </c>
      <c r="Y689" s="161" t="str">
        <f>CONCATENATE(U689," ",X689)</f>
        <v xml:space="preserve">-  _ </v>
      </c>
      <c r="Z689" s="160" t="str">
        <f>CONCATENATE(P689,Q689,R689,S689,V689)</f>
        <v xml:space="preserve">   </v>
      </c>
      <c r="AA689" s="160" t="str">
        <f>IFERROR(VLOOKUP(Y689,TD!$K$46:$L$64,2,0)," ")</f>
        <v xml:space="preserve"> </v>
      </c>
      <c r="AB689" s="53"/>
      <c r="AC689" s="162"/>
    </row>
    <row r="690" spans="2:29" s="28" customFormat="1" ht="99" customHeight="1" x14ac:dyDescent="0.35">
      <c r="B690" s="77"/>
      <c r="C690" s="50"/>
      <c r="D690" s="158"/>
      <c r="E690" s="51"/>
      <c r="F690" s="158"/>
      <c r="G690" s="158"/>
      <c r="H690" s="97"/>
      <c r="I690" s="159"/>
      <c r="J690" s="159"/>
      <c r="K690" s="52"/>
      <c r="L690" s="153"/>
      <c r="M690" s="158"/>
      <c r="N690" s="53"/>
      <c r="O690" s="51"/>
      <c r="P690" s="160" t="str">
        <f>IFERROR(VLOOKUP(C690,TD!$B$32:$F$36,2,0)," ")</f>
        <v xml:space="preserve"> </v>
      </c>
      <c r="Q690" s="160" t="str">
        <f>IFERROR(VLOOKUP(C690,TD!$B$32:$F$36,3,0)," ")</f>
        <v xml:space="preserve"> </v>
      </c>
      <c r="R690" s="160" t="str">
        <f>IFERROR(VLOOKUP(C690,TD!$B$32:$F$36,4,0)," ")</f>
        <v xml:space="preserve"> </v>
      </c>
      <c r="S690" s="51"/>
      <c r="T690" s="160" t="str">
        <f>IFERROR(VLOOKUP(S690,TD!$J$33:$K$43,2,0)," ")</f>
        <v xml:space="preserve"> </v>
      </c>
      <c r="U690" s="161" t="str">
        <f>CONCATENATE(S690,"-",T690)</f>
        <v xml:space="preserve">- </v>
      </c>
      <c r="V690" s="51"/>
      <c r="W690" s="160" t="str">
        <f>IFERROR(VLOOKUP(V690,TD!$N$33:$O$45,2,0)," ")</f>
        <v xml:space="preserve"> </v>
      </c>
      <c r="X690" s="161" t="str">
        <f>CONCATENATE(V690,"_",W690)</f>
        <v xml:space="preserve">_ </v>
      </c>
      <c r="Y690" s="161" t="str">
        <f>CONCATENATE(U690," ",X690)</f>
        <v xml:space="preserve">-  _ </v>
      </c>
      <c r="Z690" s="160" t="str">
        <f>CONCATENATE(P690,Q690,R690,S690,V690)</f>
        <v xml:space="preserve">   </v>
      </c>
      <c r="AA690" s="160" t="str">
        <f>IFERROR(VLOOKUP(Y690,TD!$K$46:$L$64,2,0)," ")</f>
        <v xml:space="preserve"> </v>
      </c>
      <c r="AB690" s="53"/>
      <c r="AC690" s="162"/>
    </row>
    <row r="691" spans="2:29" s="28" customFormat="1" ht="99" customHeight="1" x14ac:dyDescent="0.35">
      <c r="B691" s="77"/>
      <c r="C691" s="50"/>
      <c r="D691" s="158"/>
      <c r="E691" s="51"/>
      <c r="F691" s="158"/>
      <c r="G691" s="158"/>
      <c r="H691" s="97"/>
      <c r="I691" s="159"/>
      <c r="J691" s="159"/>
      <c r="K691" s="52"/>
      <c r="L691" s="153"/>
      <c r="M691" s="158"/>
      <c r="N691" s="53"/>
      <c r="O691" s="51"/>
      <c r="P691" s="160" t="str">
        <f>IFERROR(VLOOKUP(C691,TD!$B$32:$F$36,2,0)," ")</f>
        <v xml:space="preserve"> </v>
      </c>
      <c r="Q691" s="160" t="str">
        <f>IFERROR(VLOOKUP(C691,TD!$B$32:$F$36,3,0)," ")</f>
        <v xml:space="preserve"> </v>
      </c>
      <c r="R691" s="160" t="str">
        <f>IFERROR(VLOOKUP(C691,TD!$B$32:$F$36,4,0)," ")</f>
        <v xml:space="preserve"> </v>
      </c>
      <c r="S691" s="51"/>
      <c r="T691" s="160" t="str">
        <f>IFERROR(VLOOKUP(S691,TD!$J$33:$K$43,2,0)," ")</f>
        <v xml:space="preserve"> </v>
      </c>
      <c r="U691" s="161" t="str">
        <f>CONCATENATE(S691,"-",T691)</f>
        <v xml:space="preserve">- </v>
      </c>
      <c r="V691" s="51"/>
      <c r="W691" s="160" t="str">
        <f>IFERROR(VLOOKUP(V691,TD!$N$33:$O$45,2,0)," ")</f>
        <v xml:space="preserve"> </v>
      </c>
      <c r="X691" s="161" t="str">
        <f>CONCATENATE(V691,"_",W691)</f>
        <v xml:space="preserve">_ </v>
      </c>
      <c r="Y691" s="161" t="str">
        <f>CONCATENATE(U691," ",X691)</f>
        <v xml:space="preserve">-  _ </v>
      </c>
      <c r="Z691" s="160" t="str">
        <f>CONCATENATE(P691,Q691,R691,S691,V691)</f>
        <v xml:space="preserve">   </v>
      </c>
      <c r="AA691" s="160" t="str">
        <f>IFERROR(VLOOKUP(Y691,TD!$K$46:$L$64,2,0)," ")</f>
        <v xml:space="preserve"> </v>
      </c>
      <c r="AB691" s="53"/>
      <c r="AC691" s="162"/>
    </row>
    <row r="692" spans="2:29" s="28" customFormat="1" ht="99" customHeight="1" x14ac:dyDescent="0.35">
      <c r="B692" s="77"/>
      <c r="C692" s="50"/>
      <c r="D692" s="158"/>
      <c r="E692" s="51"/>
      <c r="F692" s="158"/>
      <c r="G692" s="158"/>
      <c r="H692" s="97"/>
      <c r="I692" s="159"/>
      <c r="J692" s="159"/>
      <c r="K692" s="52"/>
      <c r="L692" s="153"/>
      <c r="M692" s="158"/>
      <c r="N692" s="53"/>
      <c r="O692" s="51"/>
      <c r="P692" s="160" t="str">
        <f>IFERROR(VLOOKUP(C692,TD!$B$32:$F$36,2,0)," ")</f>
        <v xml:space="preserve"> </v>
      </c>
      <c r="Q692" s="160" t="str">
        <f>IFERROR(VLOOKUP(C692,TD!$B$32:$F$36,3,0)," ")</f>
        <v xml:space="preserve"> </v>
      </c>
      <c r="R692" s="160" t="str">
        <f>IFERROR(VLOOKUP(C692,TD!$B$32:$F$36,4,0)," ")</f>
        <v xml:space="preserve"> </v>
      </c>
      <c r="S692" s="51"/>
      <c r="T692" s="160" t="str">
        <f>IFERROR(VLOOKUP(S692,TD!$J$33:$K$43,2,0)," ")</f>
        <v xml:space="preserve"> </v>
      </c>
      <c r="U692" s="161" t="str">
        <f>CONCATENATE(S692,"-",T692)</f>
        <v xml:space="preserve">- </v>
      </c>
      <c r="V692" s="51"/>
      <c r="W692" s="160" t="str">
        <f>IFERROR(VLOOKUP(V692,TD!$N$33:$O$45,2,0)," ")</f>
        <v xml:space="preserve"> </v>
      </c>
      <c r="X692" s="161" t="str">
        <f>CONCATENATE(V692,"_",W692)</f>
        <v xml:space="preserve">_ </v>
      </c>
      <c r="Y692" s="161" t="str">
        <f>CONCATENATE(U692," ",X692)</f>
        <v xml:space="preserve">-  _ </v>
      </c>
      <c r="Z692" s="160" t="str">
        <f>CONCATENATE(P692,Q692,R692,S692,V692)</f>
        <v xml:space="preserve">   </v>
      </c>
      <c r="AA692" s="160" t="str">
        <f>IFERROR(VLOOKUP(Y692,TD!$K$46:$L$64,2,0)," ")</f>
        <v xml:space="preserve"> </v>
      </c>
      <c r="AB692" s="53"/>
      <c r="AC692" s="162"/>
    </row>
    <row r="693" spans="2:29" s="28" customFormat="1" ht="99" customHeight="1" x14ac:dyDescent="0.35">
      <c r="B693" s="77"/>
      <c r="C693" s="50"/>
      <c r="D693" s="158"/>
      <c r="E693" s="51"/>
      <c r="F693" s="158"/>
      <c r="G693" s="158"/>
      <c r="H693" s="97"/>
      <c r="I693" s="159"/>
      <c r="J693" s="159"/>
      <c r="K693" s="52"/>
      <c r="L693" s="153"/>
      <c r="M693" s="158"/>
      <c r="N693" s="53"/>
      <c r="O693" s="51"/>
      <c r="P693" s="160" t="str">
        <f>IFERROR(VLOOKUP(C693,TD!$B$32:$F$36,2,0)," ")</f>
        <v xml:space="preserve"> </v>
      </c>
      <c r="Q693" s="160" t="str">
        <f>IFERROR(VLOOKUP(C693,TD!$B$32:$F$36,3,0)," ")</f>
        <v xml:space="preserve"> </v>
      </c>
      <c r="R693" s="160" t="str">
        <f>IFERROR(VLOOKUP(C693,TD!$B$32:$F$36,4,0)," ")</f>
        <v xml:space="preserve"> </v>
      </c>
      <c r="S693" s="51"/>
      <c r="T693" s="160" t="str">
        <f>IFERROR(VLOOKUP(S693,TD!$J$33:$K$43,2,0)," ")</f>
        <v xml:space="preserve"> </v>
      </c>
      <c r="U693" s="161" t="str">
        <f>CONCATENATE(S693,"-",T693)</f>
        <v xml:space="preserve">- </v>
      </c>
      <c r="V693" s="51"/>
      <c r="W693" s="160" t="str">
        <f>IFERROR(VLOOKUP(V693,TD!$N$33:$O$45,2,0)," ")</f>
        <v xml:space="preserve"> </v>
      </c>
      <c r="X693" s="161" t="str">
        <f>CONCATENATE(V693,"_",W693)</f>
        <v xml:space="preserve">_ </v>
      </c>
      <c r="Y693" s="161" t="str">
        <f>CONCATENATE(U693," ",X693)</f>
        <v xml:space="preserve">-  _ </v>
      </c>
      <c r="Z693" s="160" t="str">
        <f>CONCATENATE(P693,Q693,R693,S693,V693)</f>
        <v xml:space="preserve">   </v>
      </c>
      <c r="AA693" s="160" t="str">
        <f>IFERROR(VLOOKUP(Y693,TD!$K$46:$L$64,2,0)," ")</f>
        <v xml:space="preserve"> </v>
      </c>
      <c r="AB693" s="53"/>
      <c r="AC693" s="162"/>
    </row>
    <row r="694" spans="2:29" s="28" customFormat="1" ht="99" customHeight="1" x14ac:dyDescent="0.35">
      <c r="B694" s="77"/>
      <c r="C694" s="50"/>
      <c r="D694" s="158"/>
      <c r="E694" s="51"/>
      <c r="F694" s="158"/>
      <c r="G694" s="158"/>
      <c r="H694" s="97"/>
      <c r="I694" s="159"/>
      <c r="J694" s="159"/>
      <c r="K694" s="52"/>
      <c r="L694" s="153"/>
      <c r="M694" s="158"/>
      <c r="N694" s="53"/>
      <c r="O694" s="51"/>
      <c r="P694" s="160" t="str">
        <f>IFERROR(VLOOKUP(C694,TD!$B$32:$F$36,2,0)," ")</f>
        <v xml:space="preserve"> </v>
      </c>
      <c r="Q694" s="160" t="str">
        <f>IFERROR(VLOOKUP(C694,TD!$B$32:$F$36,3,0)," ")</f>
        <v xml:space="preserve"> </v>
      </c>
      <c r="R694" s="160" t="str">
        <f>IFERROR(VLOOKUP(C694,TD!$B$32:$F$36,4,0)," ")</f>
        <v xml:space="preserve"> </v>
      </c>
      <c r="S694" s="51"/>
      <c r="T694" s="160" t="str">
        <f>IFERROR(VLOOKUP(S694,TD!$J$33:$K$43,2,0)," ")</f>
        <v xml:space="preserve"> </v>
      </c>
      <c r="U694" s="161" t="str">
        <f>CONCATENATE(S694,"-",T694)</f>
        <v xml:space="preserve">- </v>
      </c>
      <c r="V694" s="51"/>
      <c r="W694" s="160" t="str">
        <f>IFERROR(VLOOKUP(V694,TD!$N$33:$O$45,2,0)," ")</f>
        <v xml:space="preserve"> </v>
      </c>
      <c r="X694" s="161" t="str">
        <f>CONCATENATE(V694,"_",W694)</f>
        <v xml:space="preserve">_ </v>
      </c>
      <c r="Y694" s="161" t="str">
        <f>CONCATENATE(U694," ",X694)</f>
        <v xml:space="preserve">-  _ </v>
      </c>
      <c r="Z694" s="160" t="str">
        <f>CONCATENATE(P694,Q694,R694,S694,V694)</f>
        <v xml:space="preserve">   </v>
      </c>
      <c r="AA694" s="160" t="str">
        <f>IFERROR(VLOOKUP(Y694,TD!$K$46:$L$64,2,0)," ")</f>
        <v xml:space="preserve"> </v>
      </c>
      <c r="AB694" s="53"/>
      <c r="AC694" s="162"/>
    </row>
    <row r="695" spans="2:29" s="28" customFormat="1" ht="99" customHeight="1" x14ac:dyDescent="0.35">
      <c r="B695" s="77"/>
      <c r="C695" s="50"/>
      <c r="D695" s="158"/>
      <c r="E695" s="51"/>
      <c r="F695" s="158"/>
      <c r="G695" s="158"/>
      <c r="H695" s="97"/>
      <c r="I695" s="159"/>
      <c r="J695" s="159"/>
      <c r="K695" s="52"/>
      <c r="L695" s="153"/>
      <c r="M695" s="158"/>
      <c r="N695" s="53"/>
      <c r="O695" s="51"/>
      <c r="P695" s="160" t="str">
        <f>IFERROR(VLOOKUP(C695,TD!$B$32:$F$36,2,0)," ")</f>
        <v xml:space="preserve"> </v>
      </c>
      <c r="Q695" s="160" t="str">
        <f>IFERROR(VLOOKUP(C695,TD!$B$32:$F$36,3,0)," ")</f>
        <v xml:space="preserve"> </v>
      </c>
      <c r="R695" s="160" t="str">
        <f>IFERROR(VLOOKUP(C695,TD!$B$32:$F$36,4,0)," ")</f>
        <v xml:space="preserve"> </v>
      </c>
      <c r="S695" s="51"/>
      <c r="T695" s="160" t="str">
        <f>IFERROR(VLOOKUP(S695,TD!$J$33:$K$43,2,0)," ")</f>
        <v xml:space="preserve"> </v>
      </c>
      <c r="U695" s="161" t="str">
        <f>CONCATENATE(S695,"-",T695)</f>
        <v xml:space="preserve">- </v>
      </c>
      <c r="V695" s="51"/>
      <c r="W695" s="160" t="str">
        <f>IFERROR(VLOOKUP(V695,TD!$N$33:$O$45,2,0)," ")</f>
        <v xml:space="preserve"> </v>
      </c>
      <c r="X695" s="161" t="str">
        <f>CONCATENATE(V695,"_",W695)</f>
        <v xml:space="preserve">_ </v>
      </c>
      <c r="Y695" s="161" t="str">
        <f>CONCATENATE(U695," ",X695)</f>
        <v xml:space="preserve">-  _ </v>
      </c>
      <c r="Z695" s="160" t="str">
        <f>CONCATENATE(P695,Q695,R695,S695,V695)</f>
        <v xml:space="preserve">   </v>
      </c>
      <c r="AA695" s="160" t="str">
        <f>IFERROR(VLOOKUP(Y695,TD!$K$46:$L$64,2,0)," ")</f>
        <v xml:space="preserve"> </v>
      </c>
      <c r="AB695" s="53"/>
      <c r="AC695" s="162"/>
    </row>
    <row r="696" spans="2:29" s="28" customFormat="1" ht="99" customHeight="1" x14ac:dyDescent="0.35">
      <c r="B696" s="77"/>
      <c r="C696" s="50"/>
      <c r="D696" s="158"/>
      <c r="E696" s="51"/>
      <c r="F696" s="158"/>
      <c r="G696" s="158"/>
      <c r="H696" s="97"/>
      <c r="I696" s="159"/>
      <c r="J696" s="159"/>
      <c r="K696" s="52"/>
      <c r="L696" s="153"/>
      <c r="M696" s="158"/>
      <c r="N696" s="53"/>
      <c r="O696" s="51"/>
      <c r="P696" s="160" t="str">
        <f>IFERROR(VLOOKUP(C696,TD!$B$32:$F$36,2,0)," ")</f>
        <v xml:space="preserve"> </v>
      </c>
      <c r="Q696" s="160" t="str">
        <f>IFERROR(VLOOKUP(C696,TD!$B$32:$F$36,3,0)," ")</f>
        <v xml:space="preserve"> </v>
      </c>
      <c r="R696" s="160" t="str">
        <f>IFERROR(VLOOKUP(C696,TD!$B$32:$F$36,4,0)," ")</f>
        <v xml:space="preserve"> </v>
      </c>
      <c r="S696" s="51"/>
      <c r="T696" s="160" t="str">
        <f>IFERROR(VLOOKUP(S696,TD!$J$33:$K$43,2,0)," ")</f>
        <v xml:space="preserve"> </v>
      </c>
      <c r="U696" s="161" t="str">
        <f>CONCATENATE(S696,"-",T696)</f>
        <v xml:space="preserve">- </v>
      </c>
      <c r="V696" s="51"/>
      <c r="W696" s="160" t="str">
        <f>IFERROR(VLOOKUP(V696,TD!$N$33:$O$45,2,0)," ")</f>
        <v xml:space="preserve"> </v>
      </c>
      <c r="X696" s="161" t="str">
        <f>CONCATENATE(V696,"_",W696)</f>
        <v xml:space="preserve">_ </v>
      </c>
      <c r="Y696" s="161" t="str">
        <f>CONCATENATE(U696," ",X696)</f>
        <v xml:space="preserve">-  _ </v>
      </c>
      <c r="Z696" s="160" t="str">
        <f>CONCATENATE(P696,Q696,R696,S696,V696)</f>
        <v xml:space="preserve">   </v>
      </c>
      <c r="AA696" s="160" t="str">
        <f>IFERROR(VLOOKUP(Y696,TD!$K$46:$L$64,2,0)," ")</f>
        <v xml:space="preserve"> </v>
      </c>
      <c r="AB696" s="53"/>
      <c r="AC696" s="162"/>
    </row>
    <row r="697" spans="2:29" s="28" customFormat="1" ht="99" customHeight="1" x14ac:dyDescent="0.35">
      <c r="B697" s="77"/>
      <c r="C697" s="50"/>
      <c r="D697" s="158"/>
      <c r="E697" s="51"/>
      <c r="F697" s="158"/>
      <c r="G697" s="158"/>
      <c r="H697" s="97"/>
      <c r="I697" s="159"/>
      <c r="J697" s="159"/>
      <c r="K697" s="52"/>
      <c r="L697" s="153"/>
      <c r="M697" s="158"/>
      <c r="N697" s="53"/>
      <c r="O697" s="51"/>
      <c r="P697" s="160" t="str">
        <f>IFERROR(VLOOKUP(C697,TD!$B$32:$F$36,2,0)," ")</f>
        <v xml:space="preserve"> </v>
      </c>
      <c r="Q697" s="160" t="str">
        <f>IFERROR(VLOOKUP(C697,TD!$B$32:$F$36,3,0)," ")</f>
        <v xml:space="preserve"> </v>
      </c>
      <c r="R697" s="160" t="str">
        <f>IFERROR(VLOOKUP(C697,TD!$B$32:$F$36,4,0)," ")</f>
        <v xml:space="preserve"> </v>
      </c>
      <c r="S697" s="51"/>
      <c r="T697" s="160" t="str">
        <f>IFERROR(VLOOKUP(S697,TD!$J$33:$K$43,2,0)," ")</f>
        <v xml:space="preserve"> </v>
      </c>
      <c r="U697" s="161" t="str">
        <f>CONCATENATE(S697,"-",T697)</f>
        <v xml:space="preserve">- </v>
      </c>
      <c r="V697" s="51"/>
      <c r="W697" s="160" t="str">
        <f>IFERROR(VLOOKUP(V697,TD!$N$33:$O$45,2,0)," ")</f>
        <v xml:space="preserve"> </v>
      </c>
      <c r="X697" s="161" t="str">
        <f>CONCATENATE(V697,"_",W697)</f>
        <v xml:space="preserve">_ </v>
      </c>
      <c r="Y697" s="161" t="str">
        <f>CONCATENATE(U697," ",X697)</f>
        <v xml:space="preserve">-  _ </v>
      </c>
      <c r="Z697" s="160" t="str">
        <f>CONCATENATE(P697,Q697,R697,S697,V697)</f>
        <v xml:space="preserve">   </v>
      </c>
      <c r="AA697" s="160" t="str">
        <f>IFERROR(VLOOKUP(Y697,TD!$K$46:$L$64,2,0)," ")</f>
        <v xml:space="preserve"> </v>
      </c>
      <c r="AB697" s="53"/>
      <c r="AC697" s="162"/>
    </row>
    <row r="698" spans="2:29" s="28" customFormat="1" ht="99" customHeight="1" x14ac:dyDescent="0.35">
      <c r="B698" s="77"/>
      <c r="C698" s="50"/>
      <c r="D698" s="158"/>
      <c r="E698" s="51"/>
      <c r="F698" s="158"/>
      <c r="G698" s="158"/>
      <c r="H698" s="97"/>
      <c r="I698" s="159"/>
      <c r="J698" s="159"/>
      <c r="K698" s="52"/>
      <c r="L698" s="153"/>
      <c r="M698" s="158"/>
      <c r="N698" s="53"/>
      <c r="O698" s="51"/>
      <c r="P698" s="160" t="str">
        <f>IFERROR(VLOOKUP(C698,TD!$B$32:$F$36,2,0)," ")</f>
        <v xml:space="preserve"> </v>
      </c>
      <c r="Q698" s="160" t="str">
        <f>IFERROR(VLOOKUP(C698,TD!$B$32:$F$36,3,0)," ")</f>
        <v xml:space="preserve"> </v>
      </c>
      <c r="R698" s="160" t="str">
        <f>IFERROR(VLOOKUP(C698,TD!$B$32:$F$36,4,0)," ")</f>
        <v xml:space="preserve"> </v>
      </c>
      <c r="S698" s="51"/>
      <c r="T698" s="160" t="str">
        <f>IFERROR(VLOOKUP(S698,TD!$J$33:$K$43,2,0)," ")</f>
        <v xml:space="preserve"> </v>
      </c>
      <c r="U698" s="161" t="str">
        <f>CONCATENATE(S698,"-",T698)</f>
        <v xml:space="preserve">- </v>
      </c>
      <c r="V698" s="51"/>
      <c r="W698" s="160" t="str">
        <f>IFERROR(VLOOKUP(V698,TD!$N$33:$O$45,2,0)," ")</f>
        <v xml:space="preserve"> </v>
      </c>
      <c r="X698" s="161" t="str">
        <f>CONCATENATE(V698,"_",W698)</f>
        <v xml:space="preserve">_ </v>
      </c>
      <c r="Y698" s="161" t="str">
        <f>CONCATENATE(U698," ",X698)</f>
        <v xml:space="preserve">-  _ </v>
      </c>
      <c r="Z698" s="160" t="str">
        <f>CONCATENATE(P698,Q698,R698,S698,V698)</f>
        <v xml:space="preserve">   </v>
      </c>
      <c r="AA698" s="160" t="str">
        <f>IFERROR(VLOOKUP(Y698,TD!$K$46:$L$64,2,0)," ")</f>
        <v xml:space="preserve"> </v>
      </c>
      <c r="AB698" s="53"/>
      <c r="AC698" s="162"/>
    </row>
    <row r="699" spans="2:29" s="28" customFormat="1" ht="99" customHeight="1" x14ac:dyDescent="0.35">
      <c r="B699" s="77"/>
      <c r="C699" s="50"/>
      <c r="D699" s="158"/>
      <c r="E699" s="51"/>
      <c r="F699" s="158"/>
      <c r="G699" s="158"/>
      <c r="H699" s="97"/>
      <c r="I699" s="159"/>
      <c r="J699" s="159"/>
      <c r="K699" s="52"/>
      <c r="L699" s="153"/>
      <c r="M699" s="158"/>
      <c r="N699" s="53"/>
      <c r="O699" s="51"/>
      <c r="P699" s="160" t="str">
        <f>IFERROR(VLOOKUP(C699,TD!$B$32:$F$36,2,0)," ")</f>
        <v xml:space="preserve"> </v>
      </c>
      <c r="Q699" s="160" t="str">
        <f>IFERROR(VLOOKUP(C699,TD!$B$32:$F$36,3,0)," ")</f>
        <v xml:space="preserve"> </v>
      </c>
      <c r="R699" s="160" t="str">
        <f>IFERROR(VLOOKUP(C699,TD!$B$32:$F$36,4,0)," ")</f>
        <v xml:space="preserve"> </v>
      </c>
      <c r="S699" s="51"/>
      <c r="T699" s="160" t="str">
        <f>IFERROR(VLOOKUP(S699,TD!$J$33:$K$43,2,0)," ")</f>
        <v xml:space="preserve"> </v>
      </c>
      <c r="U699" s="161" t="str">
        <f>CONCATENATE(S699,"-",T699)</f>
        <v xml:space="preserve">- </v>
      </c>
      <c r="V699" s="51"/>
      <c r="W699" s="160" t="str">
        <f>IFERROR(VLOOKUP(V699,TD!$N$33:$O$45,2,0)," ")</f>
        <v xml:space="preserve"> </v>
      </c>
      <c r="X699" s="161" t="str">
        <f>CONCATENATE(V699,"_",W699)</f>
        <v xml:space="preserve">_ </v>
      </c>
      <c r="Y699" s="161" t="str">
        <f>CONCATENATE(U699," ",X699)</f>
        <v xml:space="preserve">-  _ </v>
      </c>
      <c r="Z699" s="160" t="str">
        <f>CONCATENATE(P699,Q699,R699,S699,V699)</f>
        <v xml:space="preserve">   </v>
      </c>
      <c r="AA699" s="160" t="str">
        <f>IFERROR(VLOOKUP(Y699,TD!$K$46:$L$64,2,0)," ")</f>
        <v xml:space="preserve"> </v>
      </c>
      <c r="AB699" s="53"/>
      <c r="AC699" s="162"/>
    </row>
    <row r="700" spans="2:29" s="28" customFormat="1" ht="99" customHeight="1" x14ac:dyDescent="0.35">
      <c r="B700" s="77"/>
      <c r="C700" s="50"/>
      <c r="D700" s="158"/>
      <c r="E700" s="51"/>
      <c r="F700" s="158"/>
      <c r="G700" s="158"/>
      <c r="H700" s="97"/>
      <c r="I700" s="159"/>
      <c r="J700" s="159"/>
      <c r="K700" s="52"/>
      <c r="L700" s="153"/>
      <c r="M700" s="158"/>
      <c r="N700" s="53"/>
      <c r="O700" s="51"/>
      <c r="P700" s="160" t="str">
        <f>IFERROR(VLOOKUP(C700,TD!$B$32:$F$36,2,0)," ")</f>
        <v xml:space="preserve"> </v>
      </c>
      <c r="Q700" s="160" t="str">
        <f>IFERROR(VLOOKUP(C700,TD!$B$32:$F$36,3,0)," ")</f>
        <v xml:space="preserve"> </v>
      </c>
      <c r="R700" s="160" t="str">
        <f>IFERROR(VLOOKUP(C700,TD!$B$32:$F$36,4,0)," ")</f>
        <v xml:space="preserve"> </v>
      </c>
      <c r="S700" s="51"/>
      <c r="T700" s="160" t="str">
        <f>IFERROR(VLOOKUP(S700,TD!$J$33:$K$43,2,0)," ")</f>
        <v xml:space="preserve"> </v>
      </c>
      <c r="U700" s="161" t="str">
        <f>CONCATENATE(S700,"-",T700)</f>
        <v xml:space="preserve">- </v>
      </c>
      <c r="V700" s="51"/>
      <c r="W700" s="160" t="str">
        <f>IFERROR(VLOOKUP(V700,TD!$N$33:$O$45,2,0)," ")</f>
        <v xml:space="preserve"> </v>
      </c>
      <c r="X700" s="161" t="str">
        <f>CONCATENATE(V700,"_",W700)</f>
        <v xml:space="preserve">_ </v>
      </c>
      <c r="Y700" s="161" t="str">
        <f>CONCATENATE(U700," ",X700)</f>
        <v xml:space="preserve">-  _ </v>
      </c>
      <c r="Z700" s="160" t="str">
        <f>CONCATENATE(P700,Q700,R700,S700,V700)</f>
        <v xml:space="preserve">   </v>
      </c>
      <c r="AA700" s="160" t="str">
        <f>IFERROR(VLOOKUP(Y700,TD!$K$46:$L$64,2,0)," ")</f>
        <v xml:space="preserve"> </v>
      </c>
      <c r="AB700" s="53"/>
      <c r="AC700" s="162"/>
    </row>
    <row r="701" spans="2:29" s="28" customFormat="1" ht="99" customHeight="1" x14ac:dyDescent="0.35">
      <c r="B701" s="77"/>
      <c r="C701" s="50"/>
      <c r="D701" s="158"/>
      <c r="E701" s="51"/>
      <c r="F701" s="158"/>
      <c r="G701" s="158"/>
      <c r="H701" s="97"/>
      <c r="I701" s="159"/>
      <c r="J701" s="159"/>
      <c r="K701" s="52"/>
      <c r="L701" s="153"/>
      <c r="M701" s="158"/>
      <c r="N701" s="53"/>
      <c r="O701" s="51"/>
      <c r="P701" s="160" t="str">
        <f>IFERROR(VLOOKUP(C701,TD!$B$32:$F$36,2,0)," ")</f>
        <v xml:space="preserve"> </v>
      </c>
      <c r="Q701" s="160" t="str">
        <f>IFERROR(VLOOKUP(C701,TD!$B$32:$F$36,3,0)," ")</f>
        <v xml:space="preserve"> </v>
      </c>
      <c r="R701" s="160" t="str">
        <f>IFERROR(VLOOKUP(C701,TD!$B$32:$F$36,4,0)," ")</f>
        <v xml:space="preserve"> </v>
      </c>
      <c r="S701" s="51"/>
      <c r="T701" s="160" t="str">
        <f>IFERROR(VLOOKUP(S701,TD!$J$33:$K$43,2,0)," ")</f>
        <v xml:space="preserve"> </v>
      </c>
      <c r="U701" s="161" t="str">
        <f>CONCATENATE(S701,"-",T701)</f>
        <v xml:space="preserve">- </v>
      </c>
      <c r="V701" s="51"/>
      <c r="W701" s="160" t="str">
        <f>IFERROR(VLOOKUP(V701,TD!$N$33:$O$45,2,0)," ")</f>
        <v xml:space="preserve"> </v>
      </c>
      <c r="X701" s="161" t="str">
        <f>CONCATENATE(V701,"_",W701)</f>
        <v xml:space="preserve">_ </v>
      </c>
      <c r="Y701" s="161" t="str">
        <f>CONCATENATE(U701," ",X701)</f>
        <v xml:space="preserve">-  _ </v>
      </c>
      <c r="Z701" s="160" t="str">
        <f>CONCATENATE(P701,Q701,R701,S701,V701)</f>
        <v xml:space="preserve">   </v>
      </c>
      <c r="AA701" s="160" t="str">
        <f>IFERROR(VLOOKUP(Y701,TD!$K$46:$L$64,2,0)," ")</f>
        <v xml:space="preserve"> </v>
      </c>
      <c r="AB701" s="53"/>
      <c r="AC701" s="162"/>
    </row>
    <row r="702" spans="2:29" s="28" customFormat="1" ht="99" customHeight="1" x14ac:dyDescent="0.35">
      <c r="B702" s="77"/>
      <c r="C702" s="50"/>
      <c r="D702" s="158"/>
      <c r="E702" s="51"/>
      <c r="F702" s="158"/>
      <c r="G702" s="158"/>
      <c r="H702" s="97"/>
      <c r="I702" s="159"/>
      <c r="J702" s="159"/>
      <c r="K702" s="52"/>
      <c r="L702" s="153"/>
      <c r="M702" s="158"/>
      <c r="N702" s="53"/>
      <c r="O702" s="51"/>
      <c r="P702" s="160" t="str">
        <f>IFERROR(VLOOKUP(C702,TD!$B$32:$F$36,2,0)," ")</f>
        <v xml:space="preserve"> </v>
      </c>
      <c r="Q702" s="160" t="str">
        <f>IFERROR(VLOOKUP(C702,TD!$B$32:$F$36,3,0)," ")</f>
        <v xml:space="preserve"> </v>
      </c>
      <c r="R702" s="160" t="str">
        <f>IFERROR(VLOOKUP(C702,TD!$B$32:$F$36,4,0)," ")</f>
        <v xml:space="preserve"> </v>
      </c>
      <c r="S702" s="51"/>
      <c r="T702" s="160" t="str">
        <f>IFERROR(VLOOKUP(S702,TD!$J$33:$K$43,2,0)," ")</f>
        <v xml:space="preserve"> </v>
      </c>
      <c r="U702" s="161" t="str">
        <f>CONCATENATE(S702,"-",T702)</f>
        <v xml:space="preserve">- </v>
      </c>
      <c r="V702" s="51"/>
      <c r="W702" s="160" t="str">
        <f>IFERROR(VLOOKUP(V702,TD!$N$33:$O$45,2,0)," ")</f>
        <v xml:space="preserve"> </v>
      </c>
      <c r="X702" s="161" t="str">
        <f>CONCATENATE(V702,"_",W702)</f>
        <v xml:space="preserve">_ </v>
      </c>
      <c r="Y702" s="161" t="str">
        <f>CONCATENATE(U702," ",X702)</f>
        <v xml:space="preserve">-  _ </v>
      </c>
      <c r="Z702" s="160" t="str">
        <f>CONCATENATE(P702,Q702,R702,S702,V702)</f>
        <v xml:space="preserve">   </v>
      </c>
      <c r="AA702" s="160" t="str">
        <f>IFERROR(VLOOKUP(Y702,TD!$K$46:$L$64,2,0)," ")</f>
        <v xml:space="preserve"> </v>
      </c>
      <c r="AB702" s="53"/>
      <c r="AC702" s="162"/>
    </row>
    <row r="703" spans="2:29" s="28" customFormat="1" ht="99" customHeight="1" x14ac:dyDescent="0.35">
      <c r="B703" s="77"/>
      <c r="C703" s="50"/>
      <c r="D703" s="158"/>
      <c r="E703" s="51"/>
      <c r="F703" s="158"/>
      <c r="G703" s="158"/>
      <c r="H703" s="97"/>
      <c r="I703" s="159"/>
      <c r="J703" s="159"/>
      <c r="K703" s="52"/>
      <c r="L703" s="153"/>
      <c r="M703" s="158"/>
      <c r="N703" s="53"/>
      <c r="O703" s="51"/>
      <c r="P703" s="160" t="str">
        <f>IFERROR(VLOOKUP(C703,TD!$B$32:$F$36,2,0)," ")</f>
        <v xml:space="preserve"> </v>
      </c>
      <c r="Q703" s="160" t="str">
        <f>IFERROR(VLOOKUP(C703,TD!$B$32:$F$36,3,0)," ")</f>
        <v xml:space="preserve"> </v>
      </c>
      <c r="R703" s="160" t="str">
        <f>IFERROR(VLOOKUP(C703,TD!$B$32:$F$36,4,0)," ")</f>
        <v xml:space="preserve"> </v>
      </c>
      <c r="S703" s="51"/>
      <c r="T703" s="160" t="str">
        <f>IFERROR(VLOOKUP(S703,TD!$J$33:$K$43,2,0)," ")</f>
        <v xml:space="preserve"> </v>
      </c>
      <c r="U703" s="161" t="str">
        <f>CONCATENATE(S703,"-",T703)</f>
        <v xml:space="preserve">- </v>
      </c>
      <c r="V703" s="51"/>
      <c r="W703" s="160" t="str">
        <f>IFERROR(VLOOKUP(V703,TD!$N$33:$O$45,2,0)," ")</f>
        <v xml:space="preserve"> </v>
      </c>
      <c r="X703" s="161" t="str">
        <f>CONCATENATE(V703,"_",W703)</f>
        <v xml:space="preserve">_ </v>
      </c>
      <c r="Y703" s="161" t="str">
        <f>CONCATENATE(U703," ",X703)</f>
        <v xml:space="preserve">-  _ </v>
      </c>
      <c r="Z703" s="160" t="str">
        <f>CONCATENATE(P703,Q703,R703,S703,V703)</f>
        <v xml:space="preserve">   </v>
      </c>
      <c r="AA703" s="160" t="str">
        <f>IFERROR(VLOOKUP(Y703,TD!$K$46:$L$64,2,0)," ")</f>
        <v xml:space="preserve"> </v>
      </c>
      <c r="AB703" s="53"/>
      <c r="AC703" s="162"/>
    </row>
    <row r="704" spans="2:29" s="28" customFormat="1" ht="99" customHeight="1" x14ac:dyDescent="0.35">
      <c r="B704" s="77"/>
      <c r="C704" s="50"/>
      <c r="D704" s="158"/>
      <c r="E704" s="51"/>
      <c r="F704" s="158"/>
      <c r="G704" s="158"/>
      <c r="H704" s="97"/>
      <c r="I704" s="159"/>
      <c r="J704" s="159"/>
      <c r="K704" s="52"/>
      <c r="L704" s="153"/>
      <c r="M704" s="158"/>
      <c r="N704" s="53"/>
      <c r="O704" s="51"/>
      <c r="P704" s="160" t="str">
        <f>IFERROR(VLOOKUP(C704,TD!$B$32:$F$36,2,0)," ")</f>
        <v xml:space="preserve"> </v>
      </c>
      <c r="Q704" s="160" t="str">
        <f>IFERROR(VLOOKUP(C704,TD!$B$32:$F$36,3,0)," ")</f>
        <v xml:space="preserve"> </v>
      </c>
      <c r="R704" s="160" t="str">
        <f>IFERROR(VLOOKUP(C704,TD!$B$32:$F$36,4,0)," ")</f>
        <v xml:space="preserve"> </v>
      </c>
      <c r="S704" s="51"/>
      <c r="T704" s="160" t="str">
        <f>IFERROR(VLOOKUP(S704,TD!$J$33:$K$43,2,0)," ")</f>
        <v xml:space="preserve"> </v>
      </c>
      <c r="U704" s="161" t="str">
        <f>CONCATENATE(S704,"-",T704)</f>
        <v xml:space="preserve">- </v>
      </c>
      <c r="V704" s="51"/>
      <c r="W704" s="160" t="str">
        <f>IFERROR(VLOOKUP(V704,TD!$N$33:$O$45,2,0)," ")</f>
        <v xml:space="preserve"> </v>
      </c>
      <c r="X704" s="161" t="str">
        <f>CONCATENATE(V704,"_",W704)</f>
        <v xml:space="preserve">_ </v>
      </c>
      <c r="Y704" s="161" t="str">
        <f>CONCATENATE(U704," ",X704)</f>
        <v xml:space="preserve">-  _ </v>
      </c>
      <c r="Z704" s="160" t="str">
        <f>CONCATENATE(P704,Q704,R704,S704,V704)</f>
        <v xml:space="preserve">   </v>
      </c>
      <c r="AA704" s="160" t="str">
        <f>IFERROR(VLOOKUP(Y704,TD!$K$46:$L$64,2,0)," ")</f>
        <v xml:space="preserve"> </v>
      </c>
      <c r="AB704" s="53"/>
      <c r="AC704" s="162"/>
    </row>
    <row r="705" spans="2:29" s="28" customFormat="1" ht="99" customHeight="1" x14ac:dyDescent="0.35">
      <c r="B705" s="77"/>
      <c r="C705" s="50"/>
      <c r="D705" s="158"/>
      <c r="E705" s="51"/>
      <c r="F705" s="158"/>
      <c r="G705" s="158"/>
      <c r="H705" s="97"/>
      <c r="I705" s="159"/>
      <c r="J705" s="159"/>
      <c r="K705" s="52"/>
      <c r="L705" s="153"/>
      <c r="M705" s="158"/>
      <c r="N705" s="53"/>
      <c r="O705" s="51"/>
      <c r="P705" s="160" t="str">
        <f>IFERROR(VLOOKUP(C705,TD!$B$32:$F$36,2,0)," ")</f>
        <v xml:space="preserve"> </v>
      </c>
      <c r="Q705" s="160" t="str">
        <f>IFERROR(VLOOKUP(C705,TD!$B$32:$F$36,3,0)," ")</f>
        <v xml:space="preserve"> </v>
      </c>
      <c r="R705" s="160" t="str">
        <f>IFERROR(VLOOKUP(C705,TD!$B$32:$F$36,4,0)," ")</f>
        <v xml:space="preserve"> </v>
      </c>
      <c r="S705" s="51"/>
      <c r="T705" s="160" t="str">
        <f>IFERROR(VLOOKUP(S705,TD!$J$33:$K$43,2,0)," ")</f>
        <v xml:space="preserve"> </v>
      </c>
      <c r="U705" s="161" t="str">
        <f>CONCATENATE(S705,"-",T705)</f>
        <v xml:space="preserve">- </v>
      </c>
      <c r="V705" s="51"/>
      <c r="W705" s="160" t="str">
        <f>IFERROR(VLOOKUP(V705,TD!$N$33:$O$45,2,0)," ")</f>
        <v xml:space="preserve"> </v>
      </c>
      <c r="X705" s="161" t="str">
        <f>CONCATENATE(V705,"_",W705)</f>
        <v xml:space="preserve">_ </v>
      </c>
      <c r="Y705" s="161" t="str">
        <f>CONCATENATE(U705," ",X705)</f>
        <v xml:space="preserve">-  _ </v>
      </c>
      <c r="Z705" s="160" t="str">
        <f>CONCATENATE(P705,Q705,R705,S705,V705)</f>
        <v xml:space="preserve">   </v>
      </c>
      <c r="AA705" s="160" t="str">
        <f>IFERROR(VLOOKUP(Y705,TD!$K$46:$L$64,2,0)," ")</f>
        <v xml:space="preserve"> </v>
      </c>
      <c r="AB705" s="53"/>
      <c r="AC705" s="162"/>
    </row>
    <row r="706" spans="2:29" s="28" customFormat="1" ht="99" customHeight="1" x14ac:dyDescent="0.35">
      <c r="B706" s="77"/>
      <c r="C706" s="50"/>
      <c r="D706" s="158"/>
      <c r="E706" s="51"/>
      <c r="F706" s="158"/>
      <c r="G706" s="158"/>
      <c r="H706" s="97"/>
      <c r="I706" s="159"/>
      <c r="J706" s="159"/>
      <c r="K706" s="52"/>
      <c r="L706" s="153"/>
      <c r="M706" s="158"/>
      <c r="N706" s="53"/>
      <c r="O706" s="51"/>
      <c r="P706" s="160" t="str">
        <f>IFERROR(VLOOKUP(C706,TD!$B$32:$F$36,2,0)," ")</f>
        <v xml:space="preserve"> </v>
      </c>
      <c r="Q706" s="160" t="str">
        <f>IFERROR(VLOOKUP(C706,TD!$B$32:$F$36,3,0)," ")</f>
        <v xml:space="preserve"> </v>
      </c>
      <c r="R706" s="160" t="str">
        <f>IFERROR(VLOOKUP(C706,TD!$B$32:$F$36,4,0)," ")</f>
        <v xml:space="preserve"> </v>
      </c>
      <c r="S706" s="51"/>
      <c r="T706" s="160" t="str">
        <f>IFERROR(VLOOKUP(S706,TD!$J$33:$K$43,2,0)," ")</f>
        <v xml:space="preserve"> </v>
      </c>
      <c r="U706" s="161" t="str">
        <f>CONCATENATE(S706,"-",T706)</f>
        <v xml:space="preserve">- </v>
      </c>
      <c r="V706" s="51"/>
      <c r="W706" s="160" t="str">
        <f>IFERROR(VLOOKUP(V706,TD!$N$33:$O$45,2,0)," ")</f>
        <v xml:space="preserve"> </v>
      </c>
      <c r="X706" s="161" t="str">
        <f>CONCATENATE(V706,"_",W706)</f>
        <v xml:space="preserve">_ </v>
      </c>
      <c r="Y706" s="161" t="str">
        <f>CONCATENATE(U706," ",X706)</f>
        <v xml:space="preserve">-  _ </v>
      </c>
      <c r="Z706" s="160" t="str">
        <f>CONCATENATE(P706,Q706,R706,S706,V706)</f>
        <v xml:space="preserve">   </v>
      </c>
      <c r="AA706" s="160" t="str">
        <f>IFERROR(VLOOKUP(Y706,TD!$K$46:$L$64,2,0)," ")</f>
        <v xml:space="preserve"> </v>
      </c>
      <c r="AB706" s="53"/>
      <c r="AC706" s="162"/>
    </row>
    <row r="707" spans="2:29" s="28" customFormat="1" ht="99" customHeight="1" x14ac:dyDescent="0.35">
      <c r="B707" s="77"/>
      <c r="C707" s="50"/>
      <c r="D707" s="158"/>
      <c r="E707" s="51"/>
      <c r="F707" s="158"/>
      <c r="G707" s="158"/>
      <c r="H707" s="97"/>
      <c r="I707" s="159"/>
      <c r="J707" s="159"/>
      <c r="K707" s="52"/>
      <c r="L707" s="153"/>
      <c r="M707" s="158"/>
      <c r="N707" s="53"/>
      <c r="O707" s="51"/>
      <c r="P707" s="160" t="str">
        <f>IFERROR(VLOOKUP(C707,TD!$B$32:$F$36,2,0)," ")</f>
        <v xml:space="preserve"> </v>
      </c>
      <c r="Q707" s="160" t="str">
        <f>IFERROR(VLOOKUP(C707,TD!$B$32:$F$36,3,0)," ")</f>
        <v xml:space="preserve"> </v>
      </c>
      <c r="R707" s="160" t="str">
        <f>IFERROR(VLOOKUP(C707,TD!$B$32:$F$36,4,0)," ")</f>
        <v xml:space="preserve"> </v>
      </c>
      <c r="S707" s="51"/>
      <c r="T707" s="160" t="str">
        <f>IFERROR(VLOOKUP(S707,TD!$J$33:$K$43,2,0)," ")</f>
        <v xml:space="preserve"> </v>
      </c>
      <c r="U707" s="161" t="str">
        <f>CONCATENATE(S707,"-",T707)</f>
        <v xml:space="preserve">- </v>
      </c>
      <c r="V707" s="51"/>
      <c r="W707" s="160" t="str">
        <f>IFERROR(VLOOKUP(V707,TD!$N$33:$O$45,2,0)," ")</f>
        <v xml:space="preserve"> </v>
      </c>
      <c r="X707" s="161" t="str">
        <f>CONCATENATE(V707,"_",W707)</f>
        <v xml:space="preserve">_ </v>
      </c>
      <c r="Y707" s="161" t="str">
        <f>CONCATENATE(U707," ",X707)</f>
        <v xml:space="preserve">-  _ </v>
      </c>
      <c r="Z707" s="160" t="str">
        <f>CONCATENATE(P707,Q707,R707,S707,V707)</f>
        <v xml:space="preserve">   </v>
      </c>
      <c r="AA707" s="160" t="str">
        <f>IFERROR(VLOOKUP(Y707,TD!$K$46:$L$64,2,0)," ")</f>
        <v xml:space="preserve"> </v>
      </c>
      <c r="AB707" s="53"/>
      <c r="AC707" s="162"/>
    </row>
    <row r="708" spans="2:29" s="28" customFormat="1" ht="99" customHeight="1" x14ac:dyDescent="0.35">
      <c r="B708" s="77"/>
      <c r="C708" s="50"/>
      <c r="D708" s="158"/>
      <c r="E708" s="51"/>
      <c r="F708" s="158"/>
      <c r="G708" s="158"/>
      <c r="H708" s="97"/>
      <c r="I708" s="159"/>
      <c r="J708" s="159"/>
      <c r="K708" s="52"/>
      <c r="L708" s="153"/>
      <c r="M708" s="158"/>
      <c r="N708" s="53"/>
      <c r="O708" s="51"/>
      <c r="P708" s="160" t="str">
        <f>IFERROR(VLOOKUP(C708,TD!$B$32:$F$36,2,0)," ")</f>
        <v xml:space="preserve"> </v>
      </c>
      <c r="Q708" s="160" t="str">
        <f>IFERROR(VLOOKUP(C708,TD!$B$32:$F$36,3,0)," ")</f>
        <v xml:space="preserve"> </v>
      </c>
      <c r="R708" s="160" t="str">
        <f>IFERROR(VLOOKUP(C708,TD!$B$32:$F$36,4,0)," ")</f>
        <v xml:space="preserve"> </v>
      </c>
      <c r="S708" s="51"/>
      <c r="T708" s="160" t="str">
        <f>IFERROR(VLOOKUP(S708,TD!$J$33:$K$43,2,0)," ")</f>
        <v xml:space="preserve"> </v>
      </c>
      <c r="U708" s="161" t="str">
        <f>CONCATENATE(S708,"-",T708)</f>
        <v xml:space="preserve">- </v>
      </c>
      <c r="V708" s="51"/>
      <c r="W708" s="160" t="str">
        <f>IFERROR(VLOOKUP(V708,TD!$N$33:$O$45,2,0)," ")</f>
        <v xml:space="preserve"> </v>
      </c>
      <c r="X708" s="161" t="str">
        <f>CONCATENATE(V708,"_",W708)</f>
        <v xml:space="preserve">_ </v>
      </c>
      <c r="Y708" s="161" t="str">
        <f>CONCATENATE(U708," ",X708)</f>
        <v xml:space="preserve">-  _ </v>
      </c>
      <c r="Z708" s="160" t="str">
        <f>CONCATENATE(P708,Q708,R708,S708,V708)</f>
        <v xml:space="preserve">   </v>
      </c>
      <c r="AA708" s="160" t="str">
        <f>IFERROR(VLOOKUP(Y708,TD!$K$46:$L$64,2,0)," ")</f>
        <v xml:space="preserve"> </v>
      </c>
      <c r="AB708" s="53"/>
      <c r="AC708" s="162"/>
    </row>
    <row r="709" spans="2:29" s="28" customFormat="1" ht="99" customHeight="1" x14ac:dyDescent="0.35">
      <c r="B709" s="77"/>
      <c r="C709" s="50"/>
      <c r="D709" s="158"/>
      <c r="E709" s="51"/>
      <c r="F709" s="158"/>
      <c r="G709" s="158"/>
      <c r="H709" s="97"/>
      <c r="I709" s="159"/>
      <c r="J709" s="159"/>
      <c r="K709" s="52"/>
      <c r="L709" s="153"/>
      <c r="M709" s="158"/>
      <c r="N709" s="53"/>
      <c r="O709" s="51"/>
      <c r="P709" s="160" t="str">
        <f>IFERROR(VLOOKUP(C709,TD!$B$32:$F$36,2,0)," ")</f>
        <v xml:space="preserve"> </v>
      </c>
      <c r="Q709" s="160" t="str">
        <f>IFERROR(VLOOKUP(C709,TD!$B$32:$F$36,3,0)," ")</f>
        <v xml:space="preserve"> </v>
      </c>
      <c r="R709" s="160" t="str">
        <f>IFERROR(VLOOKUP(C709,TD!$B$32:$F$36,4,0)," ")</f>
        <v xml:space="preserve"> </v>
      </c>
      <c r="S709" s="51"/>
      <c r="T709" s="160" t="str">
        <f>IFERROR(VLOOKUP(S709,TD!$J$33:$K$43,2,0)," ")</f>
        <v xml:space="preserve"> </v>
      </c>
      <c r="U709" s="161" t="str">
        <f>CONCATENATE(S709,"-",T709)</f>
        <v xml:space="preserve">- </v>
      </c>
      <c r="V709" s="51"/>
      <c r="W709" s="160" t="str">
        <f>IFERROR(VLOOKUP(V709,TD!$N$33:$O$45,2,0)," ")</f>
        <v xml:space="preserve"> </v>
      </c>
      <c r="X709" s="161" t="str">
        <f>CONCATENATE(V709,"_",W709)</f>
        <v xml:space="preserve">_ </v>
      </c>
      <c r="Y709" s="161" t="str">
        <f>CONCATENATE(U709," ",X709)</f>
        <v xml:space="preserve">-  _ </v>
      </c>
      <c r="Z709" s="160" t="str">
        <f>CONCATENATE(P709,Q709,R709,S709,V709)</f>
        <v xml:space="preserve">   </v>
      </c>
      <c r="AA709" s="160" t="str">
        <f>IFERROR(VLOOKUP(Y709,TD!$K$46:$L$64,2,0)," ")</f>
        <v xml:space="preserve"> </v>
      </c>
      <c r="AB709" s="53"/>
      <c r="AC709" s="162"/>
    </row>
    <row r="710" spans="2:29" s="28" customFormat="1" ht="99" customHeight="1" x14ac:dyDescent="0.35">
      <c r="B710" s="77"/>
      <c r="C710" s="50"/>
      <c r="D710" s="158"/>
      <c r="E710" s="51"/>
      <c r="F710" s="158"/>
      <c r="G710" s="158"/>
      <c r="H710" s="97"/>
      <c r="I710" s="159"/>
      <c r="J710" s="159"/>
      <c r="K710" s="52"/>
      <c r="L710" s="153"/>
      <c r="M710" s="158"/>
      <c r="N710" s="53"/>
      <c r="O710" s="51"/>
      <c r="P710" s="160" t="str">
        <f>IFERROR(VLOOKUP(C710,TD!$B$32:$F$36,2,0)," ")</f>
        <v xml:space="preserve"> </v>
      </c>
      <c r="Q710" s="160" t="str">
        <f>IFERROR(VLOOKUP(C710,TD!$B$32:$F$36,3,0)," ")</f>
        <v xml:space="preserve"> </v>
      </c>
      <c r="R710" s="160" t="str">
        <f>IFERROR(VLOOKUP(C710,TD!$B$32:$F$36,4,0)," ")</f>
        <v xml:space="preserve"> </v>
      </c>
      <c r="S710" s="51"/>
      <c r="T710" s="160" t="str">
        <f>IFERROR(VLOOKUP(S710,TD!$J$33:$K$43,2,0)," ")</f>
        <v xml:space="preserve"> </v>
      </c>
      <c r="U710" s="161" t="str">
        <f>CONCATENATE(S710,"-",T710)</f>
        <v xml:space="preserve">- </v>
      </c>
      <c r="V710" s="51"/>
      <c r="W710" s="160" t="str">
        <f>IFERROR(VLOOKUP(V710,TD!$N$33:$O$45,2,0)," ")</f>
        <v xml:space="preserve"> </v>
      </c>
      <c r="X710" s="161" t="str">
        <f>CONCATENATE(V710,"_",W710)</f>
        <v xml:space="preserve">_ </v>
      </c>
      <c r="Y710" s="161" t="str">
        <f>CONCATENATE(U710," ",X710)</f>
        <v xml:space="preserve">-  _ </v>
      </c>
      <c r="Z710" s="160" t="str">
        <f>CONCATENATE(P710,Q710,R710,S710,V710)</f>
        <v xml:space="preserve">   </v>
      </c>
      <c r="AA710" s="160" t="str">
        <f>IFERROR(VLOOKUP(Y710,TD!$K$46:$L$64,2,0)," ")</f>
        <v xml:space="preserve"> </v>
      </c>
      <c r="AB710" s="53"/>
      <c r="AC710" s="162"/>
    </row>
    <row r="711" spans="2:29" s="28" customFormat="1" ht="99" customHeight="1" x14ac:dyDescent="0.35">
      <c r="B711" s="77"/>
      <c r="C711" s="50"/>
      <c r="D711" s="158"/>
      <c r="E711" s="51"/>
      <c r="F711" s="158"/>
      <c r="G711" s="158"/>
      <c r="H711" s="97"/>
      <c r="I711" s="159"/>
      <c r="J711" s="159"/>
      <c r="K711" s="52"/>
      <c r="L711" s="153"/>
      <c r="M711" s="158"/>
      <c r="N711" s="53"/>
      <c r="O711" s="51"/>
      <c r="P711" s="160" t="str">
        <f>IFERROR(VLOOKUP(C711,TD!$B$32:$F$36,2,0)," ")</f>
        <v xml:space="preserve"> </v>
      </c>
      <c r="Q711" s="160" t="str">
        <f>IFERROR(VLOOKUP(C711,TD!$B$32:$F$36,3,0)," ")</f>
        <v xml:space="preserve"> </v>
      </c>
      <c r="R711" s="160" t="str">
        <f>IFERROR(VLOOKUP(C711,TD!$B$32:$F$36,4,0)," ")</f>
        <v xml:space="preserve"> </v>
      </c>
      <c r="S711" s="51"/>
      <c r="T711" s="160" t="str">
        <f>IFERROR(VLOOKUP(S711,TD!$J$33:$K$43,2,0)," ")</f>
        <v xml:space="preserve"> </v>
      </c>
      <c r="U711" s="161" t="str">
        <f>CONCATENATE(S711,"-",T711)</f>
        <v xml:space="preserve">- </v>
      </c>
      <c r="V711" s="51"/>
      <c r="W711" s="160" t="str">
        <f>IFERROR(VLOOKUP(V711,TD!$N$33:$O$45,2,0)," ")</f>
        <v xml:space="preserve"> </v>
      </c>
      <c r="X711" s="161" t="str">
        <f>CONCATENATE(V711,"_",W711)</f>
        <v xml:space="preserve">_ </v>
      </c>
      <c r="Y711" s="161" t="str">
        <f>CONCATENATE(U711," ",X711)</f>
        <v xml:space="preserve">-  _ </v>
      </c>
      <c r="Z711" s="160" t="str">
        <f>CONCATENATE(P711,Q711,R711,S711,V711)</f>
        <v xml:space="preserve">   </v>
      </c>
      <c r="AA711" s="160" t="str">
        <f>IFERROR(VLOOKUP(Y711,TD!$K$46:$L$64,2,0)," ")</f>
        <v xml:space="preserve"> </v>
      </c>
      <c r="AB711" s="53"/>
      <c r="AC711" s="162"/>
    </row>
    <row r="712" spans="2:29" s="28" customFormat="1" ht="99" customHeight="1" x14ac:dyDescent="0.35">
      <c r="B712" s="77"/>
      <c r="C712" s="50"/>
      <c r="D712" s="158"/>
      <c r="E712" s="51"/>
      <c r="F712" s="158"/>
      <c r="G712" s="158"/>
      <c r="H712" s="97"/>
      <c r="I712" s="159"/>
      <c r="J712" s="159"/>
      <c r="K712" s="52"/>
      <c r="L712" s="153"/>
      <c r="M712" s="158"/>
      <c r="N712" s="53"/>
      <c r="O712" s="51"/>
      <c r="P712" s="160" t="str">
        <f>IFERROR(VLOOKUP(C712,TD!$B$32:$F$36,2,0)," ")</f>
        <v xml:space="preserve"> </v>
      </c>
      <c r="Q712" s="160" t="str">
        <f>IFERROR(VLOOKUP(C712,TD!$B$32:$F$36,3,0)," ")</f>
        <v xml:space="preserve"> </v>
      </c>
      <c r="R712" s="160" t="str">
        <f>IFERROR(VLOOKUP(C712,TD!$B$32:$F$36,4,0)," ")</f>
        <v xml:space="preserve"> </v>
      </c>
      <c r="S712" s="51"/>
      <c r="T712" s="160" t="str">
        <f>IFERROR(VLOOKUP(S712,TD!$J$33:$K$43,2,0)," ")</f>
        <v xml:space="preserve"> </v>
      </c>
      <c r="U712" s="161" t="str">
        <f>CONCATENATE(S712,"-",T712)</f>
        <v xml:space="preserve">- </v>
      </c>
      <c r="V712" s="51"/>
      <c r="W712" s="160" t="str">
        <f>IFERROR(VLOOKUP(V712,TD!$N$33:$O$45,2,0)," ")</f>
        <v xml:space="preserve"> </v>
      </c>
      <c r="X712" s="161" t="str">
        <f>CONCATENATE(V712,"_",W712)</f>
        <v xml:space="preserve">_ </v>
      </c>
      <c r="Y712" s="161" t="str">
        <f>CONCATENATE(U712," ",X712)</f>
        <v xml:space="preserve">-  _ </v>
      </c>
      <c r="Z712" s="160" t="str">
        <f>CONCATENATE(P712,Q712,R712,S712,V712)</f>
        <v xml:space="preserve">   </v>
      </c>
      <c r="AA712" s="160" t="str">
        <f>IFERROR(VLOOKUP(Y712,TD!$K$46:$L$64,2,0)," ")</f>
        <v xml:space="preserve"> </v>
      </c>
      <c r="AB712" s="53"/>
      <c r="AC712" s="162"/>
    </row>
    <row r="713" spans="2:29" s="28" customFormat="1" ht="99" customHeight="1" x14ac:dyDescent="0.35">
      <c r="B713" s="77"/>
      <c r="C713" s="50"/>
      <c r="D713" s="158"/>
      <c r="E713" s="51"/>
      <c r="F713" s="158"/>
      <c r="G713" s="158"/>
      <c r="H713" s="97"/>
      <c r="I713" s="159"/>
      <c r="J713" s="159"/>
      <c r="K713" s="52"/>
      <c r="L713" s="153"/>
      <c r="M713" s="158"/>
      <c r="N713" s="53"/>
      <c r="O713" s="51"/>
      <c r="P713" s="160" t="str">
        <f>IFERROR(VLOOKUP(C713,TD!$B$32:$F$36,2,0)," ")</f>
        <v xml:space="preserve"> </v>
      </c>
      <c r="Q713" s="160" t="str">
        <f>IFERROR(VLOOKUP(C713,TD!$B$32:$F$36,3,0)," ")</f>
        <v xml:space="preserve"> </v>
      </c>
      <c r="R713" s="160" t="str">
        <f>IFERROR(VLOOKUP(C713,TD!$B$32:$F$36,4,0)," ")</f>
        <v xml:space="preserve"> </v>
      </c>
      <c r="S713" s="51"/>
      <c r="T713" s="160" t="str">
        <f>IFERROR(VLOOKUP(S713,TD!$J$33:$K$43,2,0)," ")</f>
        <v xml:space="preserve"> </v>
      </c>
      <c r="U713" s="161" t="str">
        <f>CONCATENATE(S713,"-",T713)</f>
        <v xml:space="preserve">- </v>
      </c>
      <c r="V713" s="51"/>
      <c r="W713" s="160" t="str">
        <f>IFERROR(VLOOKUP(V713,TD!$N$33:$O$45,2,0)," ")</f>
        <v xml:space="preserve"> </v>
      </c>
      <c r="X713" s="161" t="str">
        <f>CONCATENATE(V713,"_",W713)</f>
        <v xml:space="preserve">_ </v>
      </c>
      <c r="Y713" s="161" t="str">
        <f>CONCATENATE(U713," ",X713)</f>
        <v xml:space="preserve">-  _ </v>
      </c>
      <c r="Z713" s="160" t="str">
        <f>CONCATENATE(P713,Q713,R713,S713,V713)</f>
        <v xml:space="preserve">   </v>
      </c>
      <c r="AA713" s="160" t="str">
        <f>IFERROR(VLOOKUP(Y713,TD!$K$46:$L$64,2,0)," ")</f>
        <v xml:space="preserve"> </v>
      </c>
      <c r="AB713" s="53"/>
      <c r="AC713" s="162"/>
    </row>
    <row r="714" spans="2:29" s="28" customFormat="1" ht="99" customHeight="1" x14ac:dyDescent="0.35">
      <c r="B714" s="77"/>
      <c r="C714" s="50"/>
      <c r="D714" s="158"/>
      <c r="E714" s="51"/>
      <c r="F714" s="158"/>
      <c r="G714" s="158"/>
      <c r="H714" s="97"/>
      <c r="I714" s="159"/>
      <c r="J714" s="159"/>
      <c r="K714" s="52"/>
      <c r="L714" s="153"/>
      <c r="M714" s="158"/>
      <c r="N714" s="53"/>
      <c r="O714" s="51"/>
      <c r="P714" s="160" t="str">
        <f>IFERROR(VLOOKUP(C714,TD!$B$32:$F$36,2,0)," ")</f>
        <v xml:space="preserve"> </v>
      </c>
      <c r="Q714" s="160" t="str">
        <f>IFERROR(VLOOKUP(C714,TD!$B$32:$F$36,3,0)," ")</f>
        <v xml:space="preserve"> </v>
      </c>
      <c r="R714" s="160" t="str">
        <f>IFERROR(VLOOKUP(C714,TD!$B$32:$F$36,4,0)," ")</f>
        <v xml:space="preserve"> </v>
      </c>
      <c r="S714" s="51"/>
      <c r="T714" s="160" t="str">
        <f>IFERROR(VLOOKUP(S714,TD!$J$33:$K$43,2,0)," ")</f>
        <v xml:space="preserve"> </v>
      </c>
      <c r="U714" s="161" t="str">
        <f>CONCATENATE(S714,"-",T714)</f>
        <v xml:space="preserve">- </v>
      </c>
      <c r="V714" s="51"/>
      <c r="W714" s="160" t="str">
        <f>IFERROR(VLOOKUP(V714,TD!$N$33:$O$45,2,0)," ")</f>
        <v xml:space="preserve"> </v>
      </c>
      <c r="X714" s="161" t="str">
        <f>CONCATENATE(V714,"_",W714)</f>
        <v xml:space="preserve">_ </v>
      </c>
      <c r="Y714" s="161" t="str">
        <f>CONCATENATE(U714," ",X714)</f>
        <v xml:space="preserve">-  _ </v>
      </c>
      <c r="Z714" s="160" t="str">
        <f>CONCATENATE(P714,Q714,R714,S714,V714)</f>
        <v xml:space="preserve">   </v>
      </c>
      <c r="AA714" s="160" t="str">
        <f>IFERROR(VLOOKUP(Y714,TD!$K$46:$L$64,2,0)," ")</f>
        <v xml:space="preserve"> </v>
      </c>
      <c r="AB714" s="53"/>
      <c r="AC714" s="162"/>
    </row>
    <row r="715" spans="2:29" s="28" customFormat="1" ht="99" customHeight="1" x14ac:dyDescent="0.35">
      <c r="B715" s="77"/>
      <c r="C715" s="50"/>
      <c r="D715" s="158"/>
      <c r="E715" s="51"/>
      <c r="F715" s="158"/>
      <c r="G715" s="158"/>
      <c r="H715" s="97"/>
      <c r="I715" s="159"/>
      <c r="J715" s="159"/>
      <c r="K715" s="52"/>
      <c r="L715" s="153"/>
      <c r="M715" s="158"/>
      <c r="N715" s="53"/>
      <c r="O715" s="51"/>
      <c r="P715" s="160" t="str">
        <f>IFERROR(VLOOKUP(C715,TD!$B$32:$F$36,2,0)," ")</f>
        <v xml:space="preserve"> </v>
      </c>
      <c r="Q715" s="160" t="str">
        <f>IFERROR(VLOOKUP(C715,TD!$B$32:$F$36,3,0)," ")</f>
        <v xml:space="preserve"> </v>
      </c>
      <c r="R715" s="160" t="str">
        <f>IFERROR(VLOOKUP(C715,TD!$B$32:$F$36,4,0)," ")</f>
        <v xml:space="preserve"> </v>
      </c>
      <c r="S715" s="51"/>
      <c r="T715" s="160" t="str">
        <f>IFERROR(VLOOKUP(S715,TD!$J$33:$K$43,2,0)," ")</f>
        <v xml:space="preserve"> </v>
      </c>
      <c r="U715" s="161" t="str">
        <f>CONCATENATE(S715,"-",T715)</f>
        <v xml:space="preserve">- </v>
      </c>
      <c r="V715" s="51"/>
      <c r="W715" s="160" t="str">
        <f>IFERROR(VLOOKUP(V715,TD!$N$33:$O$45,2,0)," ")</f>
        <v xml:space="preserve"> </v>
      </c>
      <c r="X715" s="161" t="str">
        <f>CONCATENATE(V715,"_",W715)</f>
        <v xml:space="preserve">_ </v>
      </c>
      <c r="Y715" s="161" t="str">
        <f>CONCATENATE(U715," ",X715)</f>
        <v xml:space="preserve">-  _ </v>
      </c>
      <c r="Z715" s="160" t="str">
        <f>CONCATENATE(P715,Q715,R715,S715,V715)</f>
        <v xml:space="preserve">   </v>
      </c>
      <c r="AA715" s="160" t="str">
        <f>IFERROR(VLOOKUP(Y715,TD!$K$46:$L$64,2,0)," ")</f>
        <v xml:space="preserve"> </v>
      </c>
      <c r="AB715" s="53"/>
      <c r="AC715" s="162"/>
    </row>
    <row r="716" spans="2:29" s="28" customFormat="1" ht="99" customHeight="1" x14ac:dyDescent="0.35">
      <c r="B716" s="77"/>
      <c r="C716" s="50"/>
      <c r="D716" s="158"/>
      <c r="E716" s="51"/>
      <c r="F716" s="158"/>
      <c r="G716" s="158"/>
      <c r="H716" s="97"/>
      <c r="I716" s="159"/>
      <c r="J716" s="159"/>
      <c r="K716" s="52"/>
      <c r="L716" s="153"/>
      <c r="M716" s="158"/>
      <c r="N716" s="53"/>
      <c r="O716" s="51"/>
      <c r="P716" s="160" t="str">
        <f>IFERROR(VLOOKUP(C716,TD!$B$32:$F$36,2,0)," ")</f>
        <v xml:space="preserve"> </v>
      </c>
      <c r="Q716" s="160" t="str">
        <f>IFERROR(VLOOKUP(C716,TD!$B$32:$F$36,3,0)," ")</f>
        <v xml:space="preserve"> </v>
      </c>
      <c r="R716" s="160" t="str">
        <f>IFERROR(VLOOKUP(C716,TD!$B$32:$F$36,4,0)," ")</f>
        <v xml:space="preserve"> </v>
      </c>
      <c r="S716" s="51"/>
      <c r="T716" s="160" t="str">
        <f>IFERROR(VLOOKUP(S716,TD!$J$33:$K$43,2,0)," ")</f>
        <v xml:space="preserve"> </v>
      </c>
      <c r="U716" s="161" t="str">
        <f>CONCATENATE(S716,"-",T716)</f>
        <v xml:space="preserve">- </v>
      </c>
      <c r="V716" s="51"/>
      <c r="W716" s="160" t="str">
        <f>IFERROR(VLOOKUP(V716,TD!$N$33:$O$45,2,0)," ")</f>
        <v xml:space="preserve"> </v>
      </c>
      <c r="X716" s="161" t="str">
        <f>CONCATENATE(V716,"_",W716)</f>
        <v xml:space="preserve">_ </v>
      </c>
      <c r="Y716" s="161" t="str">
        <f>CONCATENATE(U716," ",X716)</f>
        <v xml:space="preserve">-  _ </v>
      </c>
      <c r="Z716" s="160" t="str">
        <f>CONCATENATE(P716,Q716,R716,S716,V716)</f>
        <v xml:space="preserve">   </v>
      </c>
      <c r="AA716" s="160" t="str">
        <f>IFERROR(VLOOKUP(Y716,TD!$K$46:$L$64,2,0)," ")</f>
        <v xml:space="preserve"> </v>
      </c>
      <c r="AB716" s="53"/>
      <c r="AC716" s="162"/>
    </row>
    <row r="717" spans="2:29" s="28" customFormat="1" ht="99" customHeight="1" x14ac:dyDescent="0.35">
      <c r="B717" s="77"/>
      <c r="C717" s="50"/>
      <c r="D717" s="158"/>
      <c r="E717" s="51"/>
      <c r="F717" s="158"/>
      <c r="G717" s="158"/>
      <c r="H717" s="97"/>
      <c r="I717" s="159"/>
      <c r="J717" s="159"/>
      <c r="K717" s="52"/>
      <c r="L717" s="153"/>
      <c r="M717" s="158"/>
      <c r="N717" s="53"/>
      <c r="O717" s="51"/>
      <c r="P717" s="160" t="str">
        <f>IFERROR(VLOOKUP(C717,TD!$B$32:$F$36,2,0)," ")</f>
        <v xml:space="preserve"> </v>
      </c>
      <c r="Q717" s="160" t="str">
        <f>IFERROR(VLOOKUP(C717,TD!$B$32:$F$36,3,0)," ")</f>
        <v xml:space="preserve"> </v>
      </c>
      <c r="R717" s="160" t="str">
        <f>IFERROR(VLOOKUP(C717,TD!$B$32:$F$36,4,0)," ")</f>
        <v xml:space="preserve"> </v>
      </c>
      <c r="S717" s="51"/>
      <c r="T717" s="160" t="str">
        <f>IFERROR(VLOOKUP(S717,TD!$J$33:$K$43,2,0)," ")</f>
        <v xml:space="preserve"> </v>
      </c>
      <c r="U717" s="161" t="str">
        <f>CONCATENATE(S717,"-",T717)</f>
        <v xml:space="preserve">- </v>
      </c>
      <c r="V717" s="51"/>
      <c r="W717" s="160" t="str">
        <f>IFERROR(VLOOKUP(V717,TD!$N$33:$O$45,2,0)," ")</f>
        <v xml:space="preserve"> </v>
      </c>
      <c r="X717" s="161" t="str">
        <f>CONCATENATE(V717,"_",W717)</f>
        <v xml:space="preserve">_ </v>
      </c>
      <c r="Y717" s="161" t="str">
        <f>CONCATENATE(U717," ",X717)</f>
        <v xml:space="preserve">-  _ </v>
      </c>
      <c r="Z717" s="160" t="str">
        <f>CONCATENATE(P717,Q717,R717,S717,V717)</f>
        <v xml:space="preserve">   </v>
      </c>
      <c r="AA717" s="160" t="str">
        <f>IFERROR(VLOOKUP(Y717,TD!$K$46:$L$64,2,0)," ")</f>
        <v xml:space="preserve"> </v>
      </c>
      <c r="AB717" s="53"/>
      <c r="AC717" s="162"/>
    </row>
    <row r="718" spans="2:29" s="28" customFormat="1" ht="99" customHeight="1" x14ac:dyDescent="0.35">
      <c r="B718" s="77"/>
      <c r="C718" s="50"/>
      <c r="D718" s="158"/>
      <c r="E718" s="51"/>
      <c r="F718" s="158"/>
      <c r="G718" s="158"/>
      <c r="H718" s="97"/>
      <c r="I718" s="159"/>
      <c r="J718" s="159"/>
      <c r="K718" s="52"/>
      <c r="L718" s="153"/>
      <c r="M718" s="158"/>
      <c r="N718" s="53"/>
      <c r="O718" s="51"/>
      <c r="P718" s="160" t="str">
        <f>IFERROR(VLOOKUP(C718,TD!$B$32:$F$36,2,0)," ")</f>
        <v xml:space="preserve"> </v>
      </c>
      <c r="Q718" s="160" t="str">
        <f>IFERROR(VLOOKUP(C718,TD!$B$32:$F$36,3,0)," ")</f>
        <v xml:space="preserve"> </v>
      </c>
      <c r="R718" s="160" t="str">
        <f>IFERROR(VLOOKUP(C718,TD!$B$32:$F$36,4,0)," ")</f>
        <v xml:space="preserve"> </v>
      </c>
      <c r="S718" s="51"/>
      <c r="T718" s="160" t="str">
        <f>IFERROR(VLOOKUP(S718,TD!$J$33:$K$43,2,0)," ")</f>
        <v xml:space="preserve"> </v>
      </c>
      <c r="U718" s="161" t="str">
        <f>CONCATENATE(S718,"-",T718)</f>
        <v xml:space="preserve">- </v>
      </c>
      <c r="V718" s="51"/>
      <c r="W718" s="160" t="str">
        <f>IFERROR(VLOOKUP(V718,TD!$N$33:$O$45,2,0)," ")</f>
        <v xml:space="preserve"> </v>
      </c>
      <c r="X718" s="161" t="str">
        <f>CONCATENATE(V718,"_",W718)</f>
        <v xml:space="preserve">_ </v>
      </c>
      <c r="Y718" s="161" t="str">
        <f>CONCATENATE(U718," ",X718)</f>
        <v xml:space="preserve">-  _ </v>
      </c>
      <c r="Z718" s="160" t="str">
        <f>CONCATENATE(P718,Q718,R718,S718,V718)</f>
        <v xml:space="preserve">   </v>
      </c>
      <c r="AA718" s="160" t="str">
        <f>IFERROR(VLOOKUP(Y718,TD!$K$46:$L$64,2,0)," ")</f>
        <v xml:space="preserve"> </v>
      </c>
      <c r="AB718" s="53"/>
      <c r="AC718" s="162"/>
    </row>
    <row r="719" spans="2:29" s="28" customFormat="1" ht="99" customHeight="1" x14ac:dyDescent="0.35">
      <c r="B719" s="77"/>
      <c r="C719" s="50"/>
      <c r="D719" s="158"/>
      <c r="E719" s="51"/>
      <c r="F719" s="158"/>
      <c r="G719" s="158"/>
      <c r="H719" s="97"/>
      <c r="I719" s="159"/>
      <c r="J719" s="159"/>
      <c r="K719" s="52"/>
      <c r="L719" s="153"/>
      <c r="M719" s="158"/>
      <c r="N719" s="53"/>
      <c r="O719" s="51"/>
      <c r="P719" s="160" t="str">
        <f>IFERROR(VLOOKUP(C719,TD!$B$32:$F$36,2,0)," ")</f>
        <v xml:space="preserve"> </v>
      </c>
      <c r="Q719" s="160" t="str">
        <f>IFERROR(VLOOKUP(C719,TD!$B$32:$F$36,3,0)," ")</f>
        <v xml:space="preserve"> </v>
      </c>
      <c r="R719" s="160" t="str">
        <f>IFERROR(VLOOKUP(C719,TD!$B$32:$F$36,4,0)," ")</f>
        <v xml:space="preserve"> </v>
      </c>
      <c r="S719" s="51"/>
      <c r="T719" s="160" t="str">
        <f>IFERROR(VLOOKUP(S719,TD!$J$33:$K$43,2,0)," ")</f>
        <v xml:space="preserve"> </v>
      </c>
      <c r="U719" s="161" t="str">
        <f>CONCATENATE(S719,"-",T719)</f>
        <v xml:space="preserve">- </v>
      </c>
      <c r="V719" s="51"/>
      <c r="W719" s="160" t="str">
        <f>IFERROR(VLOOKUP(V719,TD!$N$33:$O$45,2,0)," ")</f>
        <v xml:space="preserve"> </v>
      </c>
      <c r="X719" s="161" t="str">
        <f>CONCATENATE(V719,"_",W719)</f>
        <v xml:space="preserve">_ </v>
      </c>
      <c r="Y719" s="161" t="str">
        <f>CONCATENATE(U719," ",X719)</f>
        <v xml:space="preserve">-  _ </v>
      </c>
      <c r="Z719" s="160" t="str">
        <f>CONCATENATE(P719,Q719,R719,S719,V719)</f>
        <v xml:space="preserve">   </v>
      </c>
      <c r="AA719" s="160" t="str">
        <f>IFERROR(VLOOKUP(Y719,TD!$K$46:$L$64,2,0)," ")</f>
        <v xml:space="preserve"> </v>
      </c>
      <c r="AB719" s="53"/>
      <c r="AC719" s="162"/>
    </row>
    <row r="720" spans="2:29" s="28" customFormat="1" ht="99" customHeight="1" x14ac:dyDescent="0.35">
      <c r="B720" s="77"/>
      <c r="C720" s="50"/>
      <c r="D720" s="158"/>
      <c r="E720" s="51"/>
      <c r="F720" s="158"/>
      <c r="G720" s="158"/>
      <c r="H720" s="97"/>
      <c r="I720" s="159"/>
      <c r="J720" s="159"/>
      <c r="K720" s="52"/>
      <c r="L720" s="153"/>
      <c r="M720" s="158"/>
      <c r="N720" s="53"/>
      <c r="O720" s="51"/>
      <c r="P720" s="160" t="str">
        <f>IFERROR(VLOOKUP(C720,TD!$B$32:$F$36,2,0)," ")</f>
        <v xml:space="preserve"> </v>
      </c>
      <c r="Q720" s="160" t="str">
        <f>IFERROR(VLOOKUP(C720,TD!$B$32:$F$36,3,0)," ")</f>
        <v xml:space="preserve"> </v>
      </c>
      <c r="R720" s="160" t="str">
        <f>IFERROR(VLOOKUP(C720,TD!$B$32:$F$36,4,0)," ")</f>
        <v xml:space="preserve"> </v>
      </c>
      <c r="S720" s="51"/>
      <c r="T720" s="160" t="str">
        <f>IFERROR(VLOOKUP(S720,TD!$J$33:$K$43,2,0)," ")</f>
        <v xml:space="preserve"> </v>
      </c>
      <c r="U720" s="161" t="str">
        <f>CONCATENATE(S720,"-",T720)</f>
        <v xml:space="preserve">- </v>
      </c>
      <c r="V720" s="51"/>
      <c r="W720" s="160" t="str">
        <f>IFERROR(VLOOKUP(V720,TD!$N$33:$O$45,2,0)," ")</f>
        <v xml:space="preserve"> </v>
      </c>
      <c r="X720" s="161" t="str">
        <f>CONCATENATE(V720,"_",W720)</f>
        <v xml:space="preserve">_ </v>
      </c>
      <c r="Y720" s="161" t="str">
        <f>CONCATENATE(U720," ",X720)</f>
        <v xml:space="preserve">-  _ </v>
      </c>
      <c r="Z720" s="160" t="str">
        <f>CONCATENATE(P720,Q720,R720,S720,V720)</f>
        <v xml:space="preserve">   </v>
      </c>
      <c r="AA720" s="160" t="str">
        <f>IFERROR(VLOOKUP(Y720,TD!$K$46:$L$64,2,0)," ")</f>
        <v xml:space="preserve"> </v>
      </c>
      <c r="AB720" s="53"/>
      <c r="AC720" s="162"/>
    </row>
    <row r="721" spans="2:29" s="28" customFormat="1" ht="99" customHeight="1" x14ac:dyDescent="0.35">
      <c r="B721" s="77"/>
      <c r="C721" s="50"/>
      <c r="D721" s="158"/>
      <c r="E721" s="51"/>
      <c r="F721" s="158"/>
      <c r="G721" s="158"/>
      <c r="H721" s="97"/>
      <c r="I721" s="159"/>
      <c r="J721" s="159"/>
      <c r="K721" s="52"/>
      <c r="L721" s="153"/>
      <c r="M721" s="158"/>
      <c r="N721" s="53"/>
      <c r="O721" s="51"/>
      <c r="P721" s="160" t="str">
        <f>IFERROR(VLOOKUP(C721,TD!$B$32:$F$36,2,0)," ")</f>
        <v xml:space="preserve"> </v>
      </c>
      <c r="Q721" s="160" t="str">
        <f>IFERROR(VLOOKUP(C721,TD!$B$32:$F$36,3,0)," ")</f>
        <v xml:space="preserve"> </v>
      </c>
      <c r="R721" s="160" t="str">
        <f>IFERROR(VLOOKUP(C721,TD!$B$32:$F$36,4,0)," ")</f>
        <v xml:space="preserve"> </v>
      </c>
      <c r="S721" s="51"/>
      <c r="T721" s="160" t="str">
        <f>IFERROR(VLOOKUP(S721,TD!$J$33:$K$43,2,0)," ")</f>
        <v xml:space="preserve"> </v>
      </c>
      <c r="U721" s="161" t="str">
        <f>CONCATENATE(S721,"-",T721)</f>
        <v xml:space="preserve">- </v>
      </c>
      <c r="V721" s="51"/>
      <c r="W721" s="160" t="str">
        <f>IFERROR(VLOOKUP(V721,TD!$N$33:$O$45,2,0)," ")</f>
        <v xml:space="preserve"> </v>
      </c>
      <c r="X721" s="161" t="str">
        <f>CONCATENATE(V721,"_",W721)</f>
        <v xml:space="preserve">_ </v>
      </c>
      <c r="Y721" s="161" t="str">
        <f>CONCATENATE(U721," ",X721)</f>
        <v xml:space="preserve">-  _ </v>
      </c>
      <c r="Z721" s="160" t="str">
        <f>CONCATENATE(P721,Q721,R721,S721,V721)</f>
        <v xml:space="preserve">   </v>
      </c>
      <c r="AA721" s="160" t="str">
        <f>IFERROR(VLOOKUP(Y721,TD!$K$46:$L$64,2,0)," ")</f>
        <v xml:space="preserve"> </v>
      </c>
      <c r="AB721" s="53"/>
      <c r="AC721" s="162"/>
    </row>
    <row r="722" spans="2:29" s="28" customFormat="1" ht="99" customHeight="1" x14ac:dyDescent="0.35">
      <c r="B722" s="77"/>
      <c r="C722" s="50"/>
      <c r="D722" s="158"/>
      <c r="E722" s="51"/>
      <c r="F722" s="158"/>
      <c r="G722" s="158"/>
      <c r="H722" s="97"/>
      <c r="I722" s="159"/>
      <c r="J722" s="159"/>
      <c r="K722" s="52"/>
      <c r="L722" s="153"/>
      <c r="M722" s="158"/>
      <c r="N722" s="53"/>
      <c r="O722" s="51"/>
      <c r="P722" s="160" t="str">
        <f>IFERROR(VLOOKUP(C722,TD!$B$32:$F$36,2,0)," ")</f>
        <v xml:space="preserve"> </v>
      </c>
      <c r="Q722" s="160" t="str">
        <f>IFERROR(VLOOKUP(C722,TD!$B$32:$F$36,3,0)," ")</f>
        <v xml:space="preserve"> </v>
      </c>
      <c r="R722" s="160" t="str">
        <f>IFERROR(VLOOKUP(C722,TD!$B$32:$F$36,4,0)," ")</f>
        <v xml:space="preserve"> </v>
      </c>
      <c r="S722" s="51"/>
      <c r="T722" s="160" t="str">
        <f>IFERROR(VLOOKUP(S722,TD!$J$33:$K$43,2,0)," ")</f>
        <v xml:space="preserve"> </v>
      </c>
      <c r="U722" s="161" t="str">
        <f>CONCATENATE(S722,"-",T722)</f>
        <v xml:space="preserve">- </v>
      </c>
      <c r="V722" s="51"/>
      <c r="W722" s="160" t="str">
        <f>IFERROR(VLOOKUP(V722,TD!$N$33:$O$45,2,0)," ")</f>
        <v xml:space="preserve"> </v>
      </c>
      <c r="X722" s="161" t="str">
        <f>CONCATENATE(V722,"_",W722)</f>
        <v xml:space="preserve">_ </v>
      </c>
      <c r="Y722" s="161" t="str">
        <f>CONCATENATE(U722," ",X722)</f>
        <v xml:space="preserve">-  _ </v>
      </c>
      <c r="Z722" s="160" t="str">
        <f>CONCATENATE(P722,Q722,R722,S722,V722)</f>
        <v xml:space="preserve">   </v>
      </c>
      <c r="AA722" s="160" t="str">
        <f>IFERROR(VLOOKUP(Y722,TD!$K$46:$L$64,2,0)," ")</f>
        <v xml:space="preserve"> </v>
      </c>
      <c r="AB722" s="53"/>
      <c r="AC722" s="162"/>
    </row>
    <row r="723" spans="2:29" s="28" customFormat="1" ht="99" customHeight="1" x14ac:dyDescent="0.35">
      <c r="B723" s="77"/>
      <c r="C723" s="50"/>
      <c r="D723" s="158"/>
      <c r="E723" s="51"/>
      <c r="F723" s="158"/>
      <c r="G723" s="158"/>
      <c r="H723" s="97"/>
      <c r="I723" s="159"/>
      <c r="J723" s="159"/>
      <c r="K723" s="52"/>
      <c r="L723" s="153"/>
      <c r="M723" s="158"/>
      <c r="N723" s="53"/>
      <c r="O723" s="51"/>
      <c r="P723" s="160" t="str">
        <f>IFERROR(VLOOKUP(C723,TD!$B$32:$F$36,2,0)," ")</f>
        <v xml:space="preserve"> </v>
      </c>
      <c r="Q723" s="160" t="str">
        <f>IFERROR(VLOOKUP(C723,TD!$B$32:$F$36,3,0)," ")</f>
        <v xml:space="preserve"> </v>
      </c>
      <c r="R723" s="160" t="str">
        <f>IFERROR(VLOOKUP(C723,TD!$B$32:$F$36,4,0)," ")</f>
        <v xml:space="preserve"> </v>
      </c>
      <c r="S723" s="51"/>
      <c r="T723" s="160" t="str">
        <f>IFERROR(VLOOKUP(S723,TD!$J$33:$K$43,2,0)," ")</f>
        <v xml:space="preserve"> </v>
      </c>
      <c r="U723" s="161" t="str">
        <f>CONCATENATE(S723,"-",T723)</f>
        <v xml:space="preserve">- </v>
      </c>
      <c r="V723" s="51"/>
      <c r="W723" s="160" t="str">
        <f>IFERROR(VLOOKUP(V723,TD!$N$33:$O$45,2,0)," ")</f>
        <v xml:space="preserve"> </v>
      </c>
      <c r="X723" s="161" t="str">
        <f>CONCATENATE(V723,"_",W723)</f>
        <v xml:space="preserve">_ </v>
      </c>
      <c r="Y723" s="161" t="str">
        <f>CONCATENATE(U723," ",X723)</f>
        <v xml:space="preserve">-  _ </v>
      </c>
      <c r="Z723" s="160" t="str">
        <f>CONCATENATE(P723,Q723,R723,S723,V723)</f>
        <v xml:space="preserve">   </v>
      </c>
      <c r="AA723" s="160" t="str">
        <f>IFERROR(VLOOKUP(Y723,TD!$K$46:$L$64,2,0)," ")</f>
        <v xml:space="preserve"> </v>
      </c>
      <c r="AB723" s="53"/>
      <c r="AC723" s="162"/>
    </row>
    <row r="724" spans="2:29" s="28" customFormat="1" ht="99" customHeight="1" x14ac:dyDescent="0.35">
      <c r="B724" s="77"/>
      <c r="C724" s="50"/>
      <c r="D724" s="158"/>
      <c r="E724" s="51"/>
      <c r="F724" s="158"/>
      <c r="G724" s="158"/>
      <c r="H724" s="97"/>
      <c r="I724" s="159"/>
      <c r="J724" s="159"/>
      <c r="K724" s="52"/>
      <c r="L724" s="153"/>
      <c r="M724" s="158"/>
      <c r="N724" s="53"/>
      <c r="O724" s="51"/>
      <c r="P724" s="160" t="str">
        <f>IFERROR(VLOOKUP(C724,TD!$B$32:$F$36,2,0)," ")</f>
        <v xml:space="preserve"> </v>
      </c>
      <c r="Q724" s="160" t="str">
        <f>IFERROR(VLOOKUP(C724,TD!$B$32:$F$36,3,0)," ")</f>
        <v xml:space="preserve"> </v>
      </c>
      <c r="R724" s="160" t="str">
        <f>IFERROR(VLOOKUP(C724,TD!$B$32:$F$36,4,0)," ")</f>
        <v xml:space="preserve"> </v>
      </c>
      <c r="S724" s="51"/>
      <c r="T724" s="160" t="str">
        <f>IFERROR(VLOOKUP(S724,TD!$J$33:$K$43,2,0)," ")</f>
        <v xml:space="preserve"> </v>
      </c>
      <c r="U724" s="161" t="str">
        <f>CONCATENATE(S724,"-",T724)</f>
        <v xml:space="preserve">- </v>
      </c>
      <c r="V724" s="51"/>
      <c r="W724" s="160" t="str">
        <f>IFERROR(VLOOKUP(V724,TD!$N$33:$O$45,2,0)," ")</f>
        <v xml:space="preserve"> </v>
      </c>
      <c r="X724" s="161" t="str">
        <f>CONCATENATE(V724,"_",W724)</f>
        <v xml:space="preserve">_ </v>
      </c>
      <c r="Y724" s="161" t="str">
        <f>CONCATENATE(U724," ",X724)</f>
        <v xml:space="preserve">-  _ </v>
      </c>
      <c r="Z724" s="160" t="str">
        <f>CONCATENATE(P724,Q724,R724,S724,V724)</f>
        <v xml:space="preserve">   </v>
      </c>
      <c r="AA724" s="160" t="str">
        <f>IFERROR(VLOOKUP(Y724,TD!$K$46:$L$64,2,0)," ")</f>
        <v xml:space="preserve"> </v>
      </c>
      <c r="AB724" s="53"/>
      <c r="AC724" s="162"/>
    </row>
    <row r="725" spans="2:29" s="28" customFormat="1" ht="99" customHeight="1" x14ac:dyDescent="0.35">
      <c r="B725" s="77"/>
      <c r="C725" s="50"/>
      <c r="D725" s="158"/>
      <c r="E725" s="51"/>
      <c r="F725" s="158"/>
      <c r="G725" s="158"/>
      <c r="H725" s="97"/>
      <c r="I725" s="159"/>
      <c r="J725" s="159"/>
      <c r="K725" s="52"/>
      <c r="L725" s="153"/>
      <c r="M725" s="158"/>
      <c r="N725" s="53"/>
      <c r="O725" s="51"/>
      <c r="P725" s="160" t="str">
        <f>IFERROR(VLOOKUP(C725,TD!$B$32:$F$36,2,0)," ")</f>
        <v xml:space="preserve"> </v>
      </c>
      <c r="Q725" s="160" t="str">
        <f>IFERROR(VLOOKUP(C725,TD!$B$32:$F$36,3,0)," ")</f>
        <v xml:space="preserve"> </v>
      </c>
      <c r="R725" s="160" t="str">
        <f>IFERROR(VLOOKUP(C725,TD!$B$32:$F$36,4,0)," ")</f>
        <v xml:space="preserve"> </v>
      </c>
      <c r="S725" s="51"/>
      <c r="T725" s="160" t="str">
        <f>IFERROR(VLOOKUP(S725,TD!$J$33:$K$43,2,0)," ")</f>
        <v xml:space="preserve"> </v>
      </c>
      <c r="U725" s="161" t="str">
        <f>CONCATENATE(S725,"-",T725)</f>
        <v xml:space="preserve">- </v>
      </c>
      <c r="V725" s="51"/>
      <c r="W725" s="160" t="str">
        <f>IFERROR(VLOOKUP(V725,TD!$N$33:$O$45,2,0)," ")</f>
        <v xml:space="preserve"> </v>
      </c>
      <c r="X725" s="161" t="str">
        <f>CONCATENATE(V725,"_",W725)</f>
        <v xml:space="preserve">_ </v>
      </c>
      <c r="Y725" s="161" t="str">
        <f>CONCATENATE(U725," ",X725)</f>
        <v xml:space="preserve">-  _ </v>
      </c>
      <c r="Z725" s="160" t="str">
        <f>CONCATENATE(P725,Q725,R725,S725,V725)</f>
        <v xml:space="preserve">   </v>
      </c>
      <c r="AA725" s="160" t="str">
        <f>IFERROR(VLOOKUP(Y725,TD!$K$46:$L$64,2,0)," ")</f>
        <v xml:space="preserve"> </v>
      </c>
      <c r="AB725" s="53"/>
      <c r="AC725" s="162"/>
    </row>
    <row r="726" spans="2:29" s="28" customFormat="1" ht="99" customHeight="1" x14ac:dyDescent="0.35">
      <c r="B726" s="77"/>
      <c r="C726" s="50"/>
      <c r="D726" s="158"/>
      <c r="E726" s="51"/>
      <c r="F726" s="158"/>
      <c r="G726" s="158"/>
      <c r="H726" s="97"/>
      <c r="I726" s="159"/>
      <c r="J726" s="159"/>
      <c r="K726" s="52"/>
      <c r="L726" s="153"/>
      <c r="M726" s="158"/>
      <c r="N726" s="53"/>
      <c r="O726" s="51"/>
      <c r="P726" s="160" t="str">
        <f>IFERROR(VLOOKUP(C726,TD!$B$32:$F$36,2,0)," ")</f>
        <v xml:space="preserve"> </v>
      </c>
      <c r="Q726" s="160" t="str">
        <f>IFERROR(VLOOKUP(C726,TD!$B$32:$F$36,3,0)," ")</f>
        <v xml:space="preserve"> </v>
      </c>
      <c r="R726" s="160" t="str">
        <f>IFERROR(VLOOKUP(C726,TD!$B$32:$F$36,4,0)," ")</f>
        <v xml:space="preserve"> </v>
      </c>
      <c r="S726" s="51"/>
      <c r="T726" s="160" t="str">
        <f>IFERROR(VLOOKUP(S726,TD!$J$33:$K$43,2,0)," ")</f>
        <v xml:space="preserve"> </v>
      </c>
      <c r="U726" s="161" t="str">
        <f>CONCATENATE(S726,"-",T726)</f>
        <v xml:space="preserve">- </v>
      </c>
      <c r="V726" s="51"/>
      <c r="W726" s="160" t="str">
        <f>IFERROR(VLOOKUP(V726,TD!$N$33:$O$45,2,0)," ")</f>
        <v xml:space="preserve"> </v>
      </c>
      <c r="X726" s="161" t="str">
        <f>CONCATENATE(V726,"_",W726)</f>
        <v xml:space="preserve">_ </v>
      </c>
      <c r="Y726" s="161" t="str">
        <f>CONCATENATE(U726," ",X726)</f>
        <v xml:space="preserve">-  _ </v>
      </c>
      <c r="Z726" s="160" t="str">
        <f>CONCATENATE(P726,Q726,R726,S726,V726)</f>
        <v xml:space="preserve">   </v>
      </c>
      <c r="AA726" s="160" t="str">
        <f>IFERROR(VLOOKUP(Y726,TD!$K$46:$L$64,2,0)," ")</f>
        <v xml:space="preserve"> </v>
      </c>
      <c r="AB726" s="53"/>
      <c r="AC726" s="162"/>
    </row>
    <row r="727" spans="2:29" s="28" customFormat="1" ht="99" customHeight="1" x14ac:dyDescent="0.35">
      <c r="B727" s="77"/>
      <c r="C727" s="50"/>
      <c r="D727" s="158"/>
      <c r="E727" s="51"/>
      <c r="F727" s="158"/>
      <c r="G727" s="158"/>
      <c r="H727" s="97"/>
      <c r="I727" s="159"/>
      <c r="J727" s="159"/>
      <c r="K727" s="52"/>
      <c r="L727" s="153"/>
      <c r="M727" s="158"/>
      <c r="N727" s="53"/>
      <c r="O727" s="51"/>
      <c r="P727" s="160" t="str">
        <f>IFERROR(VLOOKUP(C727,TD!$B$32:$F$36,2,0)," ")</f>
        <v xml:space="preserve"> </v>
      </c>
      <c r="Q727" s="160" t="str">
        <f>IFERROR(VLOOKUP(C727,TD!$B$32:$F$36,3,0)," ")</f>
        <v xml:space="preserve"> </v>
      </c>
      <c r="R727" s="160" t="str">
        <f>IFERROR(VLOOKUP(C727,TD!$B$32:$F$36,4,0)," ")</f>
        <v xml:space="preserve"> </v>
      </c>
      <c r="S727" s="51"/>
      <c r="T727" s="160" t="str">
        <f>IFERROR(VLOOKUP(S727,TD!$J$33:$K$43,2,0)," ")</f>
        <v xml:space="preserve"> </v>
      </c>
      <c r="U727" s="161" t="str">
        <f>CONCATENATE(S727,"-",T727)</f>
        <v xml:space="preserve">- </v>
      </c>
      <c r="V727" s="51"/>
      <c r="W727" s="160" t="str">
        <f>IFERROR(VLOOKUP(V727,TD!$N$33:$O$45,2,0)," ")</f>
        <v xml:space="preserve"> </v>
      </c>
      <c r="X727" s="161" t="str">
        <f>CONCATENATE(V727,"_",W727)</f>
        <v xml:space="preserve">_ </v>
      </c>
      <c r="Y727" s="161" t="str">
        <f>CONCATENATE(U727," ",X727)</f>
        <v xml:space="preserve">-  _ </v>
      </c>
      <c r="Z727" s="160" t="str">
        <f>CONCATENATE(P727,Q727,R727,S727,V727)</f>
        <v xml:space="preserve">   </v>
      </c>
      <c r="AA727" s="160" t="str">
        <f>IFERROR(VLOOKUP(Y727,TD!$K$46:$L$64,2,0)," ")</f>
        <v xml:space="preserve"> </v>
      </c>
      <c r="AB727" s="53"/>
      <c r="AC727" s="162"/>
    </row>
    <row r="728" spans="2:29" s="28" customFormat="1" ht="99" customHeight="1" x14ac:dyDescent="0.35">
      <c r="B728" s="77"/>
      <c r="C728" s="50"/>
      <c r="D728" s="158"/>
      <c r="E728" s="51"/>
      <c r="F728" s="158"/>
      <c r="G728" s="158"/>
      <c r="H728" s="97"/>
      <c r="I728" s="159"/>
      <c r="J728" s="159"/>
      <c r="K728" s="52"/>
      <c r="L728" s="153"/>
      <c r="M728" s="158"/>
      <c r="N728" s="53"/>
      <c r="O728" s="51"/>
      <c r="P728" s="160" t="str">
        <f>IFERROR(VLOOKUP(C728,TD!$B$32:$F$36,2,0)," ")</f>
        <v xml:space="preserve"> </v>
      </c>
      <c r="Q728" s="160" t="str">
        <f>IFERROR(VLOOKUP(C728,TD!$B$32:$F$36,3,0)," ")</f>
        <v xml:space="preserve"> </v>
      </c>
      <c r="R728" s="160" t="str">
        <f>IFERROR(VLOOKUP(C728,TD!$B$32:$F$36,4,0)," ")</f>
        <v xml:space="preserve"> </v>
      </c>
      <c r="S728" s="51"/>
      <c r="T728" s="160" t="str">
        <f>IFERROR(VLOOKUP(S728,TD!$J$33:$K$43,2,0)," ")</f>
        <v xml:space="preserve"> </v>
      </c>
      <c r="U728" s="161" t="str">
        <f>CONCATENATE(S728,"-",T728)</f>
        <v xml:space="preserve">- </v>
      </c>
      <c r="V728" s="51"/>
      <c r="W728" s="160" t="str">
        <f>IFERROR(VLOOKUP(V728,TD!$N$33:$O$45,2,0)," ")</f>
        <v xml:space="preserve"> </v>
      </c>
      <c r="X728" s="161" t="str">
        <f>CONCATENATE(V728,"_",W728)</f>
        <v xml:space="preserve">_ </v>
      </c>
      <c r="Y728" s="161" t="str">
        <f>CONCATENATE(U728," ",X728)</f>
        <v xml:space="preserve">-  _ </v>
      </c>
      <c r="Z728" s="160" t="str">
        <f>CONCATENATE(P728,Q728,R728,S728,V728)</f>
        <v xml:space="preserve">   </v>
      </c>
      <c r="AA728" s="160" t="str">
        <f>IFERROR(VLOOKUP(Y728,TD!$K$46:$L$64,2,0)," ")</f>
        <v xml:space="preserve"> </v>
      </c>
      <c r="AB728" s="53"/>
      <c r="AC728" s="162"/>
    </row>
    <row r="729" spans="2:29" s="28" customFormat="1" ht="99" customHeight="1" x14ac:dyDescent="0.35">
      <c r="B729" s="77"/>
      <c r="C729" s="50"/>
      <c r="D729" s="158"/>
      <c r="E729" s="51"/>
      <c r="F729" s="158"/>
      <c r="G729" s="158"/>
      <c r="H729" s="97"/>
      <c r="I729" s="159"/>
      <c r="J729" s="159"/>
      <c r="K729" s="52"/>
      <c r="L729" s="153"/>
      <c r="M729" s="158"/>
      <c r="N729" s="53"/>
      <c r="O729" s="51"/>
      <c r="P729" s="160" t="str">
        <f>IFERROR(VLOOKUP(C729,TD!$B$32:$F$36,2,0)," ")</f>
        <v xml:space="preserve"> </v>
      </c>
      <c r="Q729" s="160" t="str">
        <f>IFERROR(VLOOKUP(C729,TD!$B$32:$F$36,3,0)," ")</f>
        <v xml:space="preserve"> </v>
      </c>
      <c r="R729" s="160" t="str">
        <f>IFERROR(VLOOKUP(C729,TD!$B$32:$F$36,4,0)," ")</f>
        <v xml:space="preserve"> </v>
      </c>
      <c r="S729" s="51"/>
      <c r="T729" s="160" t="str">
        <f>IFERROR(VLOOKUP(S729,TD!$J$33:$K$43,2,0)," ")</f>
        <v xml:space="preserve"> </v>
      </c>
      <c r="U729" s="161" t="str">
        <f>CONCATENATE(S729,"-",T729)</f>
        <v xml:space="preserve">- </v>
      </c>
      <c r="V729" s="51"/>
      <c r="W729" s="160" t="str">
        <f>IFERROR(VLOOKUP(V729,TD!$N$33:$O$45,2,0)," ")</f>
        <v xml:space="preserve"> </v>
      </c>
      <c r="X729" s="161" t="str">
        <f>CONCATENATE(V729,"_",W729)</f>
        <v xml:space="preserve">_ </v>
      </c>
      <c r="Y729" s="161" t="str">
        <f>CONCATENATE(U729," ",X729)</f>
        <v xml:space="preserve">-  _ </v>
      </c>
      <c r="Z729" s="160" t="str">
        <f>CONCATENATE(P729,Q729,R729,S729,V729)</f>
        <v xml:space="preserve">   </v>
      </c>
      <c r="AA729" s="160" t="str">
        <f>IFERROR(VLOOKUP(Y729,TD!$K$46:$L$64,2,0)," ")</f>
        <v xml:space="preserve"> </v>
      </c>
      <c r="AB729" s="53"/>
      <c r="AC729" s="162"/>
    </row>
    <row r="730" spans="2:29" s="28" customFormat="1" ht="99" customHeight="1" x14ac:dyDescent="0.35">
      <c r="B730" s="77"/>
      <c r="C730" s="50"/>
      <c r="D730" s="158"/>
      <c r="E730" s="51"/>
      <c r="F730" s="158"/>
      <c r="G730" s="158"/>
      <c r="H730" s="97"/>
      <c r="I730" s="159"/>
      <c r="J730" s="159"/>
      <c r="K730" s="52"/>
      <c r="L730" s="153"/>
      <c r="M730" s="158"/>
      <c r="N730" s="53"/>
      <c r="O730" s="51"/>
      <c r="P730" s="160" t="str">
        <f>IFERROR(VLOOKUP(C730,TD!$B$32:$F$36,2,0)," ")</f>
        <v xml:space="preserve"> </v>
      </c>
      <c r="Q730" s="160" t="str">
        <f>IFERROR(VLOOKUP(C730,TD!$B$32:$F$36,3,0)," ")</f>
        <v xml:space="preserve"> </v>
      </c>
      <c r="R730" s="160" t="str">
        <f>IFERROR(VLOOKUP(C730,TD!$B$32:$F$36,4,0)," ")</f>
        <v xml:space="preserve"> </v>
      </c>
      <c r="S730" s="51"/>
      <c r="T730" s="160" t="str">
        <f>IFERROR(VLOOKUP(S730,TD!$J$33:$K$43,2,0)," ")</f>
        <v xml:space="preserve"> </v>
      </c>
      <c r="U730" s="161" t="str">
        <f>CONCATENATE(S730,"-",T730)</f>
        <v xml:space="preserve">- </v>
      </c>
      <c r="V730" s="51"/>
      <c r="W730" s="160" t="str">
        <f>IFERROR(VLOOKUP(V730,TD!$N$33:$O$45,2,0)," ")</f>
        <v xml:space="preserve"> </v>
      </c>
      <c r="X730" s="161" t="str">
        <f>CONCATENATE(V730,"_",W730)</f>
        <v xml:space="preserve">_ </v>
      </c>
      <c r="Y730" s="161" t="str">
        <f>CONCATENATE(U730," ",X730)</f>
        <v xml:space="preserve">-  _ </v>
      </c>
      <c r="Z730" s="160" t="str">
        <f>CONCATENATE(P730,Q730,R730,S730,V730)</f>
        <v xml:space="preserve">   </v>
      </c>
      <c r="AA730" s="160" t="str">
        <f>IFERROR(VLOOKUP(Y730,TD!$K$46:$L$64,2,0)," ")</f>
        <v xml:space="preserve"> </v>
      </c>
      <c r="AB730" s="53"/>
      <c r="AC730" s="162"/>
    </row>
    <row r="731" spans="2:29" s="28" customFormat="1" ht="99" customHeight="1" x14ac:dyDescent="0.35">
      <c r="B731" s="77"/>
      <c r="C731" s="50"/>
      <c r="D731" s="158"/>
      <c r="E731" s="51"/>
      <c r="F731" s="158"/>
      <c r="G731" s="158"/>
      <c r="H731" s="97"/>
      <c r="I731" s="159"/>
      <c r="J731" s="159"/>
      <c r="K731" s="52"/>
      <c r="L731" s="153"/>
      <c r="M731" s="158"/>
      <c r="N731" s="53"/>
      <c r="O731" s="51"/>
      <c r="P731" s="160" t="str">
        <f>IFERROR(VLOOKUP(C731,TD!$B$32:$F$36,2,0)," ")</f>
        <v xml:space="preserve"> </v>
      </c>
      <c r="Q731" s="160" t="str">
        <f>IFERROR(VLOOKUP(C731,TD!$B$32:$F$36,3,0)," ")</f>
        <v xml:space="preserve"> </v>
      </c>
      <c r="R731" s="160" t="str">
        <f>IFERROR(VLOOKUP(C731,TD!$B$32:$F$36,4,0)," ")</f>
        <v xml:space="preserve"> </v>
      </c>
      <c r="S731" s="51"/>
      <c r="T731" s="160" t="str">
        <f>IFERROR(VLOOKUP(S731,TD!$J$33:$K$43,2,0)," ")</f>
        <v xml:space="preserve"> </v>
      </c>
      <c r="U731" s="161" t="str">
        <f>CONCATENATE(S731,"-",T731)</f>
        <v xml:space="preserve">- </v>
      </c>
      <c r="V731" s="51"/>
      <c r="W731" s="160" t="str">
        <f>IFERROR(VLOOKUP(V731,TD!$N$33:$O$45,2,0)," ")</f>
        <v xml:space="preserve"> </v>
      </c>
      <c r="X731" s="161" t="str">
        <f>CONCATENATE(V731,"_",W731)</f>
        <v xml:space="preserve">_ </v>
      </c>
      <c r="Y731" s="161" t="str">
        <f>CONCATENATE(U731," ",X731)</f>
        <v xml:space="preserve">-  _ </v>
      </c>
      <c r="Z731" s="160" t="str">
        <f>CONCATENATE(P731,Q731,R731,S731,V731)</f>
        <v xml:space="preserve">   </v>
      </c>
      <c r="AA731" s="160" t="str">
        <f>IFERROR(VLOOKUP(Y731,TD!$K$46:$L$64,2,0)," ")</f>
        <v xml:space="preserve"> </v>
      </c>
      <c r="AB731" s="53"/>
      <c r="AC731" s="162"/>
    </row>
    <row r="732" spans="2:29" s="28" customFormat="1" ht="99" customHeight="1" x14ac:dyDescent="0.35">
      <c r="B732" s="77"/>
      <c r="C732" s="50"/>
      <c r="D732" s="158"/>
      <c r="E732" s="51"/>
      <c r="F732" s="158"/>
      <c r="G732" s="158"/>
      <c r="H732" s="97"/>
      <c r="I732" s="159"/>
      <c r="J732" s="159"/>
      <c r="K732" s="52"/>
      <c r="L732" s="153"/>
      <c r="M732" s="158"/>
      <c r="N732" s="53"/>
      <c r="O732" s="51"/>
      <c r="P732" s="160" t="str">
        <f>IFERROR(VLOOKUP(C732,TD!$B$32:$F$36,2,0)," ")</f>
        <v xml:space="preserve"> </v>
      </c>
      <c r="Q732" s="160" t="str">
        <f>IFERROR(VLOOKUP(C732,TD!$B$32:$F$36,3,0)," ")</f>
        <v xml:space="preserve"> </v>
      </c>
      <c r="R732" s="160" t="str">
        <f>IFERROR(VLOOKUP(C732,TD!$B$32:$F$36,4,0)," ")</f>
        <v xml:space="preserve"> </v>
      </c>
      <c r="S732" s="51"/>
      <c r="T732" s="160" t="str">
        <f>IFERROR(VLOOKUP(S732,TD!$J$33:$K$43,2,0)," ")</f>
        <v xml:space="preserve"> </v>
      </c>
      <c r="U732" s="161" t="str">
        <f>CONCATENATE(S732,"-",T732)</f>
        <v xml:space="preserve">- </v>
      </c>
      <c r="V732" s="51"/>
      <c r="W732" s="160" t="str">
        <f>IFERROR(VLOOKUP(V732,TD!$N$33:$O$45,2,0)," ")</f>
        <v xml:space="preserve"> </v>
      </c>
      <c r="X732" s="161" t="str">
        <f>CONCATENATE(V732,"_",W732)</f>
        <v xml:space="preserve">_ </v>
      </c>
      <c r="Y732" s="161" t="str">
        <f>CONCATENATE(U732," ",X732)</f>
        <v xml:space="preserve">-  _ </v>
      </c>
      <c r="Z732" s="160" t="str">
        <f>CONCATENATE(P732,Q732,R732,S732,V732)</f>
        <v xml:space="preserve">   </v>
      </c>
      <c r="AA732" s="160" t="str">
        <f>IFERROR(VLOOKUP(Y732,TD!$K$46:$L$64,2,0)," ")</f>
        <v xml:space="preserve"> </v>
      </c>
      <c r="AB732" s="53"/>
      <c r="AC732" s="162"/>
    </row>
    <row r="733" spans="2:29" s="28" customFormat="1" ht="99" customHeight="1" x14ac:dyDescent="0.35">
      <c r="B733" s="77"/>
      <c r="C733" s="50"/>
      <c r="D733" s="158"/>
      <c r="E733" s="51"/>
      <c r="F733" s="158"/>
      <c r="G733" s="158"/>
      <c r="H733" s="97"/>
      <c r="I733" s="159"/>
      <c r="J733" s="159"/>
      <c r="K733" s="52"/>
      <c r="L733" s="153"/>
      <c r="M733" s="158"/>
      <c r="N733" s="53"/>
      <c r="O733" s="51"/>
      <c r="P733" s="160" t="str">
        <f>IFERROR(VLOOKUP(C733,TD!$B$32:$F$36,2,0)," ")</f>
        <v xml:space="preserve"> </v>
      </c>
      <c r="Q733" s="160" t="str">
        <f>IFERROR(VLOOKUP(C733,TD!$B$32:$F$36,3,0)," ")</f>
        <v xml:space="preserve"> </v>
      </c>
      <c r="R733" s="160" t="str">
        <f>IFERROR(VLOOKUP(C733,TD!$B$32:$F$36,4,0)," ")</f>
        <v xml:space="preserve"> </v>
      </c>
      <c r="S733" s="51"/>
      <c r="T733" s="160" t="str">
        <f>IFERROR(VLOOKUP(S733,TD!$J$33:$K$43,2,0)," ")</f>
        <v xml:space="preserve"> </v>
      </c>
      <c r="U733" s="161" t="str">
        <f>CONCATENATE(S733,"-",T733)</f>
        <v xml:space="preserve">- </v>
      </c>
      <c r="V733" s="51"/>
      <c r="W733" s="160" t="str">
        <f>IFERROR(VLOOKUP(V733,TD!$N$33:$O$45,2,0)," ")</f>
        <v xml:space="preserve"> </v>
      </c>
      <c r="X733" s="161" t="str">
        <f>CONCATENATE(V733,"_",W733)</f>
        <v xml:space="preserve">_ </v>
      </c>
      <c r="Y733" s="161" t="str">
        <f>CONCATENATE(U733," ",X733)</f>
        <v xml:space="preserve">-  _ </v>
      </c>
      <c r="Z733" s="160" t="str">
        <f>CONCATENATE(P733,Q733,R733,S733,V733)</f>
        <v xml:space="preserve">   </v>
      </c>
      <c r="AA733" s="160" t="str">
        <f>IFERROR(VLOOKUP(Y733,TD!$K$46:$L$64,2,0)," ")</f>
        <v xml:space="preserve"> </v>
      </c>
      <c r="AB733" s="53"/>
      <c r="AC733" s="162"/>
    </row>
    <row r="734" spans="2:29" s="28" customFormat="1" ht="99" customHeight="1" x14ac:dyDescent="0.35">
      <c r="B734" s="77"/>
      <c r="C734" s="50"/>
      <c r="D734" s="158"/>
      <c r="E734" s="51"/>
      <c r="F734" s="158"/>
      <c r="G734" s="158"/>
      <c r="H734" s="97"/>
      <c r="I734" s="159"/>
      <c r="J734" s="159"/>
      <c r="K734" s="52"/>
      <c r="L734" s="153"/>
      <c r="M734" s="158"/>
      <c r="N734" s="53"/>
      <c r="O734" s="51"/>
      <c r="P734" s="160" t="str">
        <f>IFERROR(VLOOKUP(C734,TD!$B$32:$F$36,2,0)," ")</f>
        <v xml:space="preserve"> </v>
      </c>
      <c r="Q734" s="160" t="str">
        <f>IFERROR(VLOOKUP(C734,TD!$B$32:$F$36,3,0)," ")</f>
        <v xml:space="preserve"> </v>
      </c>
      <c r="R734" s="160" t="str">
        <f>IFERROR(VLOOKUP(C734,TD!$B$32:$F$36,4,0)," ")</f>
        <v xml:space="preserve"> </v>
      </c>
      <c r="S734" s="51"/>
      <c r="T734" s="160" t="str">
        <f>IFERROR(VLOOKUP(S734,TD!$J$33:$K$43,2,0)," ")</f>
        <v xml:space="preserve"> </v>
      </c>
      <c r="U734" s="161" t="str">
        <f>CONCATENATE(S734,"-",T734)</f>
        <v xml:space="preserve">- </v>
      </c>
      <c r="V734" s="51"/>
      <c r="W734" s="160" t="str">
        <f>IFERROR(VLOOKUP(V734,TD!$N$33:$O$45,2,0)," ")</f>
        <v xml:space="preserve"> </v>
      </c>
      <c r="X734" s="161" t="str">
        <f>CONCATENATE(V734,"_",W734)</f>
        <v xml:space="preserve">_ </v>
      </c>
      <c r="Y734" s="161" t="str">
        <f>CONCATENATE(U734," ",X734)</f>
        <v xml:space="preserve">-  _ </v>
      </c>
      <c r="Z734" s="160" t="str">
        <f>CONCATENATE(P734,Q734,R734,S734,V734)</f>
        <v xml:space="preserve">   </v>
      </c>
      <c r="AA734" s="160" t="str">
        <f>IFERROR(VLOOKUP(Y734,TD!$K$46:$L$64,2,0)," ")</f>
        <v xml:space="preserve"> </v>
      </c>
      <c r="AB734" s="53"/>
      <c r="AC734" s="162"/>
    </row>
    <row r="735" spans="2:29" s="28" customFormat="1" ht="99" customHeight="1" x14ac:dyDescent="0.35">
      <c r="B735" s="77"/>
      <c r="C735" s="50"/>
      <c r="D735" s="158"/>
      <c r="E735" s="51"/>
      <c r="F735" s="158"/>
      <c r="G735" s="158"/>
      <c r="H735" s="97"/>
      <c r="I735" s="159"/>
      <c r="J735" s="159"/>
      <c r="K735" s="52"/>
      <c r="L735" s="153"/>
      <c r="M735" s="158"/>
      <c r="N735" s="53"/>
      <c r="O735" s="51"/>
      <c r="P735" s="160" t="str">
        <f>IFERROR(VLOOKUP(C735,TD!$B$32:$F$36,2,0)," ")</f>
        <v xml:space="preserve"> </v>
      </c>
      <c r="Q735" s="160" t="str">
        <f>IFERROR(VLOOKUP(C735,TD!$B$32:$F$36,3,0)," ")</f>
        <v xml:space="preserve"> </v>
      </c>
      <c r="R735" s="160" t="str">
        <f>IFERROR(VLOOKUP(C735,TD!$B$32:$F$36,4,0)," ")</f>
        <v xml:space="preserve"> </v>
      </c>
      <c r="S735" s="51"/>
      <c r="T735" s="160" t="str">
        <f>IFERROR(VLOOKUP(S735,TD!$J$33:$K$43,2,0)," ")</f>
        <v xml:space="preserve"> </v>
      </c>
      <c r="U735" s="161" t="str">
        <f>CONCATENATE(S735,"-",T735)</f>
        <v xml:space="preserve">- </v>
      </c>
      <c r="V735" s="51"/>
      <c r="W735" s="160" t="str">
        <f>IFERROR(VLOOKUP(V735,TD!$N$33:$O$45,2,0)," ")</f>
        <v xml:space="preserve"> </v>
      </c>
      <c r="X735" s="161" t="str">
        <f>CONCATENATE(V735,"_",W735)</f>
        <v xml:space="preserve">_ </v>
      </c>
      <c r="Y735" s="161" t="str">
        <f>CONCATENATE(U735," ",X735)</f>
        <v xml:space="preserve">-  _ </v>
      </c>
      <c r="Z735" s="160" t="str">
        <f>CONCATENATE(P735,Q735,R735,S735,V735)</f>
        <v xml:space="preserve">   </v>
      </c>
      <c r="AA735" s="160" t="str">
        <f>IFERROR(VLOOKUP(Y735,TD!$K$46:$L$64,2,0)," ")</f>
        <v xml:space="preserve"> </v>
      </c>
      <c r="AB735" s="53"/>
      <c r="AC735" s="162"/>
    </row>
    <row r="736" spans="2:29" s="28" customFormat="1" ht="99" customHeight="1" x14ac:dyDescent="0.35">
      <c r="B736" s="77"/>
      <c r="C736" s="50"/>
      <c r="D736" s="158"/>
      <c r="E736" s="51"/>
      <c r="F736" s="158"/>
      <c r="G736" s="158"/>
      <c r="H736" s="97"/>
      <c r="I736" s="159"/>
      <c r="J736" s="159"/>
      <c r="K736" s="52"/>
      <c r="L736" s="153"/>
      <c r="M736" s="158"/>
      <c r="N736" s="53"/>
      <c r="O736" s="51"/>
      <c r="P736" s="160" t="str">
        <f>IFERROR(VLOOKUP(C736,TD!$B$32:$F$36,2,0)," ")</f>
        <v xml:space="preserve"> </v>
      </c>
      <c r="Q736" s="160" t="str">
        <f>IFERROR(VLOOKUP(C736,TD!$B$32:$F$36,3,0)," ")</f>
        <v xml:space="preserve"> </v>
      </c>
      <c r="R736" s="160" t="str">
        <f>IFERROR(VLOOKUP(C736,TD!$B$32:$F$36,4,0)," ")</f>
        <v xml:space="preserve"> </v>
      </c>
      <c r="S736" s="51"/>
      <c r="T736" s="160" t="str">
        <f>IFERROR(VLOOKUP(S736,TD!$J$33:$K$43,2,0)," ")</f>
        <v xml:space="preserve"> </v>
      </c>
      <c r="U736" s="161" t="str">
        <f>CONCATENATE(S736,"-",T736)</f>
        <v xml:space="preserve">- </v>
      </c>
      <c r="V736" s="51"/>
      <c r="W736" s="160" t="str">
        <f>IFERROR(VLOOKUP(V736,TD!$N$33:$O$45,2,0)," ")</f>
        <v xml:space="preserve"> </v>
      </c>
      <c r="X736" s="161" t="str">
        <f>CONCATENATE(V736,"_",W736)</f>
        <v xml:space="preserve">_ </v>
      </c>
      <c r="Y736" s="161" t="str">
        <f>CONCATENATE(U736," ",X736)</f>
        <v xml:space="preserve">-  _ </v>
      </c>
      <c r="Z736" s="160" t="str">
        <f>CONCATENATE(P736,Q736,R736,S736,V736)</f>
        <v xml:space="preserve">   </v>
      </c>
      <c r="AA736" s="160" t="str">
        <f>IFERROR(VLOOKUP(Y736,TD!$K$46:$L$64,2,0)," ")</f>
        <v xml:space="preserve"> </v>
      </c>
      <c r="AB736" s="53"/>
      <c r="AC736" s="162"/>
    </row>
    <row r="737" spans="2:29" s="28" customFormat="1" ht="99" customHeight="1" x14ac:dyDescent="0.35">
      <c r="B737" s="77"/>
      <c r="C737" s="50"/>
      <c r="D737" s="158"/>
      <c r="E737" s="51"/>
      <c r="F737" s="158"/>
      <c r="G737" s="158"/>
      <c r="H737" s="97"/>
      <c r="I737" s="159"/>
      <c r="J737" s="159"/>
      <c r="K737" s="52"/>
      <c r="L737" s="153"/>
      <c r="M737" s="158"/>
      <c r="N737" s="53"/>
      <c r="O737" s="51"/>
      <c r="P737" s="160" t="str">
        <f>IFERROR(VLOOKUP(C737,TD!$B$32:$F$36,2,0)," ")</f>
        <v xml:space="preserve"> </v>
      </c>
      <c r="Q737" s="160" t="str">
        <f>IFERROR(VLOOKUP(C737,TD!$B$32:$F$36,3,0)," ")</f>
        <v xml:space="preserve"> </v>
      </c>
      <c r="R737" s="160" t="str">
        <f>IFERROR(VLOOKUP(C737,TD!$B$32:$F$36,4,0)," ")</f>
        <v xml:space="preserve"> </v>
      </c>
      <c r="S737" s="51"/>
      <c r="T737" s="160" t="str">
        <f>IFERROR(VLOOKUP(S737,TD!$J$33:$K$43,2,0)," ")</f>
        <v xml:space="preserve"> </v>
      </c>
      <c r="U737" s="161" t="str">
        <f>CONCATENATE(S737,"-",T737)</f>
        <v xml:space="preserve">- </v>
      </c>
      <c r="V737" s="51"/>
      <c r="W737" s="160" t="str">
        <f>IFERROR(VLOOKUP(V737,TD!$N$33:$O$45,2,0)," ")</f>
        <v xml:space="preserve"> </v>
      </c>
      <c r="X737" s="161" t="str">
        <f>CONCATENATE(V737,"_",W737)</f>
        <v xml:space="preserve">_ </v>
      </c>
      <c r="Y737" s="161" t="str">
        <f>CONCATENATE(U737," ",X737)</f>
        <v xml:space="preserve">-  _ </v>
      </c>
      <c r="Z737" s="160" t="str">
        <f>CONCATENATE(P737,Q737,R737,S737,V737)</f>
        <v xml:space="preserve">   </v>
      </c>
      <c r="AA737" s="160" t="str">
        <f>IFERROR(VLOOKUP(Y737,TD!$K$46:$L$64,2,0)," ")</f>
        <v xml:space="preserve"> </v>
      </c>
      <c r="AB737" s="53"/>
      <c r="AC737" s="162"/>
    </row>
    <row r="738" spans="2:29" s="28" customFormat="1" ht="99" customHeight="1" x14ac:dyDescent="0.35">
      <c r="B738" s="77"/>
      <c r="C738" s="50"/>
      <c r="D738" s="158"/>
      <c r="E738" s="51"/>
      <c r="F738" s="158"/>
      <c r="G738" s="158"/>
      <c r="H738" s="97"/>
      <c r="I738" s="159"/>
      <c r="J738" s="159"/>
      <c r="K738" s="52"/>
      <c r="L738" s="153"/>
      <c r="M738" s="158"/>
      <c r="N738" s="53"/>
      <c r="O738" s="51"/>
      <c r="P738" s="160" t="str">
        <f>IFERROR(VLOOKUP(C738,TD!$B$32:$F$36,2,0)," ")</f>
        <v xml:space="preserve"> </v>
      </c>
      <c r="Q738" s="160" t="str">
        <f>IFERROR(VLOOKUP(C738,TD!$B$32:$F$36,3,0)," ")</f>
        <v xml:space="preserve"> </v>
      </c>
      <c r="R738" s="160" t="str">
        <f>IFERROR(VLOOKUP(C738,TD!$B$32:$F$36,4,0)," ")</f>
        <v xml:space="preserve"> </v>
      </c>
      <c r="S738" s="51"/>
      <c r="T738" s="160" t="str">
        <f>IFERROR(VLOOKUP(S738,TD!$J$33:$K$43,2,0)," ")</f>
        <v xml:space="preserve"> </v>
      </c>
      <c r="U738" s="161" t="str">
        <f>CONCATENATE(S738,"-",T738)</f>
        <v xml:space="preserve">- </v>
      </c>
      <c r="V738" s="51"/>
      <c r="W738" s="160" t="str">
        <f>IFERROR(VLOOKUP(V738,TD!$N$33:$O$45,2,0)," ")</f>
        <v xml:space="preserve"> </v>
      </c>
      <c r="X738" s="161" t="str">
        <f>CONCATENATE(V738,"_",W738)</f>
        <v xml:space="preserve">_ </v>
      </c>
      <c r="Y738" s="161" t="str">
        <f>CONCATENATE(U738," ",X738)</f>
        <v xml:space="preserve">-  _ </v>
      </c>
      <c r="Z738" s="160" t="str">
        <f>CONCATENATE(P738,Q738,R738,S738,V738)</f>
        <v xml:space="preserve">   </v>
      </c>
      <c r="AA738" s="160" t="str">
        <f>IFERROR(VLOOKUP(Y738,TD!$K$46:$L$64,2,0)," ")</f>
        <v xml:space="preserve"> </v>
      </c>
      <c r="AB738" s="53"/>
      <c r="AC738" s="162"/>
    </row>
    <row r="739" spans="2:29" s="28" customFormat="1" ht="99" customHeight="1" x14ac:dyDescent="0.35">
      <c r="B739" s="77"/>
      <c r="C739" s="50"/>
      <c r="D739" s="158"/>
      <c r="E739" s="51"/>
      <c r="F739" s="158"/>
      <c r="G739" s="158"/>
      <c r="H739" s="97"/>
      <c r="I739" s="159"/>
      <c r="J739" s="159"/>
      <c r="K739" s="52"/>
      <c r="L739" s="153"/>
      <c r="M739" s="158"/>
      <c r="N739" s="53"/>
      <c r="O739" s="51"/>
      <c r="P739" s="160" t="str">
        <f>IFERROR(VLOOKUP(C739,TD!$B$32:$F$36,2,0)," ")</f>
        <v xml:space="preserve"> </v>
      </c>
      <c r="Q739" s="160" t="str">
        <f>IFERROR(VLOOKUP(C739,TD!$B$32:$F$36,3,0)," ")</f>
        <v xml:space="preserve"> </v>
      </c>
      <c r="R739" s="160" t="str">
        <f>IFERROR(VLOOKUP(C739,TD!$B$32:$F$36,4,0)," ")</f>
        <v xml:space="preserve"> </v>
      </c>
      <c r="S739" s="51"/>
      <c r="T739" s="160" t="str">
        <f>IFERROR(VLOOKUP(S739,TD!$J$33:$K$43,2,0)," ")</f>
        <v xml:space="preserve"> </v>
      </c>
      <c r="U739" s="161" t="str">
        <f>CONCATENATE(S739,"-",T739)</f>
        <v xml:space="preserve">- </v>
      </c>
      <c r="V739" s="51"/>
      <c r="W739" s="160" t="str">
        <f>IFERROR(VLOOKUP(V739,TD!$N$33:$O$45,2,0)," ")</f>
        <v xml:space="preserve"> </v>
      </c>
      <c r="X739" s="161" t="str">
        <f>CONCATENATE(V739,"_",W739)</f>
        <v xml:space="preserve">_ </v>
      </c>
      <c r="Y739" s="161" t="str">
        <f>CONCATENATE(U739," ",X739)</f>
        <v xml:space="preserve">-  _ </v>
      </c>
      <c r="Z739" s="160" t="str">
        <f>CONCATENATE(P739,Q739,R739,S739,V739)</f>
        <v xml:space="preserve">   </v>
      </c>
      <c r="AA739" s="160" t="str">
        <f>IFERROR(VLOOKUP(Y739,TD!$K$46:$L$64,2,0)," ")</f>
        <v xml:space="preserve"> </v>
      </c>
      <c r="AB739" s="53"/>
      <c r="AC739" s="162"/>
    </row>
    <row r="740" spans="2:29" s="28" customFormat="1" ht="99" customHeight="1" x14ac:dyDescent="0.35">
      <c r="B740" s="77"/>
      <c r="C740" s="50"/>
      <c r="D740" s="158"/>
      <c r="E740" s="51"/>
      <c r="F740" s="158"/>
      <c r="G740" s="158"/>
      <c r="H740" s="97"/>
      <c r="I740" s="159"/>
      <c r="J740" s="159"/>
      <c r="K740" s="52"/>
      <c r="L740" s="153"/>
      <c r="M740" s="158"/>
      <c r="N740" s="53"/>
      <c r="O740" s="51"/>
      <c r="P740" s="160" t="str">
        <f>IFERROR(VLOOKUP(C740,TD!$B$32:$F$36,2,0)," ")</f>
        <v xml:space="preserve"> </v>
      </c>
      <c r="Q740" s="160" t="str">
        <f>IFERROR(VLOOKUP(C740,TD!$B$32:$F$36,3,0)," ")</f>
        <v xml:space="preserve"> </v>
      </c>
      <c r="R740" s="160" t="str">
        <f>IFERROR(VLOOKUP(C740,TD!$B$32:$F$36,4,0)," ")</f>
        <v xml:space="preserve"> </v>
      </c>
      <c r="S740" s="51"/>
      <c r="T740" s="160" t="str">
        <f>IFERROR(VLOOKUP(S740,TD!$J$33:$K$43,2,0)," ")</f>
        <v xml:space="preserve"> </v>
      </c>
      <c r="U740" s="161" t="str">
        <f>CONCATENATE(S740,"-",T740)</f>
        <v xml:space="preserve">- </v>
      </c>
      <c r="V740" s="51"/>
      <c r="W740" s="160" t="str">
        <f>IFERROR(VLOOKUP(V740,TD!$N$33:$O$45,2,0)," ")</f>
        <v xml:space="preserve"> </v>
      </c>
      <c r="X740" s="161" t="str">
        <f>CONCATENATE(V740,"_",W740)</f>
        <v xml:space="preserve">_ </v>
      </c>
      <c r="Y740" s="161" t="str">
        <f>CONCATENATE(U740," ",X740)</f>
        <v xml:space="preserve">-  _ </v>
      </c>
      <c r="Z740" s="160" t="str">
        <f>CONCATENATE(P740,Q740,R740,S740,V740)</f>
        <v xml:space="preserve">   </v>
      </c>
      <c r="AA740" s="160" t="str">
        <f>IFERROR(VLOOKUP(Y740,TD!$K$46:$L$64,2,0)," ")</f>
        <v xml:space="preserve"> </v>
      </c>
      <c r="AB740" s="53"/>
      <c r="AC740" s="162"/>
    </row>
    <row r="741" spans="2:29" s="28" customFormat="1" ht="99" customHeight="1" x14ac:dyDescent="0.35">
      <c r="B741" s="77"/>
      <c r="C741" s="50"/>
      <c r="D741" s="158"/>
      <c r="E741" s="51"/>
      <c r="F741" s="158"/>
      <c r="G741" s="158"/>
      <c r="H741" s="97"/>
      <c r="I741" s="159"/>
      <c r="J741" s="159"/>
      <c r="K741" s="52"/>
      <c r="L741" s="153"/>
      <c r="M741" s="158"/>
      <c r="N741" s="53"/>
      <c r="O741" s="51"/>
      <c r="P741" s="160" t="str">
        <f>IFERROR(VLOOKUP(C741,TD!$B$32:$F$36,2,0)," ")</f>
        <v xml:space="preserve"> </v>
      </c>
      <c r="Q741" s="160" t="str">
        <f>IFERROR(VLOOKUP(C741,TD!$B$32:$F$36,3,0)," ")</f>
        <v xml:space="preserve"> </v>
      </c>
      <c r="R741" s="160" t="str">
        <f>IFERROR(VLOOKUP(C741,TD!$B$32:$F$36,4,0)," ")</f>
        <v xml:space="preserve"> </v>
      </c>
      <c r="S741" s="51"/>
      <c r="T741" s="160" t="str">
        <f>IFERROR(VLOOKUP(S741,TD!$J$33:$K$43,2,0)," ")</f>
        <v xml:space="preserve"> </v>
      </c>
      <c r="U741" s="161" t="str">
        <f>CONCATENATE(S741,"-",T741)</f>
        <v xml:space="preserve">- </v>
      </c>
      <c r="V741" s="51"/>
      <c r="W741" s="160" t="str">
        <f>IFERROR(VLOOKUP(V741,TD!$N$33:$O$45,2,0)," ")</f>
        <v xml:space="preserve"> </v>
      </c>
      <c r="X741" s="161" t="str">
        <f>CONCATENATE(V741,"_",W741)</f>
        <v xml:space="preserve">_ </v>
      </c>
      <c r="Y741" s="161" t="str">
        <f>CONCATENATE(U741," ",X741)</f>
        <v xml:space="preserve">-  _ </v>
      </c>
      <c r="Z741" s="160" t="str">
        <f>CONCATENATE(P741,Q741,R741,S741,V741)</f>
        <v xml:space="preserve">   </v>
      </c>
      <c r="AA741" s="160" t="str">
        <f>IFERROR(VLOOKUP(Y741,TD!$K$46:$L$64,2,0)," ")</f>
        <v xml:space="preserve"> </v>
      </c>
      <c r="AB741" s="53"/>
      <c r="AC741" s="162"/>
    </row>
    <row r="742" spans="2:29" s="28" customFormat="1" ht="99" customHeight="1" x14ac:dyDescent="0.35">
      <c r="B742" s="77"/>
      <c r="C742" s="50"/>
      <c r="D742" s="158"/>
      <c r="E742" s="51"/>
      <c r="F742" s="158"/>
      <c r="G742" s="158"/>
      <c r="H742" s="97"/>
      <c r="I742" s="159"/>
      <c r="J742" s="159"/>
      <c r="K742" s="52"/>
      <c r="L742" s="153"/>
      <c r="M742" s="158"/>
      <c r="N742" s="53"/>
      <c r="O742" s="51"/>
      <c r="P742" s="160" t="str">
        <f>IFERROR(VLOOKUP(C742,TD!$B$32:$F$36,2,0)," ")</f>
        <v xml:space="preserve"> </v>
      </c>
      <c r="Q742" s="160" t="str">
        <f>IFERROR(VLOOKUP(C742,TD!$B$32:$F$36,3,0)," ")</f>
        <v xml:space="preserve"> </v>
      </c>
      <c r="R742" s="160" t="str">
        <f>IFERROR(VLOOKUP(C742,TD!$B$32:$F$36,4,0)," ")</f>
        <v xml:space="preserve"> </v>
      </c>
      <c r="S742" s="51"/>
      <c r="T742" s="160" t="str">
        <f>IFERROR(VLOOKUP(S742,TD!$J$33:$K$43,2,0)," ")</f>
        <v xml:space="preserve"> </v>
      </c>
      <c r="U742" s="161" t="str">
        <f>CONCATENATE(S742,"-",T742)</f>
        <v xml:space="preserve">- </v>
      </c>
      <c r="V742" s="51"/>
      <c r="W742" s="160" t="str">
        <f>IFERROR(VLOOKUP(V742,TD!$N$33:$O$45,2,0)," ")</f>
        <v xml:space="preserve"> </v>
      </c>
      <c r="X742" s="161" t="str">
        <f>CONCATENATE(V742,"_",W742)</f>
        <v xml:space="preserve">_ </v>
      </c>
      <c r="Y742" s="161" t="str">
        <f>CONCATENATE(U742," ",X742)</f>
        <v xml:space="preserve">-  _ </v>
      </c>
      <c r="Z742" s="160" t="str">
        <f>CONCATENATE(P742,Q742,R742,S742,V742)</f>
        <v xml:space="preserve">   </v>
      </c>
      <c r="AA742" s="160" t="str">
        <f>IFERROR(VLOOKUP(Y742,TD!$K$46:$L$64,2,0)," ")</f>
        <v xml:space="preserve"> </v>
      </c>
      <c r="AB742" s="53"/>
      <c r="AC742" s="162"/>
    </row>
    <row r="743" spans="2:29" s="28" customFormat="1" ht="99" customHeight="1" x14ac:dyDescent="0.35">
      <c r="B743" s="77"/>
      <c r="C743" s="50"/>
      <c r="D743" s="158"/>
      <c r="E743" s="51"/>
      <c r="F743" s="158"/>
      <c r="G743" s="158"/>
      <c r="H743" s="97"/>
      <c r="I743" s="159"/>
      <c r="J743" s="159"/>
      <c r="K743" s="52"/>
      <c r="L743" s="153"/>
      <c r="M743" s="158"/>
      <c r="N743" s="53"/>
      <c r="O743" s="51"/>
      <c r="P743" s="160" t="str">
        <f>IFERROR(VLOOKUP(C743,TD!$B$32:$F$36,2,0)," ")</f>
        <v xml:space="preserve"> </v>
      </c>
      <c r="Q743" s="160" t="str">
        <f>IFERROR(VLOOKUP(C743,TD!$B$32:$F$36,3,0)," ")</f>
        <v xml:space="preserve"> </v>
      </c>
      <c r="R743" s="160" t="str">
        <f>IFERROR(VLOOKUP(C743,TD!$B$32:$F$36,4,0)," ")</f>
        <v xml:space="preserve"> </v>
      </c>
      <c r="S743" s="51"/>
      <c r="T743" s="160" t="str">
        <f>IFERROR(VLOOKUP(S743,TD!$J$33:$K$43,2,0)," ")</f>
        <v xml:space="preserve"> </v>
      </c>
      <c r="U743" s="161" t="str">
        <f>CONCATENATE(S743,"-",T743)</f>
        <v xml:space="preserve">- </v>
      </c>
      <c r="V743" s="51"/>
      <c r="W743" s="160" t="str">
        <f>IFERROR(VLOOKUP(V743,TD!$N$33:$O$45,2,0)," ")</f>
        <v xml:space="preserve"> </v>
      </c>
      <c r="X743" s="161" t="str">
        <f>CONCATENATE(V743,"_",W743)</f>
        <v xml:space="preserve">_ </v>
      </c>
      <c r="Y743" s="161" t="str">
        <f>CONCATENATE(U743," ",X743)</f>
        <v xml:space="preserve">-  _ </v>
      </c>
      <c r="Z743" s="160" t="str">
        <f>CONCATENATE(P743,Q743,R743,S743,V743)</f>
        <v xml:space="preserve">   </v>
      </c>
      <c r="AA743" s="160" t="str">
        <f>IFERROR(VLOOKUP(Y743,TD!$K$46:$L$64,2,0)," ")</f>
        <v xml:space="preserve"> </v>
      </c>
      <c r="AB743" s="53"/>
      <c r="AC743" s="162"/>
    </row>
    <row r="744" spans="2:29" s="28" customFormat="1" ht="99" customHeight="1" x14ac:dyDescent="0.35">
      <c r="B744" s="77"/>
      <c r="C744" s="50"/>
      <c r="D744" s="158"/>
      <c r="E744" s="51"/>
      <c r="F744" s="158"/>
      <c r="G744" s="158"/>
      <c r="H744" s="97"/>
      <c r="I744" s="159"/>
      <c r="J744" s="159"/>
      <c r="K744" s="52"/>
      <c r="L744" s="153"/>
      <c r="M744" s="158"/>
      <c r="N744" s="53"/>
      <c r="O744" s="51"/>
      <c r="P744" s="160" t="str">
        <f>IFERROR(VLOOKUP(C744,TD!$B$32:$F$36,2,0)," ")</f>
        <v xml:space="preserve"> </v>
      </c>
      <c r="Q744" s="160" t="str">
        <f>IFERROR(VLOOKUP(C744,TD!$B$32:$F$36,3,0)," ")</f>
        <v xml:space="preserve"> </v>
      </c>
      <c r="R744" s="160" t="str">
        <f>IFERROR(VLOOKUP(C744,TD!$B$32:$F$36,4,0)," ")</f>
        <v xml:space="preserve"> </v>
      </c>
      <c r="S744" s="51"/>
      <c r="T744" s="160" t="str">
        <f>IFERROR(VLOOKUP(S744,TD!$J$33:$K$43,2,0)," ")</f>
        <v xml:space="preserve"> </v>
      </c>
      <c r="U744" s="161" t="str">
        <f>CONCATENATE(S744,"-",T744)</f>
        <v xml:space="preserve">- </v>
      </c>
      <c r="V744" s="51"/>
      <c r="W744" s="160" t="str">
        <f>IFERROR(VLOOKUP(V744,TD!$N$33:$O$45,2,0)," ")</f>
        <v xml:space="preserve"> </v>
      </c>
      <c r="X744" s="161" t="str">
        <f>CONCATENATE(V744,"_",W744)</f>
        <v xml:space="preserve">_ </v>
      </c>
      <c r="Y744" s="161" t="str">
        <f>CONCATENATE(U744," ",X744)</f>
        <v xml:space="preserve">-  _ </v>
      </c>
      <c r="Z744" s="160" t="str">
        <f>CONCATENATE(P744,Q744,R744,S744,V744)</f>
        <v xml:space="preserve">   </v>
      </c>
      <c r="AA744" s="160" t="str">
        <f>IFERROR(VLOOKUP(Y744,TD!$K$46:$L$64,2,0)," ")</f>
        <v xml:space="preserve"> </v>
      </c>
      <c r="AB744" s="53"/>
      <c r="AC744" s="162"/>
    </row>
    <row r="745" spans="2:29" s="28" customFormat="1" ht="99" customHeight="1" x14ac:dyDescent="0.35">
      <c r="B745" s="77"/>
      <c r="C745" s="50"/>
      <c r="D745" s="158"/>
      <c r="E745" s="51"/>
      <c r="F745" s="158"/>
      <c r="G745" s="158"/>
      <c r="H745" s="97"/>
      <c r="I745" s="159"/>
      <c r="J745" s="159"/>
      <c r="K745" s="52"/>
      <c r="L745" s="153"/>
      <c r="M745" s="158"/>
      <c r="N745" s="53"/>
      <c r="O745" s="51"/>
      <c r="P745" s="160" t="str">
        <f>IFERROR(VLOOKUP(C745,TD!$B$32:$F$36,2,0)," ")</f>
        <v xml:space="preserve"> </v>
      </c>
      <c r="Q745" s="160" t="str">
        <f>IFERROR(VLOOKUP(C745,TD!$B$32:$F$36,3,0)," ")</f>
        <v xml:space="preserve"> </v>
      </c>
      <c r="R745" s="160" t="str">
        <f>IFERROR(VLOOKUP(C745,TD!$B$32:$F$36,4,0)," ")</f>
        <v xml:space="preserve"> </v>
      </c>
      <c r="S745" s="51"/>
      <c r="T745" s="160" t="str">
        <f>IFERROR(VLOOKUP(S745,TD!$J$33:$K$43,2,0)," ")</f>
        <v xml:space="preserve"> </v>
      </c>
      <c r="U745" s="161" t="str">
        <f>CONCATENATE(S745,"-",T745)</f>
        <v xml:space="preserve">- </v>
      </c>
      <c r="V745" s="51"/>
      <c r="W745" s="160" t="str">
        <f>IFERROR(VLOOKUP(V745,TD!$N$33:$O$45,2,0)," ")</f>
        <v xml:space="preserve"> </v>
      </c>
      <c r="X745" s="161" t="str">
        <f>CONCATENATE(V745,"_",W745)</f>
        <v xml:space="preserve">_ </v>
      </c>
      <c r="Y745" s="161" t="str">
        <f>CONCATENATE(U745," ",X745)</f>
        <v xml:space="preserve">-  _ </v>
      </c>
      <c r="Z745" s="160" t="str">
        <f>CONCATENATE(P745,Q745,R745,S745,V745)</f>
        <v xml:space="preserve">   </v>
      </c>
      <c r="AA745" s="160" t="str">
        <f>IFERROR(VLOOKUP(Y745,TD!$K$46:$L$64,2,0)," ")</f>
        <v xml:space="preserve"> </v>
      </c>
      <c r="AB745" s="53"/>
      <c r="AC745" s="162"/>
    </row>
    <row r="746" spans="2:29" s="28" customFormat="1" ht="99" customHeight="1" x14ac:dyDescent="0.35">
      <c r="B746" s="77"/>
      <c r="C746" s="50"/>
      <c r="D746" s="158"/>
      <c r="E746" s="51"/>
      <c r="F746" s="158"/>
      <c r="G746" s="158"/>
      <c r="H746" s="97"/>
      <c r="I746" s="159"/>
      <c r="J746" s="159"/>
      <c r="K746" s="52"/>
      <c r="L746" s="153"/>
      <c r="M746" s="158"/>
      <c r="N746" s="53"/>
      <c r="O746" s="51"/>
      <c r="P746" s="160" t="str">
        <f>IFERROR(VLOOKUP(C746,TD!$B$32:$F$36,2,0)," ")</f>
        <v xml:space="preserve"> </v>
      </c>
      <c r="Q746" s="160" t="str">
        <f>IFERROR(VLOOKUP(C746,TD!$B$32:$F$36,3,0)," ")</f>
        <v xml:space="preserve"> </v>
      </c>
      <c r="R746" s="160" t="str">
        <f>IFERROR(VLOOKUP(C746,TD!$B$32:$F$36,4,0)," ")</f>
        <v xml:space="preserve"> </v>
      </c>
      <c r="S746" s="51"/>
      <c r="T746" s="160" t="str">
        <f>IFERROR(VLOOKUP(S746,TD!$J$33:$K$43,2,0)," ")</f>
        <v xml:space="preserve"> </v>
      </c>
      <c r="U746" s="161" t="str">
        <f>CONCATENATE(S746,"-",T746)</f>
        <v xml:space="preserve">- </v>
      </c>
      <c r="V746" s="51"/>
      <c r="W746" s="160" t="str">
        <f>IFERROR(VLOOKUP(V746,TD!$N$33:$O$45,2,0)," ")</f>
        <v xml:space="preserve"> </v>
      </c>
      <c r="X746" s="161" t="str">
        <f>CONCATENATE(V746,"_",W746)</f>
        <v xml:space="preserve">_ </v>
      </c>
      <c r="Y746" s="161" t="str">
        <f>CONCATENATE(U746," ",X746)</f>
        <v xml:space="preserve">-  _ </v>
      </c>
      <c r="Z746" s="160" t="str">
        <f>CONCATENATE(P746,Q746,R746,S746,V746)</f>
        <v xml:space="preserve">   </v>
      </c>
      <c r="AA746" s="160" t="str">
        <f>IFERROR(VLOOKUP(Y746,TD!$K$46:$L$64,2,0)," ")</f>
        <v xml:space="preserve"> </v>
      </c>
      <c r="AB746" s="53"/>
      <c r="AC746" s="162"/>
    </row>
    <row r="747" spans="2:29" s="28" customFormat="1" ht="99" customHeight="1" x14ac:dyDescent="0.35">
      <c r="B747" s="77"/>
      <c r="C747" s="50"/>
      <c r="D747" s="158"/>
      <c r="E747" s="51"/>
      <c r="F747" s="158"/>
      <c r="G747" s="158"/>
      <c r="H747" s="97"/>
      <c r="I747" s="159"/>
      <c r="J747" s="159"/>
      <c r="K747" s="52"/>
      <c r="L747" s="153"/>
      <c r="M747" s="158"/>
      <c r="N747" s="53"/>
      <c r="O747" s="51"/>
      <c r="P747" s="160" t="str">
        <f>IFERROR(VLOOKUP(C747,TD!$B$32:$F$36,2,0)," ")</f>
        <v xml:space="preserve"> </v>
      </c>
      <c r="Q747" s="160" t="str">
        <f>IFERROR(VLOOKUP(C747,TD!$B$32:$F$36,3,0)," ")</f>
        <v xml:space="preserve"> </v>
      </c>
      <c r="R747" s="160" t="str">
        <f>IFERROR(VLOOKUP(C747,TD!$B$32:$F$36,4,0)," ")</f>
        <v xml:space="preserve"> </v>
      </c>
      <c r="S747" s="51"/>
      <c r="T747" s="160" t="str">
        <f>IFERROR(VLOOKUP(S747,TD!$J$33:$K$43,2,0)," ")</f>
        <v xml:space="preserve"> </v>
      </c>
      <c r="U747" s="161" t="str">
        <f>CONCATENATE(S747,"-",T747)</f>
        <v xml:space="preserve">- </v>
      </c>
      <c r="V747" s="51"/>
      <c r="W747" s="160" t="str">
        <f>IFERROR(VLOOKUP(V747,TD!$N$33:$O$45,2,0)," ")</f>
        <v xml:space="preserve"> </v>
      </c>
      <c r="X747" s="161" t="str">
        <f>CONCATENATE(V747,"_",W747)</f>
        <v xml:space="preserve">_ </v>
      </c>
      <c r="Y747" s="161" t="str">
        <f>CONCATENATE(U747," ",X747)</f>
        <v xml:space="preserve">-  _ </v>
      </c>
      <c r="Z747" s="160" t="str">
        <f>CONCATENATE(P747,Q747,R747,S747,V747)</f>
        <v xml:space="preserve">   </v>
      </c>
      <c r="AA747" s="160" t="str">
        <f>IFERROR(VLOOKUP(Y747,TD!$K$46:$L$64,2,0)," ")</f>
        <v xml:space="preserve"> </v>
      </c>
      <c r="AB747" s="53"/>
      <c r="AC747" s="162"/>
    </row>
    <row r="748" spans="2:29" s="28" customFormat="1" ht="99" customHeight="1" x14ac:dyDescent="0.35">
      <c r="B748" s="77"/>
      <c r="C748" s="50"/>
      <c r="D748" s="158"/>
      <c r="E748" s="51"/>
      <c r="F748" s="158"/>
      <c r="G748" s="158"/>
      <c r="H748" s="97"/>
      <c r="I748" s="159"/>
      <c r="J748" s="159"/>
      <c r="K748" s="52"/>
      <c r="L748" s="153"/>
      <c r="M748" s="158"/>
      <c r="N748" s="53"/>
      <c r="O748" s="51"/>
      <c r="P748" s="160" t="str">
        <f>IFERROR(VLOOKUP(C748,TD!$B$32:$F$36,2,0)," ")</f>
        <v xml:space="preserve"> </v>
      </c>
      <c r="Q748" s="160" t="str">
        <f>IFERROR(VLOOKUP(C748,TD!$B$32:$F$36,3,0)," ")</f>
        <v xml:space="preserve"> </v>
      </c>
      <c r="R748" s="160" t="str">
        <f>IFERROR(VLOOKUP(C748,TD!$B$32:$F$36,4,0)," ")</f>
        <v xml:space="preserve"> </v>
      </c>
      <c r="S748" s="51"/>
      <c r="T748" s="160" t="str">
        <f>IFERROR(VLOOKUP(S748,TD!$J$33:$K$43,2,0)," ")</f>
        <v xml:space="preserve"> </v>
      </c>
      <c r="U748" s="161" t="str">
        <f>CONCATENATE(S748,"-",T748)</f>
        <v xml:space="preserve">- </v>
      </c>
      <c r="V748" s="51"/>
      <c r="W748" s="160" t="str">
        <f>IFERROR(VLOOKUP(V748,TD!$N$33:$O$45,2,0)," ")</f>
        <v xml:space="preserve"> </v>
      </c>
      <c r="X748" s="161" t="str">
        <f>CONCATENATE(V748,"_",W748)</f>
        <v xml:space="preserve">_ </v>
      </c>
      <c r="Y748" s="161" t="str">
        <f>CONCATENATE(U748," ",X748)</f>
        <v xml:space="preserve">-  _ </v>
      </c>
      <c r="Z748" s="160" t="str">
        <f>CONCATENATE(P748,Q748,R748,S748,V748)</f>
        <v xml:space="preserve">   </v>
      </c>
      <c r="AA748" s="160" t="str">
        <f>IFERROR(VLOOKUP(Y748,TD!$K$46:$L$64,2,0)," ")</f>
        <v xml:space="preserve"> </v>
      </c>
      <c r="AB748" s="53"/>
      <c r="AC748" s="162"/>
    </row>
    <row r="749" spans="2:29" s="28" customFormat="1" ht="99" customHeight="1" x14ac:dyDescent="0.35">
      <c r="B749" s="77"/>
      <c r="C749" s="50"/>
      <c r="D749" s="158"/>
      <c r="E749" s="51"/>
      <c r="F749" s="158"/>
      <c r="G749" s="158"/>
      <c r="H749" s="97"/>
      <c r="I749" s="159"/>
      <c r="J749" s="159"/>
      <c r="K749" s="52"/>
      <c r="L749" s="153"/>
      <c r="M749" s="158"/>
      <c r="N749" s="53"/>
      <c r="O749" s="51"/>
      <c r="P749" s="160" t="str">
        <f>IFERROR(VLOOKUP(C749,TD!$B$32:$F$36,2,0)," ")</f>
        <v xml:space="preserve"> </v>
      </c>
      <c r="Q749" s="160" t="str">
        <f>IFERROR(VLOOKUP(C749,TD!$B$32:$F$36,3,0)," ")</f>
        <v xml:space="preserve"> </v>
      </c>
      <c r="R749" s="160" t="str">
        <f>IFERROR(VLOOKUP(C749,TD!$B$32:$F$36,4,0)," ")</f>
        <v xml:space="preserve"> </v>
      </c>
      <c r="S749" s="51"/>
      <c r="T749" s="160" t="str">
        <f>IFERROR(VLOOKUP(S749,TD!$J$33:$K$43,2,0)," ")</f>
        <v xml:space="preserve"> </v>
      </c>
      <c r="U749" s="161" t="str">
        <f>CONCATENATE(S749,"-",T749)</f>
        <v xml:space="preserve">- </v>
      </c>
      <c r="V749" s="51"/>
      <c r="W749" s="160" t="str">
        <f>IFERROR(VLOOKUP(V749,TD!$N$33:$O$45,2,0)," ")</f>
        <v xml:space="preserve"> </v>
      </c>
      <c r="X749" s="161" t="str">
        <f>CONCATENATE(V749,"_",W749)</f>
        <v xml:space="preserve">_ </v>
      </c>
      <c r="Y749" s="161" t="str">
        <f>CONCATENATE(U749," ",X749)</f>
        <v xml:space="preserve">-  _ </v>
      </c>
      <c r="Z749" s="160" t="str">
        <f>CONCATENATE(P749,Q749,R749,S749,V749)</f>
        <v xml:space="preserve">   </v>
      </c>
      <c r="AA749" s="160" t="str">
        <f>IFERROR(VLOOKUP(Y749,TD!$K$46:$L$64,2,0)," ")</f>
        <v xml:space="preserve"> </v>
      </c>
      <c r="AB749" s="53"/>
      <c r="AC749" s="162"/>
    </row>
    <row r="750" spans="2:29" s="28" customFormat="1" ht="99" customHeight="1" x14ac:dyDescent="0.35">
      <c r="B750" s="77"/>
      <c r="C750" s="50"/>
      <c r="D750" s="158"/>
      <c r="E750" s="51"/>
      <c r="F750" s="158"/>
      <c r="G750" s="158"/>
      <c r="H750" s="97"/>
      <c r="I750" s="159"/>
      <c r="J750" s="159"/>
      <c r="K750" s="52"/>
      <c r="L750" s="153"/>
      <c r="M750" s="158"/>
      <c r="N750" s="53"/>
      <c r="O750" s="51"/>
      <c r="P750" s="160" t="str">
        <f>IFERROR(VLOOKUP(C750,TD!$B$32:$F$36,2,0)," ")</f>
        <v xml:space="preserve"> </v>
      </c>
      <c r="Q750" s="160" t="str">
        <f>IFERROR(VLOOKUP(C750,TD!$B$32:$F$36,3,0)," ")</f>
        <v xml:space="preserve"> </v>
      </c>
      <c r="R750" s="160" t="str">
        <f>IFERROR(VLOOKUP(C750,TD!$B$32:$F$36,4,0)," ")</f>
        <v xml:space="preserve"> </v>
      </c>
      <c r="S750" s="51"/>
      <c r="T750" s="160" t="str">
        <f>IFERROR(VLOOKUP(S750,TD!$J$33:$K$43,2,0)," ")</f>
        <v xml:space="preserve"> </v>
      </c>
      <c r="U750" s="161" t="str">
        <f>CONCATENATE(S750,"-",T750)</f>
        <v xml:space="preserve">- </v>
      </c>
      <c r="V750" s="51"/>
      <c r="W750" s="160" t="str">
        <f>IFERROR(VLOOKUP(V750,TD!$N$33:$O$45,2,0)," ")</f>
        <v xml:space="preserve"> </v>
      </c>
      <c r="X750" s="161" t="str">
        <f>CONCATENATE(V750,"_",W750)</f>
        <v xml:space="preserve">_ </v>
      </c>
      <c r="Y750" s="161" t="str">
        <f>CONCATENATE(U750," ",X750)</f>
        <v xml:space="preserve">-  _ </v>
      </c>
      <c r="Z750" s="160" t="str">
        <f>CONCATENATE(P750,Q750,R750,S750,V750)</f>
        <v xml:space="preserve">   </v>
      </c>
      <c r="AA750" s="160" t="str">
        <f>IFERROR(VLOOKUP(Y750,TD!$K$46:$L$64,2,0)," ")</f>
        <v xml:space="preserve"> </v>
      </c>
      <c r="AB750" s="53"/>
      <c r="AC750" s="162"/>
    </row>
    <row r="751" spans="2:29" s="28" customFormat="1" ht="99" customHeight="1" x14ac:dyDescent="0.35">
      <c r="B751" s="77"/>
      <c r="C751" s="50"/>
      <c r="D751" s="158"/>
      <c r="E751" s="51"/>
      <c r="F751" s="158"/>
      <c r="G751" s="158"/>
      <c r="H751" s="97"/>
      <c r="I751" s="159"/>
      <c r="J751" s="159"/>
      <c r="K751" s="52"/>
      <c r="L751" s="153"/>
      <c r="M751" s="158"/>
      <c r="N751" s="53"/>
      <c r="O751" s="51"/>
      <c r="P751" s="160" t="str">
        <f>IFERROR(VLOOKUP(C751,TD!$B$32:$F$36,2,0)," ")</f>
        <v xml:space="preserve"> </v>
      </c>
      <c r="Q751" s="160" t="str">
        <f>IFERROR(VLOOKUP(C751,TD!$B$32:$F$36,3,0)," ")</f>
        <v xml:space="preserve"> </v>
      </c>
      <c r="R751" s="160" t="str">
        <f>IFERROR(VLOOKUP(C751,TD!$B$32:$F$36,4,0)," ")</f>
        <v xml:space="preserve"> </v>
      </c>
      <c r="S751" s="51"/>
      <c r="T751" s="160" t="str">
        <f>IFERROR(VLOOKUP(S751,TD!$J$33:$K$43,2,0)," ")</f>
        <v xml:space="preserve"> </v>
      </c>
      <c r="U751" s="161" t="str">
        <f>CONCATENATE(S751,"-",T751)</f>
        <v xml:space="preserve">- </v>
      </c>
      <c r="V751" s="51"/>
      <c r="W751" s="160" t="str">
        <f>IFERROR(VLOOKUP(V751,TD!$N$33:$O$45,2,0)," ")</f>
        <v xml:space="preserve"> </v>
      </c>
      <c r="X751" s="161" t="str">
        <f>CONCATENATE(V751,"_",W751)</f>
        <v xml:space="preserve">_ </v>
      </c>
      <c r="Y751" s="161" t="str">
        <f>CONCATENATE(U751," ",X751)</f>
        <v xml:space="preserve">-  _ </v>
      </c>
      <c r="Z751" s="160" t="str">
        <f>CONCATENATE(P751,Q751,R751,S751,V751)</f>
        <v xml:space="preserve">   </v>
      </c>
      <c r="AA751" s="160" t="str">
        <f>IFERROR(VLOOKUP(Y751,TD!$K$46:$L$64,2,0)," ")</f>
        <v xml:space="preserve"> </v>
      </c>
      <c r="AB751" s="53"/>
      <c r="AC751" s="162"/>
    </row>
    <row r="752" spans="2:29" s="28" customFormat="1" ht="99" customHeight="1" x14ac:dyDescent="0.35">
      <c r="B752" s="77"/>
      <c r="C752" s="50"/>
      <c r="D752" s="158"/>
      <c r="E752" s="51"/>
      <c r="F752" s="158"/>
      <c r="G752" s="158"/>
      <c r="H752" s="97"/>
      <c r="I752" s="159"/>
      <c r="J752" s="159"/>
      <c r="K752" s="52"/>
      <c r="L752" s="153"/>
      <c r="M752" s="158"/>
      <c r="N752" s="53"/>
      <c r="O752" s="51"/>
      <c r="P752" s="160" t="str">
        <f>IFERROR(VLOOKUP(C752,TD!$B$32:$F$36,2,0)," ")</f>
        <v xml:space="preserve"> </v>
      </c>
      <c r="Q752" s="160" t="str">
        <f>IFERROR(VLOOKUP(C752,TD!$B$32:$F$36,3,0)," ")</f>
        <v xml:space="preserve"> </v>
      </c>
      <c r="R752" s="160" t="str">
        <f>IFERROR(VLOOKUP(C752,TD!$B$32:$F$36,4,0)," ")</f>
        <v xml:space="preserve"> </v>
      </c>
      <c r="S752" s="51"/>
      <c r="T752" s="160" t="str">
        <f>IFERROR(VLOOKUP(S752,TD!$J$33:$K$43,2,0)," ")</f>
        <v xml:space="preserve"> </v>
      </c>
      <c r="U752" s="161" t="str">
        <f>CONCATENATE(S752,"-",T752)</f>
        <v xml:space="preserve">- </v>
      </c>
      <c r="V752" s="51"/>
      <c r="W752" s="160" t="str">
        <f>IFERROR(VLOOKUP(V752,TD!$N$33:$O$45,2,0)," ")</f>
        <v xml:space="preserve"> </v>
      </c>
      <c r="X752" s="161" t="str">
        <f>CONCATENATE(V752,"_",W752)</f>
        <v xml:space="preserve">_ </v>
      </c>
      <c r="Y752" s="161" t="str">
        <f>CONCATENATE(U752," ",X752)</f>
        <v xml:space="preserve">-  _ </v>
      </c>
      <c r="Z752" s="160" t="str">
        <f>CONCATENATE(P752,Q752,R752,S752,V752)</f>
        <v xml:space="preserve">   </v>
      </c>
      <c r="AA752" s="160" t="str">
        <f>IFERROR(VLOOKUP(Y752,TD!$K$46:$L$64,2,0)," ")</f>
        <v xml:space="preserve"> </v>
      </c>
      <c r="AB752" s="53"/>
      <c r="AC752" s="162"/>
    </row>
    <row r="753" spans="2:29" s="28" customFormat="1" ht="99" customHeight="1" x14ac:dyDescent="0.35">
      <c r="B753" s="77"/>
      <c r="C753" s="50"/>
      <c r="D753" s="158"/>
      <c r="E753" s="51"/>
      <c r="F753" s="158"/>
      <c r="G753" s="158"/>
      <c r="H753" s="97"/>
      <c r="I753" s="159"/>
      <c r="J753" s="159"/>
      <c r="K753" s="52"/>
      <c r="L753" s="153"/>
      <c r="M753" s="158"/>
      <c r="N753" s="53"/>
      <c r="O753" s="51"/>
      <c r="P753" s="160" t="str">
        <f>IFERROR(VLOOKUP(C753,TD!$B$32:$F$36,2,0)," ")</f>
        <v xml:space="preserve"> </v>
      </c>
      <c r="Q753" s="160" t="str">
        <f>IFERROR(VLOOKUP(C753,TD!$B$32:$F$36,3,0)," ")</f>
        <v xml:space="preserve"> </v>
      </c>
      <c r="R753" s="160" t="str">
        <f>IFERROR(VLOOKUP(C753,TD!$B$32:$F$36,4,0)," ")</f>
        <v xml:space="preserve"> </v>
      </c>
      <c r="S753" s="51"/>
      <c r="T753" s="160" t="str">
        <f>IFERROR(VLOOKUP(S753,TD!$J$33:$K$43,2,0)," ")</f>
        <v xml:space="preserve"> </v>
      </c>
      <c r="U753" s="161" t="str">
        <f>CONCATENATE(S753,"-",T753)</f>
        <v xml:space="preserve">- </v>
      </c>
      <c r="V753" s="51"/>
      <c r="W753" s="160" t="str">
        <f>IFERROR(VLOOKUP(V753,TD!$N$33:$O$45,2,0)," ")</f>
        <v xml:space="preserve"> </v>
      </c>
      <c r="X753" s="161" t="str">
        <f>CONCATENATE(V753,"_",W753)</f>
        <v xml:space="preserve">_ </v>
      </c>
      <c r="Y753" s="161" t="str">
        <f>CONCATENATE(U753," ",X753)</f>
        <v xml:space="preserve">-  _ </v>
      </c>
      <c r="Z753" s="160" t="str">
        <f>CONCATENATE(P753,Q753,R753,S753,V753)</f>
        <v xml:space="preserve">   </v>
      </c>
      <c r="AA753" s="160" t="str">
        <f>IFERROR(VLOOKUP(Y753,TD!$K$46:$L$64,2,0)," ")</f>
        <v xml:space="preserve"> </v>
      </c>
      <c r="AB753" s="53"/>
      <c r="AC753" s="162"/>
    </row>
    <row r="754" spans="2:29" s="28" customFormat="1" ht="99" customHeight="1" x14ac:dyDescent="0.35">
      <c r="B754" s="77"/>
      <c r="C754" s="50"/>
      <c r="D754" s="158"/>
      <c r="E754" s="51"/>
      <c r="F754" s="158"/>
      <c r="G754" s="158"/>
      <c r="H754" s="97"/>
      <c r="I754" s="159"/>
      <c r="J754" s="159"/>
      <c r="K754" s="52"/>
      <c r="L754" s="153"/>
      <c r="M754" s="158"/>
      <c r="N754" s="53"/>
      <c r="O754" s="51"/>
      <c r="P754" s="160" t="str">
        <f>IFERROR(VLOOKUP(C754,TD!$B$32:$F$36,2,0)," ")</f>
        <v xml:space="preserve"> </v>
      </c>
      <c r="Q754" s="160" t="str">
        <f>IFERROR(VLOOKUP(C754,TD!$B$32:$F$36,3,0)," ")</f>
        <v xml:space="preserve"> </v>
      </c>
      <c r="R754" s="160" t="str">
        <f>IFERROR(VLOOKUP(C754,TD!$B$32:$F$36,4,0)," ")</f>
        <v xml:space="preserve"> </v>
      </c>
      <c r="S754" s="51"/>
      <c r="T754" s="160" t="str">
        <f>IFERROR(VLOOKUP(S754,TD!$J$33:$K$43,2,0)," ")</f>
        <v xml:space="preserve"> </v>
      </c>
      <c r="U754" s="161" t="str">
        <f>CONCATENATE(S754,"-",T754)</f>
        <v xml:space="preserve">- </v>
      </c>
      <c r="V754" s="51"/>
      <c r="W754" s="160" t="str">
        <f>IFERROR(VLOOKUP(V754,TD!$N$33:$O$45,2,0)," ")</f>
        <v xml:space="preserve"> </v>
      </c>
      <c r="X754" s="161" t="str">
        <f>CONCATENATE(V754,"_",W754)</f>
        <v xml:space="preserve">_ </v>
      </c>
      <c r="Y754" s="161" t="str">
        <f>CONCATENATE(U754," ",X754)</f>
        <v xml:space="preserve">-  _ </v>
      </c>
      <c r="Z754" s="160" t="str">
        <f>CONCATENATE(P754,Q754,R754,S754,V754)</f>
        <v xml:space="preserve">   </v>
      </c>
      <c r="AA754" s="160" t="str">
        <f>IFERROR(VLOOKUP(Y754,TD!$K$46:$L$64,2,0)," ")</f>
        <v xml:space="preserve"> </v>
      </c>
      <c r="AB754" s="53"/>
      <c r="AC754" s="162"/>
    </row>
    <row r="755" spans="2:29" s="28" customFormat="1" ht="99" customHeight="1" x14ac:dyDescent="0.35">
      <c r="B755" s="77"/>
      <c r="C755" s="50"/>
      <c r="D755" s="158"/>
      <c r="E755" s="51"/>
      <c r="F755" s="158"/>
      <c r="G755" s="158"/>
      <c r="H755" s="97"/>
      <c r="I755" s="159"/>
      <c r="J755" s="159"/>
      <c r="K755" s="52"/>
      <c r="L755" s="153"/>
      <c r="M755" s="158"/>
      <c r="N755" s="53"/>
      <c r="O755" s="51"/>
      <c r="P755" s="160" t="str">
        <f>IFERROR(VLOOKUP(C755,TD!$B$32:$F$36,2,0)," ")</f>
        <v xml:space="preserve"> </v>
      </c>
      <c r="Q755" s="160" t="str">
        <f>IFERROR(VLOOKUP(C755,TD!$B$32:$F$36,3,0)," ")</f>
        <v xml:space="preserve"> </v>
      </c>
      <c r="R755" s="160" t="str">
        <f>IFERROR(VLOOKUP(C755,TD!$B$32:$F$36,4,0)," ")</f>
        <v xml:space="preserve"> </v>
      </c>
      <c r="S755" s="51"/>
      <c r="T755" s="160" t="str">
        <f>IFERROR(VLOOKUP(S755,TD!$J$33:$K$43,2,0)," ")</f>
        <v xml:space="preserve"> </v>
      </c>
      <c r="U755" s="161" t="str">
        <f>CONCATENATE(S755,"-",T755)</f>
        <v xml:space="preserve">- </v>
      </c>
      <c r="V755" s="51"/>
      <c r="W755" s="160" t="str">
        <f>IFERROR(VLOOKUP(V755,TD!$N$33:$O$45,2,0)," ")</f>
        <v xml:space="preserve"> </v>
      </c>
      <c r="X755" s="161" t="str">
        <f>CONCATENATE(V755,"_",W755)</f>
        <v xml:space="preserve">_ </v>
      </c>
      <c r="Y755" s="161" t="str">
        <f>CONCATENATE(U755," ",X755)</f>
        <v xml:space="preserve">-  _ </v>
      </c>
      <c r="Z755" s="160" t="str">
        <f>CONCATENATE(P755,Q755,R755,S755,V755)</f>
        <v xml:space="preserve">   </v>
      </c>
      <c r="AA755" s="160" t="str">
        <f>IFERROR(VLOOKUP(Y755,TD!$K$46:$L$64,2,0)," ")</f>
        <v xml:space="preserve"> </v>
      </c>
      <c r="AB755" s="53"/>
      <c r="AC755" s="162"/>
    </row>
    <row r="756" spans="2:29" s="28" customFormat="1" ht="99" customHeight="1" x14ac:dyDescent="0.35">
      <c r="B756" s="77"/>
      <c r="C756" s="50"/>
      <c r="D756" s="158"/>
      <c r="E756" s="51"/>
      <c r="F756" s="158"/>
      <c r="G756" s="158"/>
      <c r="H756" s="97"/>
      <c r="I756" s="159"/>
      <c r="J756" s="159"/>
      <c r="K756" s="52"/>
      <c r="L756" s="153"/>
      <c r="M756" s="158"/>
      <c r="N756" s="53"/>
      <c r="O756" s="51"/>
      <c r="P756" s="160" t="str">
        <f>IFERROR(VLOOKUP(C756,TD!$B$32:$F$36,2,0)," ")</f>
        <v xml:space="preserve"> </v>
      </c>
      <c r="Q756" s="160" t="str">
        <f>IFERROR(VLOOKUP(C756,TD!$B$32:$F$36,3,0)," ")</f>
        <v xml:space="preserve"> </v>
      </c>
      <c r="R756" s="160" t="str">
        <f>IFERROR(VLOOKUP(C756,TD!$B$32:$F$36,4,0)," ")</f>
        <v xml:space="preserve"> </v>
      </c>
      <c r="S756" s="51"/>
      <c r="T756" s="160" t="str">
        <f>IFERROR(VLOOKUP(S756,TD!$J$33:$K$43,2,0)," ")</f>
        <v xml:space="preserve"> </v>
      </c>
      <c r="U756" s="161" t="str">
        <f>CONCATENATE(S756,"-",T756)</f>
        <v xml:space="preserve">- </v>
      </c>
      <c r="V756" s="51"/>
      <c r="W756" s="160" t="str">
        <f>IFERROR(VLOOKUP(V756,TD!$N$33:$O$45,2,0)," ")</f>
        <v xml:space="preserve"> </v>
      </c>
      <c r="X756" s="161" t="str">
        <f>CONCATENATE(V756,"_",W756)</f>
        <v xml:space="preserve">_ </v>
      </c>
      <c r="Y756" s="161" t="str">
        <f>CONCATENATE(U756," ",X756)</f>
        <v xml:space="preserve">-  _ </v>
      </c>
      <c r="Z756" s="160" t="str">
        <f>CONCATENATE(P756,Q756,R756,S756,V756)</f>
        <v xml:space="preserve">   </v>
      </c>
      <c r="AA756" s="160" t="str">
        <f>IFERROR(VLOOKUP(Y756,TD!$K$46:$L$64,2,0)," ")</f>
        <v xml:space="preserve"> </v>
      </c>
      <c r="AB756" s="53"/>
      <c r="AC756" s="162"/>
    </row>
    <row r="757" spans="2:29" s="28" customFormat="1" ht="99" customHeight="1" x14ac:dyDescent="0.35">
      <c r="B757" s="77"/>
      <c r="C757" s="50"/>
      <c r="D757" s="158"/>
      <c r="E757" s="51"/>
      <c r="F757" s="158"/>
      <c r="G757" s="158"/>
      <c r="H757" s="97"/>
      <c r="I757" s="159"/>
      <c r="J757" s="159"/>
      <c r="K757" s="52"/>
      <c r="L757" s="153"/>
      <c r="M757" s="158"/>
      <c r="N757" s="53"/>
      <c r="O757" s="51"/>
      <c r="P757" s="160" t="str">
        <f>IFERROR(VLOOKUP(C757,TD!$B$32:$F$36,2,0)," ")</f>
        <v xml:space="preserve"> </v>
      </c>
      <c r="Q757" s="160" t="str">
        <f>IFERROR(VLOOKUP(C757,TD!$B$32:$F$36,3,0)," ")</f>
        <v xml:space="preserve"> </v>
      </c>
      <c r="R757" s="160" t="str">
        <f>IFERROR(VLOOKUP(C757,TD!$B$32:$F$36,4,0)," ")</f>
        <v xml:space="preserve"> </v>
      </c>
      <c r="S757" s="51"/>
      <c r="T757" s="160" t="str">
        <f>IFERROR(VLOOKUP(S757,TD!$J$33:$K$43,2,0)," ")</f>
        <v xml:space="preserve"> </v>
      </c>
      <c r="U757" s="161" t="str">
        <f>CONCATENATE(S757,"-",T757)</f>
        <v xml:space="preserve">- </v>
      </c>
      <c r="V757" s="51"/>
      <c r="W757" s="160" t="str">
        <f>IFERROR(VLOOKUP(V757,TD!$N$33:$O$45,2,0)," ")</f>
        <v xml:space="preserve"> </v>
      </c>
      <c r="X757" s="161" t="str">
        <f>CONCATENATE(V757,"_",W757)</f>
        <v xml:space="preserve">_ </v>
      </c>
      <c r="Y757" s="161" t="str">
        <f>CONCATENATE(U757," ",X757)</f>
        <v xml:space="preserve">-  _ </v>
      </c>
      <c r="Z757" s="160" t="str">
        <f>CONCATENATE(P757,Q757,R757,S757,V757)</f>
        <v xml:space="preserve">   </v>
      </c>
      <c r="AA757" s="160" t="str">
        <f>IFERROR(VLOOKUP(Y757,TD!$K$46:$L$64,2,0)," ")</f>
        <v xml:space="preserve"> </v>
      </c>
      <c r="AB757" s="53"/>
      <c r="AC757" s="162"/>
    </row>
    <row r="758" spans="2:29" s="28" customFormat="1" ht="99" customHeight="1" x14ac:dyDescent="0.35">
      <c r="B758" s="77"/>
      <c r="C758" s="50"/>
      <c r="D758" s="158"/>
      <c r="E758" s="51"/>
      <c r="F758" s="158"/>
      <c r="G758" s="158"/>
      <c r="H758" s="97"/>
      <c r="I758" s="159"/>
      <c r="J758" s="159"/>
      <c r="K758" s="52"/>
      <c r="L758" s="153"/>
      <c r="M758" s="158"/>
      <c r="N758" s="53"/>
      <c r="O758" s="51"/>
      <c r="P758" s="160" t="str">
        <f>IFERROR(VLOOKUP(C758,TD!$B$32:$F$36,2,0)," ")</f>
        <v xml:space="preserve"> </v>
      </c>
      <c r="Q758" s="160" t="str">
        <f>IFERROR(VLOOKUP(C758,TD!$B$32:$F$36,3,0)," ")</f>
        <v xml:space="preserve"> </v>
      </c>
      <c r="R758" s="160" t="str">
        <f>IFERROR(VLOOKUP(C758,TD!$B$32:$F$36,4,0)," ")</f>
        <v xml:space="preserve"> </v>
      </c>
      <c r="S758" s="51"/>
      <c r="T758" s="160" t="str">
        <f>IFERROR(VLOOKUP(S758,TD!$J$33:$K$43,2,0)," ")</f>
        <v xml:space="preserve"> </v>
      </c>
      <c r="U758" s="161" t="str">
        <f>CONCATENATE(S758,"-",T758)</f>
        <v xml:space="preserve">- </v>
      </c>
      <c r="V758" s="51"/>
      <c r="W758" s="160" t="str">
        <f>IFERROR(VLOOKUP(V758,TD!$N$33:$O$45,2,0)," ")</f>
        <v xml:space="preserve"> </v>
      </c>
      <c r="X758" s="161" t="str">
        <f>CONCATENATE(V758,"_",W758)</f>
        <v xml:space="preserve">_ </v>
      </c>
      <c r="Y758" s="161" t="str">
        <f>CONCATENATE(U758," ",X758)</f>
        <v xml:space="preserve">-  _ </v>
      </c>
      <c r="Z758" s="160" t="str">
        <f>CONCATENATE(P758,Q758,R758,S758,V758)</f>
        <v xml:space="preserve">   </v>
      </c>
      <c r="AA758" s="160" t="str">
        <f>IFERROR(VLOOKUP(Y758,TD!$K$46:$L$64,2,0)," ")</f>
        <v xml:space="preserve"> </v>
      </c>
      <c r="AB758" s="53"/>
      <c r="AC758" s="162"/>
    </row>
    <row r="759" spans="2:29" s="28" customFormat="1" ht="99" customHeight="1" x14ac:dyDescent="0.35">
      <c r="B759" s="77"/>
      <c r="C759" s="50"/>
      <c r="D759" s="158"/>
      <c r="E759" s="51"/>
      <c r="F759" s="158"/>
      <c r="G759" s="158"/>
      <c r="H759" s="97"/>
      <c r="I759" s="159"/>
      <c r="J759" s="159"/>
      <c r="K759" s="52"/>
      <c r="L759" s="153"/>
      <c r="M759" s="158"/>
      <c r="N759" s="53"/>
      <c r="O759" s="51"/>
      <c r="P759" s="160" t="str">
        <f>IFERROR(VLOOKUP(C759,TD!$B$32:$F$36,2,0)," ")</f>
        <v xml:space="preserve"> </v>
      </c>
      <c r="Q759" s="160" t="str">
        <f>IFERROR(VLOOKUP(C759,TD!$B$32:$F$36,3,0)," ")</f>
        <v xml:space="preserve"> </v>
      </c>
      <c r="R759" s="160" t="str">
        <f>IFERROR(VLOOKUP(C759,TD!$B$32:$F$36,4,0)," ")</f>
        <v xml:space="preserve"> </v>
      </c>
      <c r="S759" s="51"/>
      <c r="T759" s="160" t="str">
        <f>IFERROR(VLOOKUP(S759,TD!$J$33:$K$43,2,0)," ")</f>
        <v xml:space="preserve"> </v>
      </c>
      <c r="U759" s="161" t="str">
        <f>CONCATENATE(S759,"-",T759)</f>
        <v xml:space="preserve">- </v>
      </c>
      <c r="V759" s="51"/>
      <c r="W759" s="160" t="str">
        <f>IFERROR(VLOOKUP(V759,TD!$N$33:$O$45,2,0)," ")</f>
        <v xml:space="preserve"> </v>
      </c>
      <c r="X759" s="161" t="str">
        <f>CONCATENATE(V759,"_",W759)</f>
        <v xml:space="preserve">_ </v>
      </c>
      <c r="Y759" s="161" t="str">
        <f>CONCATENATE(U759," ",X759)</f>
        <v xml:space="preserve">-  _ </v>
      </c>
      <c r="Z759" s="160" t="str">
        <f>CONCATENATE(P759,Q759,R759,S759,V759)</f>
        <v xml:space="preserve">   </v>
      </c>
      <c r="AA759" s="160" t="str">
        <f>IFERROR(VLOOKUP(Y759,TD!$K$46:$L$64,2,0)," ")</f>
        <v xml:space="preserve"> </v>
      </c>
      <c r="AB759" s="53"/>
      <c r="AC759" s="162"/>
    </row>
    <row r="760" spans="2:29" s="28" customFormat="1" ht="99" customHeight="1" x14ac:dyDescent="0.35">
      <c r="B760" s="77"/>
      <c r="C760" s="50"/>
      <c r="D760" s="158"/>
      <c r="E760" s="51"/>
      <c r="F760" s="158"/>
      <c r="G760" s="158"/>
      <c r="H760" s="97"/>
      <c r="I760" s="159"/>
      <c r="J760" s="159"/>
      <c r="K760" s="52"/>
      <c r="L760" s="153"/>
      <c r="M760" s="158"/>
      <c r="N760" s="53"/>
      <c r="O760" s="51"/>
      <c r="P760" s="160" t="str">
        <f>IFERROR(VLOOKUP(C760,TD!$B$32:$F$36,2,0)," ")</f>
        <v xml:space="preserve"> </v>
      </c>
      <c r="Q760" s="160" t="str">
        <f>IFERROR(VLOOKUP(C760,TD!$B$32:$F$36,3,0)," ")</f>
        <v xml:space="preserve"> </v>
      </c>
      <c r="R760" s="160" t="str">
        <f>IFERROR(VLOOKUP(C760,TD!$B$32:$F$36,4,0)," ")</f>
        <v xml:space="preserve"> </v>
      </c>
      <c r="S760" s="51"/>
      <c r="T760" s="160" t="str">
        <f>IFERROR(VLOOKUP(S760,TD!$J$33:$K$43,2,0)," ")</f>
        <v xml:space="preserve"> </v>
      </c>
      <c r="U760" s="161" t="str">
        <f>CONCATENATE(S760,"-",T760)</f>
        <v xml:space="preserve">- </v>
      </c>
      <c r="V760" s="51"/>
      <c r="W760" s="160" t="str">
        <f>IFERROR(VLOOKUP(V760,TD!$N$33:$O$45,2,0)," ")</f>
        <v xml:space="preserve"> </v>
      </c>
      <c r="X760" s="161" t="str">
        <f>CONCATENATE(V760,"_",W760)</f>
        <v xml:space="preserve">_ </v>
      </c>
      <c r="Y760" s="161" t="str">
        <f>CONCATENATE(U760," ",X760)</f>
        <v xml:space="preserve">-  _ </v>
      </c>
      <c r="Z760" s="160" t="str">
        <f>CONCATENATE(P760,Q760,R760,S760,V760)</f>
        <v xml:space="preserve">   </v>
      </c>
      <c r="AA760" s="160" t="str">
        <f>IFERROR(VLOOKUP(Y760,TD!$K$46:$L$64,2,0)," ")</f>
        <v xml:space="preserve"> </v>
      </c>
      <c r="AB760" s="53"/>
      <c r="AC760" s="162"/>
    </row>
    <row r="761" spans="2:29" s="28" customFormat="1" ht="99" customHeight="1" x14ac:dyDescent="0.35">
      <c r="B761" s="77"/>
      <c r="C761" s="50"/>
      <c r="D761" s="158"/>
      <c r="E761" s="51"/>
      <c r="F761" s="158"/>
      <c r="G761" s="158"/>
      <c r="H761" s="97"/>
      <c r="I761" s="159"/>
      <c r="J761" s="159"/>
      <c r="K761" s="52"/>
      <c r="L761" s="153"/>
      <c r="M761" s="158"/>
      <c r="N761" s="53"/>
      <c r="O761" s="51"/>
      <c r="P761" s="160" t="str">
        <f>IFERROR(VLOOKUP(C761,TD!$B$32:$F$36,2,0)," ")</f>
        <v xml:space="preserve"> </v>
      </c>
      <c r="Q761" s="160" t="str">
        <f>IFERROR(VLOOKUP(C761,TD!$B$32:$F$36,3,0)," ")</f>
        <v xml:space="preserve"> </v>
      </c>
      <c r="R761" s="160" t="str">
        <f>IFERROR(VLOOKUP(C761,TD!$B$32:$F$36,4,0)," ")</f>
        <v xml:space="preserve"> </v>
      </c>
      <c r="S761" s="51"/>
      <c r="T761" s="160" t="str">
        <f>IFERROR(VLOOKUP(S761,TD!$J$33:$K$43,2,0)," ")</f>
        <v xml:space="preserve"> </v>
      </c>
      <c r="U761" s="161" t="str">
        <f>CONCATENATE(S761,"-",T761)</f>
        <v xml:space="preserve">- </v>
      </c>
      <c r="V761" s="51"/>
      <c r="W761" s="160" t="str">
        <f>IFERROR(VLOOKUP(V761,TD!$N$33:$O$45,2,0)," ")</f>
        <v xml:space="preserve"> </v>
      </c>
      <c r="X761" s="161" t="str">
        <f>CONCATENATE(V761,"_",W761)</f>
        <v xml:space="preserve">_ </v>
      </c>
      <c r="Y761" s="161" t="str">
        <f>CONCATENATE(U761," ",X761)</f>
        <v xml:space="preserve">-  _ </v>
      </c>
      <c r="Z761" s="160" t="str">
        <f>CONCATENATE(P761,Q761,R761,S761,V761)</f>
        <v xml:space="preserve">   </v>
      </c>
      <c r="AA761" s="160" t="str">
        <f>IFERROR(VLOOKUP(Y761,TD!$K$46:$L$64,2,0)," ")</f>
        <v xml:space="preserve"> </v>
      </c>
      <c r="AB761" s="53"/>
      <c r="AC761" s="162"/>
    </row>
    <row r="762" spans="2:29" s="28" customFormat="1" ht="99" customHeight="1" x14ac:dyDescent="0.35">
      <c r="B762" s="77"/>
      <c r="C762" s="50"/>
      <c r="D762" s="158"/>
      <c r="E762" s="51"/>
      <c r="F762" s="158"/>
      <c r="G762" s="158"/>
      <c r="H762" s="97"/>
      <c r="I762" s="159"/>
      <c r="J762" s="159"/>
      <c r="K762" s="52"/>
      <c r="L762" s="153"/>
      <c r="M762" s="158"/>
      <c r="N762" s="53"/>
      <c r="O762" s="51"/>
      <c r="P762" s="160" t="str">
        <f>IFERROR(VLOOKUP(C762,TD!$B$32:$F$36,2,0)," ")</f>
        <v xml:space="preserve"> </v>
      </c>
      <c r="Q762" s="160" t="str">
        <f>IFERROR(VLOOKUP(C762,TD!$B$32:$F$36,3,0)," ")</f>
        <v xml:space="preserve"> </v>
      </c>
      <c r="R762" s="160" t="str">
        <f>IFERROR(VLOOKUP(C762,TD!$B$32:$F$36,4,0)," ")</f>
        <v xml:space="preserve"> </v>
      </c>
      <c r="S762" s="51"/>
      <c r="T762" s="160" t="str">
        <f>IFERROR(VLOOKUP(S762,TD!$J$33:$K$43,2,0)," ")</f>
        <v xml:space="preserve"> </v>
      </c>
      <c r="U762" s="161" t="str">
        <f>CONCATENATE(S762,"-",T762)</f>
        <v xml:space="preserve">- </v>
      </c>
      <c r="V762" s="51"/>
      <c r="W762" s="160" t="str">
        <f>IFERROR(VLOOKUP(V762,TD!$N$33:$O$45,2,0)," ")</f>
        <v xml:space="preserve"> </v>
      </c>
      <c r="X762" s="161" t="str">
        <f>CONCATENATE(V762,"_",W762)</f>
        <v xml:space="preserve">_ </v>
      </c>
      <c r="Y762" s="161" t="str">
        <f>CONCATENATE(U762," ",X762)</f>
        <v xml:space="preserve">-  _ </v>
      </c>
      <c r="Z762" s="160" t="str">
        <f>CONCATENATE(P762,Q762,R762,S762,V762)</f>
        <v xml:space="preserve">   </v>
      </c>
      <c r="AA762" s="160" t="str">
        <f>IFERROR(VLOOKUP(Y762,TD!$K$46:$L$64,2,0)," ")</f>
        <v xml:space="preserve"> </v>
      </c>
      <c r="AB762" s="53"/>
      <c r="AC762" s="162"/>
    </row>
    <row r="763" spans="2:29" s="28" customFormat="1" ht="99" customHeight="1" x14ac:dyDescent="0.35">
      <c r="B763" s="77"/>
      <c r="C763" s="50"/>
      <c r="D763" s="158"/>
      <c r="E763" s="51"/>
      <c r="F763" s="158"/>
      <c r="G763" s="158"/>
      <c r="H763" s="97"/>
      <c r="I763" s="159"/>
      <c r="J763" s="159"/>
      <c r="K763" s="52"/>
      <c r="L763" s="153"/>
      <c r="M763" s="158"/>
      <c r="N763" s="53"/>
      <c r="O763" s="51"/>
      <c r="P763" s="160" t="str">
        <f>IFERROR(VLOOKUP(C763,TD!$B$32:$F$36,2,0)," ")</f>
        <v xml:space="preserve"> </v>
      </c>
      <c r="Q763" s="160" t="str">
        <f>IFERROR(VLOOKUP(C763,TD!$B$32:$F$36,3,0)," ")</f>
        <v xml:space="preserve"> </v>
      </c>
      <c r="R763" s="160" t="str">
        <f>IFERROR(VLOOKUP(C763,TD!$B$32:$F$36,4,0)," ")</f>
        <v xml:space="preserve"> </v>
      </c>
      <c r="S763" s="51"/>
      <c r="T763" s="160" t="str">
        <f>IFERROR(VLOOKUP(S763,TD!$J$33:$K$43,2,0)," ")</f>
        <v xml:space="preserve"> </v>
      </c>
      <c r="U763" s="161" t="str">
        <f>CONCATENATE(S763,"-",T763)</f>
        <v xml:space="preserve">- </v>
      </c>
      <c r="V763" s="51"/>
      <c r="W763" s="160" t="str">
        <f>IFERROR(VLOOKUP(V763,TD!$N$33:$O$45,2,0)," ")</f>
        <v xml:space="preserve"> </v>
      </c>
      <c r="X763" s="161" t="str">
        <f>CONCATENATE(V763,"_",W763)</f>
        <v xml:space="preserve">_ </v>
      </c>
      <c r="Y763" s="161" t="str">
        <f>CONCATENATE(U763," ",X763)</f>
        <v xml:space="preserve">-  _ </v>
      </c>
      <c r="Z763" s="160" t="str">
        <f>CONCATENATE(P763,Q763,R763,S763,V763)</f>
        <v xml:space="preserve">   </v>
      </c>
      <c r="AA763" s="160" t="str">
        <f>IFERROR(VLOOKUP(Y763,TD!$K$46:$L$64,2,0)," ")</f>
        <v xml:space="preserve"> </v>
      </c>
      <c r="AB763" s="53"/>
      <c r="AC763" s="162"/>
    </row>
    <row r="764" spans="2:29" s="28" customFormat="1" ht="99" customHeight="1" x14ac:dyDescent="0.35">
      <c r="B764" s="77"/>
      <c r="C764" s="50"/>
      <c r="D764" s="158"/>
      <c r="E764" s="51"/>
      <c r="F764" s="158"/>
      <c r="G764" s="158"/>
      <c r="H764" s="97"/>
      <c r="I764" s="159"/>
      <c r="J764" s="159"/>
      <c r="K764" s="52"/>
      <c r="L764" s="153"/>
      <c r="M764" s="158"/>
      <c r="N764" s="53"/>
      <c r="O764" s="51"/>
      <c r="P764" s="160" t="str">
        <f>IFERROR(VLOOKUP(C764,TD!$B$32:$F$36,2,0)," ")</f>
        <v xml:space="preserve"> </v>
      </c>
      <c r="Q764" s="160" t="str">
        <f>IFERROR(VLOOKUP(C764,TD!$B$32:$F$36,3,0)," ")</f>
        <v xml:space="preserve"> </v>
      </c>
      <c r="R764" s="160" t="str">
        <f>IFERROR(VLOOKUP(C764,TD!$B$32:$F$36,4,0)," ")</f>
        <v xml:space="preserve"> </v>
      </c>
      <c r="S764" s="51"/>
      <c r="T764" s="160" t="str">
        <f>IFERROR(VLOOKUP(S764,TD!$J$33:$K$43,2,0)," ")</f>
        <v xml:space="preserve"> </v>
      </c>
      <c r="U764" s="161" t="str">
        <f>CONCATENATE(S764,"-",T764)</f>
        <v xml:space="preserve">- </v>
      </c>
      <c r="V764" s="51"/>
      <c r="W764" s="160" t="str">
        <f>IFERROR(VLOOKUP(V764,TD!$N$33:$O$45,2,0)," ")</f>
        <v xml:space="preserve"> </v>
      </c>
      <c r="X764" s="161" t="str">
        <f>CONCATENATE(V764,"_",W764)</f>
        <v xml:space="preserve">_ </v>
      </c>
      <c r="Y764" s="161" t="str">
        <f>CONCATENATE(U764," ",X764)</f>
        <v xml:space="preserve">-  _ </v>
      </c>
      <c r="Z764" s="160" t="str">
        <f>CONCATENATE(P764,Q764,R764,S764,V764)</f>
        <v xml:space="preserve">   </v>
      </c>
      <c r="AA764" s="160" t="str">
        <f>IFERROR(VLOOKUP(Y764,TD!$K$46:$L$64,2,0)," ")</f>
        <v xml:space="preserve"> </v>
      </c>
      <c r="AB764" s="53"/>
      <c r="AC764" s="162"/>
    </row>
    <row r="765" spans="2:29" s="28" customFormat="1" ht="99" customHeight="1" x14ac:dyDescent="0.35">
      <c r="B765" s="77"/>
      <c r="C765" s="50"/>
      <c r="D765" s="158"/>
      <c r="E765" s="51"/>
      <c r="F765" s="158"/>
      <c r="G765" s="158"/>
      <c r="H765" s="97"/>
      <c r="I765" s="159"/>
      <c r="J765" s="159"/>
      <c r="K765" s="52"/>
      <c r="L765" s="153"/>
      <c r="M765" s="158"/>
      <c r="N765" s="53"/>
      <c r="O765" s="51"/>
      <c r="P765" s="160" t="str">
        <f>IFERROR(VLOOKUP(C765,TD!$B$32:$F$36,2,0)," ")</f>
        <v xml:space="preserve"> </v>
      </c>
      <c r="Q765" s="160" t="str">
        <f>IFERROR(VLOOKUP(C765,TD!$B$32:$F$36,3,0)," ")</f>
        <v xml:space="preserve"> </v>
      </c>
      <c r="R765" s="160" t="str">
        <f>IFERROR(VLOOKUP(C765,TD!$B$32:$F$36,4,0)," ")</f>
        <v xml:space="preserve"> </v>
      </c>
      <c r="S765" s="51"/>
      <c r="T765" s="160" t="str">
        <f>IFERROR(VLOOKUP(S765,TD!$J$33:$K$43,2,0)," ")</f>
        <v xml:space="preserve"> </v>
      </c>
      <c r="U765" s="161" t="str">
        <f>CONCATENATE(S765,"-",T765)</f>
        <v xml:space="preserve">- </v>
      </c>
      <c r="V765" s="51"/>
      <c r="W765" s="160" t="str">
        <f>IFERROR(VLOOKUP(V765,TD!$N$33:$O$45,2,0)," ")</f>
        <v xml:space="preserve"> </v>
      </c>
      <c r="X765" s="161" t="str">
        <f>CONCATENATE(V765,"_",W765)</f>
        <v xml:space="preserve">_ </v>
      </c>
      <c r="Y765" s="161" t="str">
        <f>CONCATENATE(U765," ",X765)</f>
        <v xml:space="preserve">-  _ </v>
      </c>
      <c r="Z765" s="160" t="str">
        <f>CONCATENATE(P765,Q765,R765,S765,V765)</f>
        <v xml:space="preserve">   </v>
      </c>
      <c r="AA765" s="160" t="str">
        <f>IFERROR(VLOOKUP(Y765,TD!$K$46:$L$64,2,0)," ")</f>
        <v xml:space="preserve"> </v>
      </c>
      <c r="AB765" s="53"/>
      <c r="AC765" s="162"/>
    </row>
    <row r="766" spans="2:29" s="28" customFormat="1" ht="99" customHeight="1" x14ac:dyDescent="0.35">
      <c r="B766" s="77"/>
      <c r="C766" s="50"/>
      <c r="D766" s="158"/>
      <c r="E766" s="51"/>
      <c r="F766" s="158"/>
      <c r="G766" s="158"/>
      <c r="H766" s="97"/>
      <c r="I766" s="159"/>
      <c r="J766" s="159"/>
      <c r="K766" s="52"/>
      <c r="L766" s="153"/>
      <c r="M766" s="158"/>
      <c r="N766" s="53"/>
      <c r="O766" s="51"/>
      <c r="P766" s="160" t="str">
        <f>IFERROR(VLOOKUP(C766,TD!$B$32:$F$36,2,0)," ")</f>
        <v xml:space="preserve"> </v>
      </c>
      <c r="Q766" s="160" t="str">
        <f>IFERROR(VLOOKUP(C766,TD!$B$32:$F$36,3,0)," ")</f>
        <v xml:space="preserve"> </v>
      </c>
      <c r="R766" s="160" t="str">
        <f>IFERROR(VLOOKUP(C766,TD!$B$32:$F$36,4,0)," ")</f>
        <v xml:space="preserve"> </v>
      </c>
      <c r="S766" s="51"/>
      <c r="T766" s="160" t="str">
        <f>IFERROR(VLOOKUP(S766,TD!$J$33:$K$43,2,0)," ")</f>
        <v xml:space="preserve"> </v>
      </c>
      <c r="U766" s="161" t="str">
        <f>CONCATENATE(S766,"-",T766)</f>
        <v xml:space="preserve">- </v>
      </c>
      <c r="V766" s="51"/>
      <c r="W766" s="160" t="str">
        <f>IFERROR(VLOOKUP(V766,TD!$N$33:$O$45,2,0)," ")</f>
        <v xml:space="preserve"> </v>
      </c>
      <c r="X766" s="161" t="str">
        <f>CONCATENATE(V766,"_",W766)</f>
        <v xml:space="preserve">_ </v>
      </c>
      <c r="Y766" s="161" t="str">
        <f>CONCATENATE(U766," ",X766)</f>
        <v xml:space="preserve">-  _ </v>
      </c>
      <c r="Z766" s="160" t="str">
        <f>CONCATENATE(P766,Q766,R766,S766,V766)</f>
        <v xml:space="preserve">   </v>
      </c>
      <c r="AA766" s="160" t="str">
        <f>IFERROR(VLOOKUP(Y766,TD!$K$46:$L$64,2,0)," ")</f>
        <v xml:space="preserve"> </v>
      </c>
      <c r="AB766" s="53"/>
      <c r="AC766" s="162"/>
    </row>
    <row r="767" spans="2:29" s="28" customFormat="1" ht="99" customHeight="1" x14ac:dyDescent="0.35">
      <c r="B767" s="77"/>
      <c r="C767" s="50"/>
      <c r="D767" s="158"/>
      <c r="E767" s="51"/>
      <c r="F767" s="158"/>
      <c r="G767" s="158"/>
      <c r="H767" s="97"/>
      <c r="I767" s="159"/>
      <c r="J767" s="159"/>
      <c r="K767" s="52"/>
      <c r="L767" s="153"/>
      <c r="M767" s="158"/>
      <c r="N767" s="53"/>
      <c r="O767" s="51"/>
      <c r="P767" s="160" t="str">
        <f>IFERROR(VLOOKUP(C767,TD!$B$32:$F$36,2,0)," ")</f>
        <v xml:space="preserve"> </v>
      </c>
      <c r="Q767" s="160" t="str">
        <f>IFERROR(VLOOKUP(C767,TD!$B$32:$F$36,3,0)," ")</f>
        <v xml:space="preserve"> </v>
      </c>
      <c r="R767" s="160" t="str">
        <f>IFERROR(VLOOKUP(C767,TD!$B$32:$F$36,4,0)," ")</f>
        <v xml:space="preserve"> </v>
      </c>
      <c r="S767" s="51"/>
      <c r="T767" s="160" t="str">
        <f>IFERROR(VLOOKUP(S767,TD!$J$33:$K$43,2,0)," ")</f>
        <v xml:space="preserve"> </v>
      </c>
      <c r="U767" s="161" t="str">
        <f>CONCATENATE(S767,"-",T767)</f>
        <v xml:space="preserve">- </v>
      </c>
      <c r="V767" s="51"/>
      <c r="W767" s="160" t="str">
        <f>IFERROR(VLOOKUP(V767,TD!$N$33:$O$45,2,0)," ")</f>
        <v xml:space="preserve"> </v>
      </c>
      <c r="X767" s="161" t="str">
        <f>CONCATENATE(V767,"_",W767)</f>
        <v xml:space="preserve">_ </v>
      </c>
      <c r="Y767" s="161" t="str">
        <f>CONCATENATE(U767," ",X767)</f>
        <v xml:space="preserve">-  _ </v>
      </c>
      <c r="Z767" s="160" t="str">
        <f>CONCATENATE(P767,Q767,R767,S767,V767)</f>
        <v xml:space="preserve">   </v>
      </c>
      <c r="AA767" s="160" t="str">
        <f>IFERROR(VLOOKUP(Y767,TD!$K$46:$L$64,2,0)," ")</f>
        <v xml:space="preserve"> </v>
      </c>
      <c r="AB767" s="53"/>
      <c r="AC767" s="162"/>
    </row>
    <row r="768" spans="2:29" s="28" customFormat="1" ht="99" customHeight="1" x14ac:dyDescent="0.35">
      <c r="B768" s="77"/>
      <c r="C768" s="50"/>
      <c r="D768" s="158"/>
      <c r="E768" s="51"/>
      <c r="F768" s="158"/>
      <c r="G768" s="158"/>
      <c r="H768" s="97"/>
      <c r="I768" s="159"/>
      <c r="J768" s="159"/>
      <c r="K768" s="52"/>
      <c r="L768" s="153"/>
      <c r="M768" s="158"/>
      <c r="N768" s="53"/>
      <c r="O768" s="51"/>
      <c r="P768" s="160" t="str">
        <f>IFERROR(VLOOKUP(C768,TD!$B$32:$F$36,2,0)," ")</f>
        <v xml:space="preserve"> </v>
      </c>
      <c r="Q768" s="160" t="str">
        <f>IFERROR(VLOOKUP(C768,TD!$B$32:$F$36,3,0)," ")</f>
        <v xml:space="preserve"> </v>
      </c>
      <c r="R768" s="160" t="str">
        <f>IFERROR(VLOOKUP(C768,TD!$B$32:$F$36,4,0)," ")</f>
        <v xml:space="preserve"> </v>
      </c>
      <c r="S768" s="51"/>
      <c r="T768" s="160" t="str">
        <f>IFERROR(VLOOKUP(S768,TD!$J$33:$K$43,2,0)," ")</f>
        <v xml:space="preserve"> </v>
      </c>
      <c r="U768" s="161" t="str">
        <f>CONCATENATE(S768,"-",T768)</f>
        <v xml:space="preserve">- </v>
      </c>
      <c r="V768" s="51"/>
      <c r="W768" s="160" t="str">
        <f>IFERROR(VLOOKUP(V768,TD!$N$33:$O$45,2,0)," ")</f>
        <v xml:space="preserve"> </v>
      </c>
      <c r="X768" s="161" t="str">
        <f>CONCATENATE(V768,"_",W768)</f>
        <v xml:space="preserve">_ </v>
      </c>
      <c r="Y768" s="161" t="str">
        <f>CONCATENATE(U768," ",X768)</f>
        <v xml:space="preserve">-  _ </v>
      </c>
      <c r="Z768" s="160" t="str">
        <f>CONCATENATE(P768,Q768,R768,S768,V768)</f>
        <v xml:space="preserve">   </v>
      </c>
      <c r="AA768" s="160" t="str">
        <f>IFERROR(VLOOKUP(Y768,TD!$K$46:$L$64,2,0)," ")</f>
        <v xml:space="preserve"> </v>
      </c>
      <c r="AB768" s="53"/>
      <c r="AC768" s="162"/>
    </row>
    <row r="769" spans="2:29" s="28" customFormat="1" ht="99" customHeight="1" x14ac:dyDescent="0.35">
      <c r="B769" s="77"/>
      <c r="C769" s="50"/>
      <c r="D769" s="158"/>
      <c r="E769" s="51"/>
      <c r="F769" s="158"/>
      <c r="G769" s="158"/>
      <c r="H769" s="97"/>
      <c r="I769" s="159"/>
      <c r="J769" s="159"/>
      <c r="K769" s="52"/>
      <c r="L769" s="153"/>
      <c r="M769" s="158"/>
      <c r="N769" s="53"/>
      <c r="O769" s="51"/>
      <c r="P769" s="160" t="str">
        <f>IFERROR(VLOOKUP(C769,TD!$B$32:$F$36,2,0)," ")</f>
        <v xml:space="preserve"> </v>
      </c>
      <c r="Q769" s="160" t="str">
        <f>IFERROR(VLOOKUP(C769,TD!$B$32:$F$36,3,0)," ")</f>
        <v xml:space="preserve"> </v>
      </c>
      <c r="R769" s="160" t="str">
        <f>IFERROR(VLOOKUP(C769,TD!$B$32:$F$36,4,0)," ")</f>
        <v xml:space="preserve"> </v>
      </c>
      <c r="S769" s="51"/>
      <c r="T769" s="160" t="str">
        <f>IFERROR(VLOOKUP(S769,TD!$J$33:$K$43,2,0)," ")</f>
        <v xml:space="preserve"> </v>
      </c>
      <c r="U769" s="161" t="str">
        <f>CONCATENATE(S769,"-",T769)</f>
        <v xml:space="preserve">- </v>
      </c>
      <c r="V769" s="51"/>
      <c r="W769" s="160" t="str">
        <f>IFERROR(VLOOKUP(V769,TD!$N$33:$O$45,2,0)," ")</f>
        <v xml:space="preserve"> </v>
      </c>
      <c r="X769" s="161" t="str">
        <f>CONCATENATE(V769,"_",W769)</f>
        <v xml:space="preserve">_ </v>
      </c>
      <c r="Y769" s="161" t="str">
        <f>CONCATENATE(U769," ",X769)</f>
        <v xml:space="preserve">-  _ </v>
      </c>
      <c r="Z769" s="160" t="str">
        <f>CONCATENATE(P769,Q769,R769,S769,V769)</f>
        <v xml:space="preserve">   </v>
      </c>
      <c r="AA769" s="160" t="str">
        <f>IFERROR(VLOOKUP(Y769,TD!$K$46:$L$64,2,0)," ")</f>
        <v xml:space="preserve"> </v>
      </c>
      <c r="AB769" s="53"/>
      <c r="AC769" s="162"/>
    </row>
    <row r="770" spans="2:29" s="28" customFormat="1" ht="99" customHeight="1" x14ac:dyDescent="0.35">
      <c r="B770" s="77"/>
      <c r="C770" s="50"/>
      <c r="D770" s="158"/>
      <c r="E770" s="51"/>
      <c r="F770" s="158"/>
      <c r="G770" s="158"/>
      <c r="H770" s="97"/>
      <c r="I770" s="159"/>
      <c r="J770" s="159"/>
      <c r="K770" s="52"/>
      <c r="L770" s="153"/>
      <c r="M770" s="158"/>
      <c r="N770" s="53"/>
      <c r="O770" s="51"/>
      <c r="P770" s="160" t="str">
        <f>IFERROR(VLOOKUP(C770,TD!$B$32:$F$36,2,0)," ")</f>
        <v xml:space="preserve"> </v>
      </c>
      <c r="Q770" s="160" t="str">
        <f>IFERROR(VLOOKUP(C770,TD!$B$32:$F$36,3,0)," ")</f>
        <v xml:space="preserve"> </v>
      </c>
      <c r="R770" s="160" t="str">
        <f>IFERROR(VLOOKUP(C770,TD!$B$32:$F$36,4,0)," ")</f>
        <v xml:space="preserve"> </v>
      </c>
      <c r="S770" s="51"/>
      <c r="T770" s="160" t="str">
        <f>IFERROR(VLOOKUP(S770,TD!$J$33:$K$43,2,0)," ")</f>
        <v xml:space="preserve"> </v>
      </c>
      <c r="U770" s="161" t="str">
        <f>CONCATENATE(S770,"-",T770)</f>
        <v xml:space="preserve">- </v>
      </c>
      <c r="V770" s="51"/>
      <c r="W770" s="160" t="str">
        <f>IFERROR(VLOOKUP(V770,TD!$N$33:$O$45,2,0)," ")</f>
        <v xml:space="preserve"> </v>
      </c>
      <c r="X770" s="161" t="str">
        <f>CONCATENATE(V770,"_",W770)</f>
        <v xml:space="preserve">_ </v>
      </c>
      <c r="Y770" s="161" t="str">
        <f>CONCATENATE(U770," ",X770)</f>
        <v xml:space="preserve">-  _ </v>
      </c>
      <c r="Z770" s="160" t="str">
        <f>CONCATENATE(P770,Q770,R770,S770,V770)</f>
        <v xml:space="preserve">   </v>
      </c>
      <c r="AA770" s="160" t="str">
        <f>IFERROR(VLOOKUP(Y770,TD!$K$46:$L$64,2,0)," ")</f>
        <v xml:space="preserve"> </v>
      </c>
      <c r="AB770" s="53"/>
      <c r="AC770" s="162"/>
    </row>
    <row r="771" spans="2:29" s="28" customFormat="1" ht="99" customHeight="1" x14ac:dyDescent="0.35">
      <c r="B771" s="77"/>
      <c r="C771" s="50"/>
      <c r="D771" s="158"/>
      <c r="E771" s="51"/>
      <c r="F771" s="158"/>
      <c r="G771" s="158"/>
      <c r="H771" s="97"/>
      <c r="I771" s="159"/>
      <c r="J771" s="159"/>
      <c r="K771" s="52"/>
      <c r="L771" s="153"/>
      <c r="M771" s="158"/>
      <c r="N771" s="53"/>
      <c r="O771" s="51"/>
      <c r="P771" s="160" t="str">
        <f>IFERROR(VLOOKUP(C771,TD!$B$32:$F$36,2,0)," ")</f>
        <v xml:space="preserve"> </v>
      </c>
      <c r="Q771" s="160" t="str">
        <f>IFERROR(VLOOKUP(C771,TD!$B$32:$F$36,3,0)," ")</f>
        <v xml:space="preserve"> </v>
      </c>
      <c r="R771" s="160" t="str">
        <f>IFERROR(VLOOKUP(C771,TD!$B$32:$F$36,4,0)," ")</f>
        <v xml:space="preserve"> </v>
      </c>
      <c r="S771" s="51"/>
      <c r="T771" s="160" t="str">
        <f>IFERROR(VLOOKUP(S771,TD!$J$33:$K$43,2,0)," ")</f>
        <v xml:space="preserve"> </v>
      </c>
      <c r="U771" s="161" t="str">
        <f>CONCATENATE(S771,"-",T771)</f>
        <v xml:space="preserve">- </v>
      </c>
      <c r="V771" s="51"/>
      <c r="W771" s="160" t="str">
        <f>IFERROR(VLOOKUP(V771,TD!$N$33:$O$45,2,0)," ")</f>
        <v xml:space="preserve"> </v>
      </c>
      <c r="X771" s="161" t="str">
        <f>CONCATENATE(V771,"_",W771)</f>
        <v xml:space="preserve">_ </v>
      </c>
      <c r="Y771" s="161" t="str">
        <f>CONCATENATE(U771," ",X771)</f>
        <v xml:space="preserve">-  _ </v>
      </c>
      <c r="Z771" s="160" t="str">
        <f>CONCATENATE(P771,Q771,R771,S771,V771)</f>
        <v xml:space="preserve">   </v>
      </c>
      <c r="AA771" s="160" t="str">
        <f>IFERROR(VLOOKUP(Y771,TD!$K$46:$L$64,2,0)," ")</f>
        <v xml:space="preserve"> </v>
      </c>
      <c r="AB771" s="53"/>
      <c r="AC771" s="162"/>
    </row>
    <row r="772" spans="2:29" s="28" customFormat="1" ht="99" customHeight="1" x14ac:dyDescent="0.35">
      <c r="B772" s="77"/>
      <c r="C772" s="50"/>
      <c r="D772" s="158"/>
      <c r="E772" s="51"/>
      <c r="F772" s="158"/>
      <c r="G772" s="158"/>
      <c r="H772" s="97"/>
      <c r="I772" s="159"/>
      <c r="J772" s="159"/>
      <c r="K772" s="52"/>
      <c r="L772" s="153"/>
      <c r="M772" s="158"/>
      <c r="N772" s="53"/>
      <c r="O772" s="51"/>
      <c r="P772" s="160" t="str">
        <f>IFERROR(VLOOKUP(C772,TD!$B$32:$F$36,2,0)," ")</f>
        <v xml:space="preserve"> </v>
      </c>
      <c r="Q772" s="160" t="str">
        <f>IFERROR(VLOOKUP(C772,TD!$B$32:$F$36,3,0)," ")</f>
        <v xml:space="preserve"> </v>
      </c>
      <c r="R772" s="160" t="str">
        <f>IFERROR(VLOOKUP(C772,TD!$B$32:$F$36,4,0)," ")</f>
        <v xml:space="preserve"> </v>
      </c>
      <c r="S772" s="51"/>
      <c r="T772" s="160" t="str">
        <f>IFERROR(VLOOKUP(S772,TD!$J$33:$K$43,2,0)," ")</f>
        <v xml:space="preserve"> </v>
      </c>
      <c r="U772" s="161" t="str">
        <f>CONCATENATE(S772,"-",T772)</f>
        <v xml:space="preserve">- </v>
      </c>
      <c r="V772" s="51"/>
      <c r="W772" s="160" t="str">
        <f>IFERROR(VLOOKUP(V772,TD!$N$33:$O$45,2,0)," ")</f>
        <v xml:space="preserve"> </v>
      </c>
      <c r="X772" s="161" t="str">
        <f>CONCATENATE(V772,"_",W772)</f>
        <v xml:space="preserve">_ </v>
      </c>
      <c r="Y772" s="161" t="str">
        <f>CONCATENATE(U772," ",X772)</f>
        <v xml:space="preserve">-  _ </v>
      </c>
      <c r="Z772" s="160" t="str">
        <f>CONCATENATE(P772,Q772,R772,S772,V772)</f>
        <v xml:space="preserve">   </v>
      </c>
      <c r="AA772" s="160" t="str">
        <f>IFERROR(VLOOKUP(Y772,TD!$K$46:$L$64,2,0)," ")</f>
        <v xml:space="preserve"> </v>
      </c>
      <c r="AB772" s="53"/>
      <c r="AC772" s="162"/>
    </row>
    <row r="773" spans="2:29" s="28" customFormat="1" ht="99" customHeight="1" x14ac:dyDescent="0.35">
      <c r="B773" s="77"/>
      <c r="C773" s="50"/>
      <c r="D773" s="158"/>
      <c r="E773" s="51"/>
      <c r="F773" s="158"/>
      <c r="G773" s="158"/>
      <c r="H773" s="97"/>
      <c r="I773" s="159"/>
      <c r="J773" s="159"/>
      <c r="K773" s="52"/>
      <c r="L773" s="153"/>
      <c r="M773" s="158"/>
      <c r="N773" s="53"/>
      <c r="O773" s="51"/>
      <c r="P773" s="160" t="str">
        <f>IFERROR(VLOOKUP(C773,TD!$B$32:$F$36,2,0)," ")</f>
        <v xml:space="preserve"> </v>
      </c>
      <c r="Q773" s="160" t="str">
        <f>IFERROR(VLOOKUP(C773,TD!$B$32:$F$36,3,0)," ")</f>
        <v xml:space="preserve"> </v>
      </c>
      <c r="R773" s="160" t="str">
        <f>IFERROR(VLOOKUP(C773,TD!$B$32:$F$36,4,0)," ")</f>
        <v xml:space="preserve"> </v>
      </c>
      <c r="S773" s="51"/>
      <c r="T773" s="160" t="str">
        <f>IFERROR(VLOOKUP(S773,TD!$J$33:$K$43,2,0)," ")</f>
        <v xml:space="preserve"> </v>
      </c>
      <c r="U773" s="161" t="str">
        <f>CONCATENATE(S773,"-",T773)</f>
        <v xml:space="preserve">- </v>
      </c>
      <c r="V773" s="51"/>
      <c r="W773" s="160" t="str">
        <f>IFERROR(VLOOKUP(V773,TD!$N$33:$O$45,2,0)," ")</f>
        <v xml:space="preserve"> </v>
      </c>
      <c r="X773" s="161" t="str">
        <f>CONCATENATE(V773,"_",W773)</f>
        <v xml:space="preserve">_ </v>
      </c>
      <c r="Y773" s="161" t="str">
        <f>CONCATENATE(U773," ",X773)</f>
        <v xml:space="preserve">-  _ </v>
      </c>
      <c r="Z773" s="160" t="str">
        <f>CONCATENATE(P773,Q773,R773,S773,V773)</f>
        <v xml:space="preserve">   </v>
      </c>
      <c r="AA773" s="160" t="str">
        <f>IFERROR(VLOOKUP(Y773,TD!$K$46:$L$64,2,0)," ")</f>
        <v xml:space="preserve"> </v>
      </c>
      <c r="AB773" s="53"/>
      <c r="AC773" s="162"/>
    </row>
    <row r="774" spans="2:29" s="28" customFormat="1" ht="99" customHeight="1" x14ac:dyDescent="0.35">
      <c r="B774" s="77"/>
      <c r="C774" s="50"/>
      <c r="D774" s="158"/>
      <c r="E774" s="51"/>
      <c r="F774" s="158"/>
      <c r="G774" s="158"/>
      <c r="H774" s="97"/>
      <c r="I774" s="159"/>
      <c r="J774" s="159"/>
      <c r="K774" s="52"/>
      <c r="L774" s="153"/>
      <c r="M774" s="158"/>
      <c r="N774" s="53"/>
      <c r="O774" s="51"/>
      <c r="P774" s="160" t="str">
        <f>IFERROR(VLOOKUP(C774,TD!$B$32:$F$36,2,0)," ")</f>
        <v xml:space="preserve"> </v>
      </c>
      <c r="Q774" s="160" t="str">
        <f>IFERROR(VLOOKUP(C774,TD!$B$32:$F$36,3,0)," ")</f>
        <v xml:space="preserve"> </v>
      </c>
      <c r="R774" s="160" t="str">
        <f>IFERROR(VLOOKUP(C774,TD!$B$32:$F$36,4,0)," ")</f>
        <v xml:space="preserve"> </v>
      </c>
      <c r="S774" s="51"/>
      <c r="T774" s="160" t="str">
        <f>IFERROR(VLOOKUP(S774,TD!$J$33:$K$43,2,0)," ")</f>
        <v xml:space="preserve"> </v>
      </c>
      <c r="U774" s="161" t="str">
        <f>CONCATENATE(S774,"-",T774)</f>
        <v xml:space="preserve">- </v>
      </c>
      <c r="V774" s="51"/>
      <c r="W774" s="160" t="str">
        <f>IFERROR(VLOOKUP(V774,TD!$N$33:$O$45,2,0)," ")</f>
        <v xml:space="preserve"> </v>
      </c>
      <c r="X774" s="161" t="str">
        <f>CONCATENATE(V774,"_",W774)</f>
        <v xml:space="preserve">_ </v>
      </c>
      <c r="Y774" s="161" t="str">
        <f>CONCATENATE(U774," ",X774)</f>
        <v xml:space="preserve">-  _ </v>
      </c>
      <c r="Z774" s="160" t="str">
        <f>CONCATENATE(P774,Q774,R774,S774,V774)</f>
        <v xml:space="preserve">   </v>
      </c>
      <c r="AA774" s="160" t="str">
        <f>IFERROR(VLOOKUP(Y774,TD!$K$46:$L$64,2,0)," ")</f>
        <v xml:space="preserve"> </v>
      </c>
      <c r="AB774" s="53"/>
      <c r="AC774" s="162"/>
    </row>
    <row r="775" spans="2:29" s="28" customFormat="1" ht="99" customHeight="1" x14ac:dyDescent="0.35">
      <c r="B775" s="77"/>
      <c r="C775" s="50"/>
      <c r="D775" s="158"/>
      <c r="E775" s="51"/>
      <c r="F775" s="158"/>
      <c r="G775" s="158"/>
      <c r="H775" s="97"/>
      <c r="I775" s="159"/>
      <c r="J775" s="159"/>
      <c r="K775" s="52"/>
      <c r="L775" s="153"/>
      <c r="M775" s="158"/>
      <c r="N775" s="53"/>
      <c r="O775" s="51"/>
      <c r="P775" s="160" t="str">
        <f>IFERROR(VLOOKUP(C775,TD!$B$32:$F$36,2,0)," ")</f>
        <v xml:space="preserve"> </v>
      </c>
      <c r="Q775" s="160" t="str">
        <f>IFERROR(VLOOKUP(C775,TD!$B$32:$F$36,3,0)," ")</f>
        <v xml:space="preserve"> </v>
      </c>
      <c r="R775" s="160" t="str">
        <f>IFERROR(VLOOKUP(C775,TD!$B$32:$F$36,4,0)," ")</f>
        <v xml:space="preserve"> </v>
      </c>
      <c r="S775" s="51"/>
      <c r="T775" s="160" t="str">
        <f>IFERROR(VLOOKUP(S775,TD!$J$33:$K$43,2,0)," ")</f>
        <v xml:space="preserve"> </v>
      </c>
      <c r="U775" s="161" t="str">
        <f>CONCATENATE(S775,"-",T775)</f>
        <v xml:space="preserve">- </v>
      </c>
      <c r="V775" s="51"/>
      <c r="W775" s="160" t="str">
        <f>IFERROR(VLOOKUP(V775,TD!$N$33:$O$45,2,0)," ")</f>
        <v xml:space="preserve"> </v>
      </c>
      <c r="X775" s="161" t="str">
        <f>CONCATENATE(V775,"_",W775)</f>
        <v xml:space="preserve">_ </v>
      </c>
      <c r="Y775" s="161" t="str">
        <f>CONCATENATE(U775," ",X775)</f>
        <v xml:space="preserve">-  _ </v>
      </c>
      <c r="Z775" s="160" t="str">
        <f>CONCATENATE(P775,Q775,R775,S775,V775)</f>
        <v xml:space="preserve">   </v>
      </c>
      <c r="AA775" s="160" t="str">
        <f>IFERROR(VLOOKUP(Y775,TD!$K$46:$L$64,2,0)," ")</f>
        <v xml:space="preserve"> </v>
      </c>
      <c r="AB775" s="53"/>
      <c r="AC775" s="162"/>
    </row>
    <row r="776" spans="2:29" s="28" customFormat="1" ht="99" customHeight="1" x14ac:dyDescent="0.35">
      <c r="B776" s="77"/>
      <c r="C776" s="50"/>
      <c r="D776" s="158"/>
      <c r="E776" s="51"/>
      <c r="F776" s="158"/>
      <c r="G776" s="158"/>
      <c r="H776" s="97"/>
      <c r="I776" s="159"/>
      <c r="J776" s="159"/>
      <c r="K776" s="52"/>
      <c r="L776" s="153"/>
      <c r="M776" s="158"/>
      <c r="N776" s="53"/>
      <c r="O776" s="51"/>
      <c r="P776" s="160" t="str">
        <f>IFERROR(VLOOKUP(C776,TD!$B$32:$F$36,2,0)," ")</f>
        <v xml:space="preserve"> </v>
      </c>
      <c r="Q776" s="160" t="str">
        <f>IFERROR(VLOOKUP(C776,TD!$B$32:$F$36,3,0)," ")</f>
        <v xml:space="preserve"> </v>
      </c>
      <c r="R776" s="160" t="str">
        <f>IFERROR(VLOOKUP(C776,TD!$B$32:$F$36,4,0)," ")</f>
        <v xml:space="preserve"> </v>
      </c>
      <c r="S776" s="51"/>
      <c r="T776" s="160" t="str">
        <f>IFERROR(VLOOKUP(S776,TD!$J$33:$K$43,2,0)," ")</f>
        <v xml:space="preserve"> </v>
      </c>
      <c r="U776" s="161" t="str">
        <f>CONCATENATE(S776,"-",T776)</f>
        <v xml:space="preserve">- </v>
      </c>
      <c r="V776" s="51"/>
      <c r="W776" s="160" t="str">
        <f>IFERROR(VLOOKUP(V776,TD!$N$33:$O$45,2,0)," ")</f>
        <v xml:space="preserve"> </v>
      </c>
      <c r="X776" s="161" t="str">
        <f>CONCATENATE(V776,"_",W776)</f>
        <v xml:space="preserve">_ </v>
      </c>
      <c r="Y776" s="161" t="str">
        <f>CONCATENATE(U776," ",X776)</f>
        <v xml:space="preserve">-  _ </v>
      </c>
      <c r="Z776" s="160" t="str">
        <f>CONCATENATE(P776,Q776,R776,S776,V776)</f>
        <v xml:space="preserve">   </v>
      </c>
      <c r="AA776" s="160" t="str">
        <f>IFERROR(VLOOKUP(Y776,TD!$K$46:$L$64,2,0)," ")</f>
        <v xml:space="preserve"> </v>
      </c>
      <c r="AB776" s="53"/>
      <c r="AC776" s="162"/>
    </row>
    <row r="777" spans="2:29" s="28" customFormat="1" ht="99" customHeight="1" x14ac:dyDescent="0.35">
      <c r="B777" s="77"/>
      <c r="C777" s="50"/>
      <c r="D777" s="158"/>
      <c r="E777" s="51"/>
      <c r="F777" s="158"/>
      <c r="G777" s="158"/>
      <c r="H777" s="97"/>
      <c r="I777" s="159"/>
      <c r="J777" s="159"/>
      <c r="K777" s="52"/>
      <c r="L777" s="153"/>
      <c r="M777" s="158"/>
      <c r="N777" s="53"/>
      <c r="O777" s="51"/>
      <c r="P777" s="160" t="str">
        <f>IFERROR(VLOOKUP(C777,TD!$B$32:$F$36,2,0)," ")</f>
        <v xml:space="preserve"> </v>
      </c>
      <c r="Q777" s="160" t="str">
        <f>IFERROR(VLOOKUP(C777,TD!$B$32:$F$36,3,0)," ")</f>
        <v xml:space="preserve"> </v>
      </c>
      <c r="R777" s="160" t="str">
        <f>IFERROR(VLOOKUP(C777,TD!$B$32:$F$36,4,0)," ")</f>
        <v xml:space="preserve"> </v>
      </c>
      <c r="S777" s="51"/>
      <c r="T777" s="160" t="str">
        <f>IFERROR(VLOOKUP(S777,TD!$J$33:$K$43,2,0)," ")</f>
        <v xml:space="preserve"> </v>
      </c>
      <c r="U777" s="161" t="str">
        <f>CONCATENATE(S777,"-",T777)</f>
        <v xml:space="preserve">- </v>
      </c>
      <c r="V777" s="51"/>
      <c r="W777" s="160" t="str">
        <f>IFERROR(VLOOKUP(V777,TD!$N$33:$O$45,2,0)," ")</f>
        <v xml:space="preserve"> </v>
      </c>
      <c r="X777" s="161" t="str">
        <f>CONCATENATE(V777,"_",W777)</f>
        <v xml:space="preserve">_ </v>
      </c>
      <c r="Y777" s="161" t="str">
        <f>CONCATENATE(U777," ",X777)</f>
        <v xml:space="preserve">-  _ </v>
      </c>
      <c r="Z777" s="160" t="str">
        <f>CONCATENATE(P777,Q777,R777,S777,V777)</f>
        <v xml:space="preserve">   </v>
      </c>
      <c r="AA777" s="160" t="str">
        <f>IFERROR(VLOOKUP(Y777,TD!$K$46:$L$64,2,0)," ")</f>
        <v xml:space="preserve"> </v>
      </c>
      <c r="AB777" s="53"/>
      <c r="AC777" s="162"/>
    </row>
    <row r="778" spans="2:29" s="28" customFormat="1" ht="99" customHeight="1" x14ac:dyDescent="0.35">
      <c r="B778" s="77"/>
      <c r="C778" s="50"/>
      <c r="D778" s="158"/>
      <c r="E778" s="51"/>
      <c r="F778" s="158"/>
      <c r="G778" s="158"/>
      <c r="H778" s="97"/>
      <c r="I778" s="159"/>
      <c r="J778" s="159"/>
      <c r="K778" s="52"/>
      <c r="L778" s="153"/>
      <c r="M778" s="158"/>
      <c r="N778" s="53"/>
      <c r="O778" s="51"/>
      <c r="P778" s="160" t="str">
        <f>IFERROR(VLOOKUP(C778,TD!$B$32:$F$36,2,0)," ")</f>
        <v xml:space="preserve"> </v>
      </c>
      <c r="Q778" s="160" t="str">
        <f>IFERROR(VLOOKUP(C778,TD!$B$32:$F$36,3,0)," ")</f>
        <v xml:space="preserve"> </v>
      </c>
      <c r="R778" s="160" t="str">
        <f>IFERROR(VLOOKUP(C778,TD!$B$32:$F$36,4,0)," ")</f>
        <v xml:space="preserve"> </v>
      </c>
      <c r="S778" s="51"/>
      <c r="T778" s="160" t="str">
        <f>IFERROR(VLOOKUP(S778,TD!$J$33:$K$43,2,0)," ")</f>
        <v xml:space="preserve"> </v>
      </c>
      <c r="U778" s="161" t="str">
        <f>CONCATENATE(S778,"-",T778)</f>
        <v xml:space="preserve">- </v>
      </c>
      <c r="V778" s="51"/>
      <c r="W778" s="160" t="str">
        <f>IFERROR(VLOOKUP(V778,TD!$N$33:$O$45,2,0)," ")</f>
        <v xml:space="preserve"> </v>
      </c>
      <c r="X778" s="161" t="str">
        <f>CONCATENATE(V778,"_",W778)</f>
        <v xml:space="preserve">_ </v>
      </c>
      <c r="Y778" s="161" t="str">
        <f>CONCATENATE(U778," ",X778)</f>
        <v xml:space="preserve">-  _ </v>
      </c>
      <c r="Z778" s="160" t="str">
        <f>CONCATENATE(P778,Q778,R778,S778,V778)</f>
        <v xml:space="preserve">   </v>
      </c>
      <c r="AA778" s="160" t="str">
        <f>IFERROR(VLOOKUP(Y778,TD!$K$46:$L$64,2,0)," ")</f>
        <v xml:space="preserve"> </v>
      </c>
      <c r="AB778" s="53"/>
      <c r="AC778" s="162"/>
    </row>
    <row r="779" spans="2:29" s="28" customFormat="1" ht="99" customHeight="1" x14ac:dyDescent="0.35">
      <c r="B779" s="77"/>
      <c r="C779" s="50"/>
      <c r="D779" s="158"/>
      <c r="E779" s="51"/>
      <c r="F779" s="158"/>
      <c r="G779" s="158"/>
      <c r="H779" s="97"/>
      <c r="I779" s="159"/>
      <c r="J779" s="159"/>
      <c r="K779" s="52"/>
      <c r="L779" s="153"/>
      <c r="M779" s="158"/>
      <c r="N779" s="53"/>
      <c r="O779" s="51"/>
      <c r="P779" s="160" t="str">
        <f>IFERROR(VLOOKUP(C779,TD!$B$32:$F$36,2,0)," ")</f>
        <v xml:space="preserve"> </v>
      </c>
      <c r="Q779" s="160" t="str">
        <f>IFERROR(VLOOKUP(C779,TD!$B$32:$F$36,3,0)," ")</f>
        <v xml:space="preserve"> </v>
      </c>
      <c r="R779" s="160" t="str">
        <f>IFERROR(VLOOKUP(C779,TD!$B$32:$F$36,4,0)," ")</f>
        <v xml:space="preserve"> </v>
      </c>
      <c r="S779" s="51"/>
      <c r="T779" s="160" t="str">
        <f>IFERROR(VLOOKUP(S779,TD!$J$33:$K$43,2,0)," ")</f>
        <v xml:space="preserve"> </v>
      </c>
      <c r="U779" s="161" t="str">
        <f>CONCATENATE(S779,"-",T779)</f>
        <v xml:space="preserve">- </v>
      </c>
      <c r="V779" s="51"/>
      <c r="W779" s="160" t="str">
        <f>IFERROR(VLOOKUP(V779,TD!$N$33:$O$45,2,0)," ")</f>
        <v xml:space="preserve"> </v>
      </c>
      <c r="X779" s="161" t="str">
        <f>CONCATENATE(V779,"_",W779)</f>
        <v xml:space="preserve">_ </v>
      </c>
      <c r="Y779" s="161" t="str">
        <f>CONCATENATE(U779," ",X779)</f>
        <v xml:space="preserve">-  _ </v>
      </c>
      <c r="Z779" s="160" t="str">
        <f>CONCATENATE(P779,Q779,R779,S779,V779)</f>
        <v xml:space="preserve">   </v>
      </c>
      <c r="AA779" s="160" t="str">
        <f>IFERROR(VLOOKUP(Y779,TD!$K$46:$L$64,2,0)," ")</f>
        <v xml:space="preserve"> </v>
      </c>
      <c r="AB779" s="53"/>
      <c r="AC779" s="162"/>
    </row>
    <row r="780" spans="2:29" s="28" customFormat="1" ht="99" customHeight="1" x14ac:dyDescent="0.35">
      <c r="B780" s="77"/>
      <c r="C780" s="50"/>
      <c r="D780" s="158"/>
      <c r="E780" s="51"/>
      <c r="F780" s="158"/>
      <c r="G780" s="158"/>
      <c r="H780" s="97"/>
      <c r="I780" s="159"/>
      <c r="J780" s="159"/>
      <c r="K780" s="52"/>
      <c r="L780" s="153"/>
      <c r="M780" s="158"/>
      <c r="N780" s="53"/>
      <c r="O780" s="51"/>
      <c r="P780" s="160" t="str">
        <f>IFERROR(VLOOKUP(C780,TD!$B$32:$F$36,2,0)," ")</f>
        <v xml:space="preserve"> </v>
      </c>
      <c r="Q780" s="160" t="str">
        <f>IFERROR(VLOOKUP(C780,TD!$B$32:$F$36,3,0)," ")</f>
        <v xml:space="preserve"> </v>
      </c>
      <c r="R780" s="160" t="str">
        <f>IFERROR(VLOOKUP(C780,TD!$B$32:$F$36,4,0)," ")</f>
        <v xml:space="preserve"> </v>
      </c>
      <c r="S780" s="51"/>
      <c r="T780" s="160" t="str">
        <f>IFERROR(VLOOKUP(S780,TD!$J$33:$K$43,2,0)," ")</f>
        <v xml:space="preserve"> </v>
      </c>
      <c r="U780" s="161" t="str">
        <f>CONCATENATE(S780,"-",T780)</f>
        <v xml:space="preserve">- </v>
      </c>
      <c r="V780" s="51"/>
      <c r="W780" s="160" t="str">
        <f>IFERROR(VLOOKUP(V780,TD!$N$33:$O$45,2,0)," ")</f>
        <v xml:space="preserve"> </v>
      </c>
      <c r="X780" s="161" t="str">
        <f>CONCATENATE(V780,"_",W780)</f>
        <v xml:space="preserve">_ </v>
      </c>
      <c r="Y780" s="161" t="str">
        <f>CONCATENATE(U780," ",X780)</f>
        <v xml:space="preserve">-  _ </v>
      </c>
      <c r="Z780" s="160" t="str">
        <f>CONCATENATE(P780,Q780,R780,S780,V780)</f>
        <v xml:space="preserve">   </v>
      </c>
      <c r="AA780" s="160" t="str">
        <f>IFERROR(VLOOKUP(Y780,TD!$K$46:$L$64,2,0)," ")</f>
        <v xml:space="preserve"> </v>
      </c>
      <c r="AB780" s="53"/>
      <c r="AC780" s="162"/>
    </row>
    <row r="781" spans="2:29" s="28" customFormat="1" ht="99" customHeight="1" x14ac:dyDescent="0.35">
      <c r="B781" s="77"/>
      <c r="C781" s="50"/>
      <c r="D781" s="158"/>
      <c r="E781" s="51"/>
      <c r="F781" s="158"/>
      <c r="G781" s="158"/>
      <c r="H781" s="97"/>
      <c r="I781" s="159"/>
      <c r="J781" s="159"/>
      <c r="K781" s="52"/>
      <c r="L781" s="153"/>
      <c r="M781" s="158"/>
      <c r="N781" s="53"/>
      <c r="O781" s="51"/>
      <c r="P781" s="160" t="str">
        <f>IFERROR(VLOOKUP(C781,TD!$B$32:$F$36,2,0)," ")</f>
        <v xml:space="preserve"> </v>
      </c>
      <c r="Q781" s="160" t="str">
        <f>IFERROR(VLOOKUP(C781,TD!$B$32:$F$36,3,0)," ")</f>
        <v xml:space="preserve"> </v>
      </c>
      <c r="R781" s="160" t="str">
        <f>IFERROR(VLOOKUP(C781,TD!$B$32:$F$36,4,0)," ")</f>
        <v xml:space="preserve"> </v>
      </c>
      <c r="S781" s="51"/>
      <c r="T781" s="160" t="str">
        <f>IFERROR(VLOOKUP(S781,TD!$J$33:$K$43,2,0)," ")</f>
        <v xml:space="preserve"> </v>
      </c>
      <c r="U781" s="161" t="str">
        <f>CONCATENATE(S781,"-",T781)</f>
        <v xml:space="preserve">- </v>
      </c>
      <c r="V781" s="51"/>
      <c r="W781" s="160" t="str">
        <f>IFERROR(VLOOKUP(V781,TD!$N$33:$O$45,2,0)," ")</f>
        <v xml:space="preserve"> </v>
      </c>
      <c r="X781" s="161" t="str">
        <f>CONCATENATE(V781,"_",W781)</f>
        <v xml:space="preserve">_ </v>
      </c>
      <c r="Y781" s="161" t="str">
        <f>CONCATENATE(U781," ",X781)</f>
        <v xml:space="preserve">-  _ </v>
      </c>
      <c r="Z781" s="160" t="str">
        <f>CONCATENATE(P781,Q781,R781,S781,V781)</f>
        <v xml:space="preserve">   </v>
      </c>
      <c r="AA781" s="160" t="str">
        <f>IFERROR(VLOOKUP(Y781,TD!$K$46:$L$64,2,0)," ")</f>
        <v xml:space="preserve"> </v>
      </c>
      <c r="AB781" s="53"/>
      <c r="AC781" s="162"/>
    </row>
    <row r="782" spans="2:29" s="28" customFormat="1" ht="99" customHeight="1" x14ac:dyDescent="0.35">
      <c r="B782" s="77"/>
      <c r="C782" s="50"/>
      <c r="D782" s="158"/>
      <c r="E782" s="51"/>
      <c r="F782" s="158"/>
      <c r="G782" s="158"/>
      <c r="H782" s="97"/>
      <c r="I782" s="159"/>
      <c r="J782" s="159"/>
      <c r="K782" s="52"/>
      <c r="L782" s="153"/>
      <c r="M782" s="158"/>
      <c r="N782" s="53"/>
      <c r="O782" s="51"/>
      <c r="P782" s="160" t="str">
        <f>IFERROR(VLOOKUP(C782,TD!$B$32:$F$36,2,0)," ")</f>
        <v xml:space="preserve"> </v>
      </c>
      <c r="Q782" s="160" t="str">
        <f>IFERROR(VLOOKUP(C782,TD!$B$32:$F$36,3,0)," ")</f>
        <v xml:space="preserve"> </v>
      </c>
      <c r="R782" s="160" t="str">
        <f>IFERROR(VLOOKUP(C782,TD!$B$32:$F$36,4,0)," ")</f>
        <v xml:space="preserve"> </v>
      </c>
      <c r="S782" s="51"/>
      <c r="T782" s="160" t="str">
        <f>IFERROR(VLOOKUP(S782,TD!$J$33:$K$43,2,0)," ")</f>
        <v xml:space="preserve"> </v>
      </c>
      <c r="U782" s="161" t="str">
        <f>CONCATENATE(S782,"-",T782)</f>
        <v xml:space="preserve">- </v>
      </c>
      <c r="V782" s="51"/>
      <c r="W782" s="160" t="str">
        <f>IFERROR(VLOOKUP(V782,TD!$N$33:$O$45,2,0)," ")</f>
        <v xml:space="preserve"> </v>
      </c>
      <c r="X782" s="161" t="str">
        <f>CONCATENATE(V782,"_",W782)</f>
        <v xml:space="preserve">_ </v>
      </c>
      <c r="Y782" s="161" t="str">
        <f>CONCATENATE(U782," ",X782)</f>
        <v xml:space="preserve">-  _ </v>
      </c>
      <c r="Z782" s="160" t="str">
        <f>CONCATENATE(P782,Q782,R782,S782,V782)</f>
        <v xml:space="preserve">   </v>
      </c>
      <c r="AA782" s="160" t="str">
        <f>IFERROR(VLOOKUP(Y782,TD!$K$46:$L$64,2,0)," ")</f>
        <v xml:space="preserve"> </v>
      </c>
      <c r="AB782" s="53"/>
      <c r="AC782" s="162"/>
    </row>
    <row r="783" spans="2:29" s="28" customFormat="1" ht="99" customHeight="1" x14ac:dyDescent="0.35">
      <c r="B783" s="77"/>
      <c r="C783" s="50"/>
      <c r="D783" s="158"/>
      <c r="E783" s="51"/>
      <c r="F783" s="158"/>
      <c r="G783" s="158"/>
      <c r="H783" s="97"/>
      <c r="I783" s="159"/>
      <c r="J783" s="159"/>
      <c r="K783" s="52"/>
      <c r="L783" s="153"/>
      <c r="M783" s="158"/>
      <c r="N783" s="53"/>
      <c r="O783" s="51"/>
      <c r="P783" s="160" t="str">
        <f>IFERROR(VLOOKUP(C783,TD!$B$32:$F$36,2,0)," ")</f>
        <v xml:space="preserve"> </v>
      </c>
      <c r="Q783" s="160" t="str">
        <f>IFERROR(VLOOKUP(C783,TD!$B$32:$F$36,3,0)," ")</f>
        <v xml:space="preserve"> </v>
      </c>
      <c r="R783" s="160" t="str">
        <f>IFERROR(VLOOKUP(C783,TD!$B$32:$F$36,4,0)," ")</f>
        <v xml:space="preserve"> </v>
      </c>
      <c r="S783" s="51"/>
      <c r="T783" s="160" t="str">
        <f>IFERROR(VLOOKUP(S783,TD!$J$33:$K$43,2,0)," ")</f>
        <v xml:space="preserve"> </v>
      </c>
      <c r="U783" s="161" t="str">
        <f>CONCATENATE(S783,"-",T783)</f>
        <v xml:space="preserve">- </v>
      </c>
      <c r="V783" s="51"/>
      <c r="W783" s="160" t="str">
        <f>IFERROR(VLOOKUP(V783,TD!$N$33:$O$45,2,0)," ")</f>
        <v xml:space="preserve"> </v>
      </c>
      <c r="X783" s="161" t="str">
        <f>CONCATENATE(V783,"_",W783)</f>
        <v xml:space="preserve">_ </v>
      </c>
      <c r="Y783" s="161" t="str">
        <f>CONCATENATE(U783," ",X783)</f>
        <v xml:space="preserve">-  _ </v>
      </c>
      <c r="Z783" s="160" t="str">
        <f>CONCATENATE(P783,Q783,R783,S783,V783)</f>
        <v xml:space="preserve">   </v>
      </c>
      <c r="AA783" s="160" t="str">
        <f>IFERROR(VLOOKUP(Y783,TD!$K$46:$L$64,2,0)," ")</f>
        <v xml:space="preserve"> </v>
      </c>
      <c r="AB783" s="53"/>
      <c r="AC783" s="162"/>
    </row>
    <row r="784" spans="2:29" s="28" customFormat="1" ht="99" customHeight="1" x14ac:dyDescent="0.35">
      <c r="B784" s="77"/>
      <c r="C784" s="50"/>
      <c r="D784" s="158"/>
      <c r="E784" s="51"/>
      <c r="F784" s="158"/>
      <c r="G784" s="158"/>
      <c r="H784" s="97"/>
      <c r="I784" s="159"/>
      <c r="J784" s="159"/>
      <c r="K784" s="52"/>
      <c r="L784" s="153"/>
      <c r="M784" s="158"/>
      <c r="N784" s="53"/>
      <c r="O784" s="51"/>
      <c r="P784" s="160" t="str">
        <f>IFERROR(VLOOKUP(C784,TD!$B$32:$F$36,2,0)," ")</f>
        <v xml:space="preserve"> </v>
      </c>
      <c r="Q784" s="160" t="str">
        <f>IFERROR(VLOOKUP(C784,TD!$B$32:$F$36,3,0)," ")</f>
        <v xml:space="preserve"> </v>
      </c>
      <c r="R784" s="160" t="str">
        <f>IFERROR(VLOOKUP(C784,TD!$B$32:$F$36,4,0)," ")</f>
        <v xml:space="preserve"> </v>
      </c>
      <c r="S784" s="51"/>
      <c r="T784" s="160" t="str">
        <f>IFERROR(VLOOKUP(S784,TD!$J$33:$K$43,2,0)," ")</f>
        <v xml:space="preserve"> </v>
      </c>
      <c r="U784" s="161" t="str">
        <f>CONCATENATE(S784,"-",T784)</f>
        <v xml:space="preserve">- </v>
      </c>
      <c r="V784" s="51"/>
      <c r="W784" s="160" t="str">
        <f>IFERROR(VLOOKUP(V784,TD!$N$33:$O$45,2,0)," ")</f>
        <v xml:space="preserve"> </v>
      </c>
      <c r="X784" s="161" t="str">
        <f>CONCATENATE(V784,"_",W784)</f>
        <v xml:space="preserve">_ </v>
      </c>
      <c r="Y784" s="161" t="str">
        <f>CONCATENATE(U784," ",X784)</f>
        <v xml:space="preserve">-  _ </v>
      </c>
      <c r="Z784" s="160" t="str">
        <f>CONCATENATE(P784,Q784,R784,S784,V784)</f>
        <v xml:space="preserve">   </v>
      </c>
      <c r="AA784" s="160" t="str">
        <f>IFERROR(VLOOKUP(Y784,TD!$K$46:$L$64,2,0)," ")</f>
        <v xml:space="preserve"> </v>
      </c>
      <c r="AB784" s="53"/>
      <c r="AC784" s="162"/>
    </row>
    <row r="785" spans="2:29" s="28" customFormat="1" ht="99" customHeight="1" x14ac:dyDescent="0.35">
      <c r="B785" s="77"/>
      <c r="C785" s="50"/>
      <c r="D785" s="158"/>
      <c r="E785" s="51"/>
      <c r="F785" s="158"/>
      <c r="G785" s="158"/>
      <c r="H785" s="97"/>
      <c r="I785" s="159"/>
      <c r="J785" s="159"/>
      <c r="K785" s="52"/>
      <c r="L785" s="153"/>
      <c r="M785" s="158"/>
      <c r="N785" s="53"/>
      <c r="O785" s="51"/>
      <c r="P785" s="160" t="str">
        <f>IFERROR(VLOOKUP(C785,TD!$B$32:$F$36,2,0)," ")</f>
        <v xml:space="preserve"> </v>
      </c>
      <c r="Q785" s="160" t="str">
        <f>IFERROR(VLOOKUP(C785,TD!$B$32:$F$36,3,0)," ")</f>
        <v xml:space="preserve"> </v>
      </c>
      <c r="R785" s="160" t="str">
        <f>IFERROR(VLOOKUP(C785,TD!$B$32:$F$36,4,0)," ")</f>
        <v xml:space="preserve"> </v>
      </c>
      <c r="S785" s="51"/>
      <c r="T785" s="160" t="str">
        <f>IFERROR(VLOOKUP(S785,TD!$J$33:$K$43,2,0)," ")</f>
        <v xml:space="preserve"> </v>
      </c>
      <c r="U785" s="161" t="str">
        <f>CONCATENATE(S785,"-",T785)</f>
        <v xml:space="preserve">- </v>
      </c>
      <c r="V785" s="51"/>
      <c r="W785" s="160" t="str">
        <f>IFERROR(VLOOKUP(V785,TD!$N$33:$O$45,2,0)," ")</f>
        <v xml:space="preserve"> </v>
      </c>
      <c r="X785" s="161" t="str">
        <f>CONCATENATE(V785,"_",W785)</f>
        <v xml:space="preserve">_ </v>
      </c>
      <c r="Y785" s="161" t="str">
        <f>CONCATENATE(U785," ",X785)</f>
        <v xml:space="preserve">-  _ </v>
      </c>
      <c r="Z785" s="160" t="str">
        <f>CONCATENATE(P785,Q785,R785,S785,V785)</f>
        <v xml:space="preserve">   </v>
      </c>
      <c r="AA785" s="160" t="str">
        <f>IFERROR(VLOOKUP(Y785,TD!$K$46:$L$64,2,0)," ")</f>
        <v xml:space="preserve"> </v>
      </c>
      <c r="AB785" s="53"/>
      <c r="AC785" s="162"/>
    </row>
    <row r="786" spans="2:29" s="28" customFormat="1" ht="99" customHeight="1" x14ac:dyDescent="0.35">
      <c r="B786" s="77"/>
      <c r="C786" s="50"/>
      <c r="D786" s="158"/>
      <c r="E786" s="51"/>
      <c r="F786" s="158"/>
      <c r="G786" s="158"/>
      <c r="H786" s="97"/>
      <c r="I786" s="159"/>
      <c r="J786" s="159"/>
      <c r="K786" s="52"/>
      <c r="L786" s="153"/>
      <c r="M786" s="158"/>
      <c r="N786" s="53"/>
      <c r="O786" s="51"/>
      <c r="P786" s="160" t="str">
        <f>IFERROR(VLOOKUP(C786,TD!$B$32:$F$36,2,0)," ")</f>
        <v xml:space="preserve"> </v>
      </c>
      <c r="Q786" s="160" t="str">
        <f>IFERROR(VLOOKUP(C786,TD!$B$32:$F$36,3,0)," ")</f>
        <v xml:space="preserve"> </v>
      </c>
      <c r="R786" s="160" t="str">
        <f>IFERROR(VLOOKUP(C786,TD!$B$32:$F$36,4,0)," ")</f>
        <v xml:space="preserve"> </v>
      </c>
      <c r="S786" s="51"/>
      <c r="T786" s="160" t="str">
        <f>IFERROR(VLOOKUP(S786,TD!$J$33:$K$43,2,0)," ")</f>
        <v xml:space="preserve"> </v>
      </c>
      <c r="U786" s="161" t="str">
        <f>CONCATENATE(S786,"-",T786)</f>
        <v xml:space="preserve">- </v>
      </c>
      <c r="V786" s="51"/>
      <c r="W786" s="160" t="str">
        <f>IFERROR(VLOOKUP(V786,TD!$N$33:$O$45,2,0)," ")</f>
        <v xml:space="preserve"> </v>
      </c>
      <c r="X786" s="161" t="str">
        <f>CONCATENATE(V786,"_",W786)</f>
        <v xml:space="preserve">_ </v>
      </c>
      <c r="Y786" s="161" t="str">
        <f>CONCATENATE(U786," ",X786)</f>
        <v xml:space="preserve">-  _ </v>
      </c>
      <c r="Z786" s="160" t="str">
        <f>CONCATENATE(P786,Q786,R786,S786,V786)</f>
        <v xml:space="preserve">   </v>
      </c>
      <c r="AA786" s="160" t="str">
        <f>IFERROR(VLOOKUP(Y786,TD!$K$46:$L$64,2,0)," ")</f>
        <v xml:space="preserve"> </v>
      </c>
      <c r="AB786" s="53"/>
      <c r="AC786" s="162"/>
    </row>
    <row r="787" spans="2:29" s="28" customFormat="1" ht="99" customHeight="1" x14ac:dyDescent="0.35">
      <c r="B787" s="77"/>
      <c r="C787" s="50"/>
      <c r="D787" s="158"/>
      <c r="E787" s="51"/>
      <c r="F787" s="158"/>
      <c r="G787" s="158"/>
      <c r="H787" s="97"/>
      <c r="I787" s="159"/>
      <c r="J787" s="159"/>
      <c r="K787" s="52"/>
      <c r="L787" s="153"/>
      <c r="M787" s="158"/>
      <c r="N787" s="53"/>
      <c r="O787" s="51"/>
      <c r="P787" s="160" t="str">
        <f>IFERROR(VLOOKUP(C787,TD!$B$32:$F$36,2,0)," ")</f>
        <v xml:space="preserve"> </v>
      </c>
      <c r="Q787" s="160" t="str">
        <f>IFERROR(VLOOKUP(C787,TD!$B$32:$F$36,3,0)," ")</f>
        <v xml:space="preserve"> </v>
      </c>
      <c r="R787" s="160" t="str">
        <f>IFERROR(VLOOKUP(C787,TD!$B$32:$F$36,4,0)," ")</f>
        <v xml:space="preserve"> </v>
      </c>
      <c r="S787" s="51"/>
      <c r="T787" s="160" t="str">
        <f>IFERROR(VLOOKUP(S787,TD!$J$33:$K$43,2,0)," ")</f>
        <v xml:space="preserve"> </v>
      </c>
      <c r="U787" s="161" t="str">
        <f>CONCATENATE(S787,"-",T787)</f>
        <v xml:space="preserve">- </v>
      </c>
      <c r="V787" s="51"/>
      <c r="W787" s="160" t="str">
        <f>IFERROR(VLOOKUP(V787,TD!$N$33:$O$45,2,0)," ")</f>
        <v xml:space="preserve"> </v>
      </c>
      <c r="X787" s="161" t="str">
        <f>CONCATENATE(V787,"_",W787)</f>
        <v xml:space="preserve">_ </v>
      </c>
      <c r="Y787" s="161" t="str">
        <f>CONCATENATE(U787," ",X787)</f>
        <v xml:space="preserve">-  _ </v>
      </c>
      <c r="Z787" s="160" t="str">
        <f>CONCATENATE(P787,Q787,R787,S787,V787)</f>
        <v xml:space="preserve">   </v>
      </c>
      <c r="AA787" s="160" t="str">
        <f>IFERROR(VLOOKUP(Y787,TD!$K$46:$L$64,2,0)," ")</f>
        <v xml:space="preserve"> </v>
      </c>
      <c r="AB787" s="53"/>
      <c r="AC787" s="162"/>
    </row>
    <row r="788" spans="2:29" s="28" customFormat="1" ht="99" customHeight="1" x14ac:dyDescent="0.35">
      <c r="B788" s="77"/>
      <c r="C788" s="50"/>
      <c r="D788" s="158"/>
      <c r="E788" s="51"/>
      <c r="F788" s="158"/>
      <c r="G788" s="158"/>
      <c r="H788" s="97"/>
      <c r="I788" s="159"/>
      <c r="J788" s="159"/>
      <c r="K788" s="52"/>
      <c r="L788" s="153"/>
      <c r="M788" s="158"/>
      <c r="N788" s="53"/>
      <c r="O788" s="51"/>
      <c r="P788" s="160" t="str">
        <f>IFERROR(VLOOKUP(C788,TD!$B$32:$F$36,2,0)," ")</f>
        <v xml:space="preserve"> </v>
      </c>
      <c r="Q788" s="160" t="str">
        <f>IFERROR(VLOOKUP(C788,TD!$B$32:$F$36,3,0)," ")</f>
        <v xml:space="preserve"> </v>
      </c>
      <c r="R788" s="160" t="str">
        <f>IFERROR(VLOOKUP(C788,TD!$B$32:$F$36,4,0)," ")</f>
        <v xml:space="preserve"> </v>
      </c>
      <c r="S788" s="51"/>
      <c r="T788" s="160" t="str">
        <f>IFERROR(VLOOKUP(S788,TD!$J$33:$K$43,2,0)," ")</f>
        <v xml:space="preserve"> </v>
      </c>
      <c r="U788" s="161" t="str">
        <f>CONCATENATE(S788,"-",T788)</f>
        <v xml:space="preserve">- </v>
      </c>
      <c r="V788" s="51"/>
      <c r="W788" s="160" t="str">
        <f>IFERROR(VLOOKUP(V788,TD!$N$33:$O$45,2,0)," ")</f>
        <v xml:space="preserve"> </v>
      </c>
      <c r="X788" s="161" t="str">
        <f>CONCATENATE(V788,"_",W788)</f>
        <v xml:space="preserve">_ </v>
      </c>
      <c r="Y788" s="161" t="str">
        <f>CONCATENATE(U788," ",X788)</f>
        <v xml:space="preserve">-  _ </v>
      </c>
      <c r="Z788" s="160" t="str">
        <f>CONCATENATE(P788,Q788,R788,S788,V788)</f>
        <v xml:space="preserve">   </v>
      </c>
      <c r="AA788" s="160" t="str">
        <f>IFERROR(VLOOKUP(Y788,TD!$K$46:$L$64,2,0)," ")</f>
        <v xml:space="preserve"> </v>
      </c>
      <c r="AB788" s="53"/>
      <c r="AC788" s="162"/>
    </row>
    <row r="789" spans="2:29" s="28" customFormat="1" ht="99" customHeight="1" x14ac:dyDescent="0.35">
      <c r="B789" s="77"/>
      <c r="C789" s="50"/>
      <c r="D789" s="158"/>
      <c r="E789" s="51"/>
      <c r="F789" s="158"/>
      <c r="G789" s="158"/>
      <c r="H789" s="97"/>
      <c r="I789" s="159"/>
      <c r="J789" s="159"/>
      <c r="K789" s="52"/>
      <c r="L789" s="153"/>
      <c r="M789" s="158"/>
      <c r="N789" s="53"/>
      <c r="O789" s="51"/>
      <c r="P789" s="160" t="str">
        <f>IFERROR(VLOOKUP(C789,TD!$B$32:$F$36,2,0)," ")</f>
        <v xml:space="preserve"> </v>
      </c>
      <c r="Q789" s="160" t="str">
        <f>IFERROR(VLOOKUP(C789,TD!$B$32:$F$36,3,0)," ")</f>
        <v xml:space="preserve"> </v>
      </c>
      <c r="R789" s="160" t="str">
        <f>IFERROR(VLOOKUP(C789,TD!$B$32:$F$36,4,0)," ")</f>
        <v xml:space="preserve"> </v>
      </c>
      <c r="S789" s="51"/>
      <c r="T789" s="160" t="str">
        <f>IFERROR(VLOOKUP(S789,TD!$J$33:$K$43,2,0)," ")</f>
        <v xml:space="preserve"> </v>
      </c>
      <c r="U789" s="161" t="str">
        <f>CONCATENATE(S789,"-",T789)</f>
        <v xml:space="preserve">- </v>
      </c>
      <c r="V789" s="51"/>
      <c r="W789" s="160" t="str">
        <f>IFERROR(VLOOKUP(V789,TD!$N$33:$O$45,2,0)," ")</f>
        <v xml:space="preserve"> </v>
      </c>
      <c r="X789" s="161" t="str">
        <f>CONCATENATE(V789,"_",W789)</f>
        <v xml:space="preserve">_ </v>
      </c>
      <c r="Y789" s="161" t="str">
        <f>CONCATENATE(U789," ",X789)</f>
        <v xml:space="preserve">-  _ </v>
      </c>
      <c r="Z789" s="160" t="str">
        <f>CONCATENATE(P789,Q789,R789,S789,V789)</f>
        <v xml:space="preserve">   </v>
      </c>
      <c r="AA789" s="160" t="str">
        <f>IFERROR(VLOOKUP(Y789,TD!$K$46:$L$64,2,0)," ")</f>
        <v xml:space="preserve"> </v>
      </c>
      <c r="AB789" s="53"/>
      <c r="AC789" s="162"/>
    </row>
    <row r="790" spans="2:29" s="28" customFormat="1" ht="99" customHeight="1" x14ac:dyDescent="0.35">
      <c r="B790" s="77"/>
      <c r="C790" s="50"/>
      <c r="D790" s="158"/>
      <c r="E790" s="51"/>
      <c r="F790" s="158"/>
      <c r="G790" s="158"/>
      <c r="H790" s="97"/>
      <c r="I790" s="159"/>
      <c r="J790" s="159"/>
      <c r="K790" s="52"/>
      <c r="L790" s="153"/>
      <c r="M790" s="158"/>
      <c r="N790" s="53"/>
      <c r="O790" s="51"/>
      <c r="P790" s="160" t="str">
        <f>IFERROR(VLOOKUP(C790,TD!$B$32:$F$36,2,0)," ")</f>
        <v xml:space="preserve"> </v>
      </c>
      <c r="Q790" s="160" t="str">
        <f>IFERROR(VLOOKUP(C790,TD!$B$32:$F$36,3,0)," ")</f>
        <v xml:space="preserve"> </v>
      </c>
      <c r="R790" s="160" t="str">
        <f>IFERROR(VLOOKUP(C790,TD!$B$32:$F$36,4,0)," ")</f>
        <v xml:space="preserve"> </v>
      </c>
      <c r="S790" s="51"/>
      <c r="T790" s="160" t="str">
        <f>IFERROR(VLOOKUP(S790,TD!$J$33:$K$43,2,0)," ")</f>
        <v xml:space="preserve"> </v>
      </c>
      <c r="U790" s="161" t="str">
        <f>CONCATENATE(S790,"-",T790)</f>
        <v xml:space="preserve">- </v>
      </c>
      <c r="V790" s="51"/>
      <c r="W790" s="160" t="str">
        <f>IFERROR(VLOOKUP(V790,TD!$N$33:$O$45,2,0)," ")</f>
        <v xml:space="preserve"> </v>
      </c>
      <c r="X790" s="161" t="str">
        <f>CONCATENATE(V790,"_",W790)</f>
        <v xml:space="preserve">_ </v>
      </c>
      <c r="Y790" s="161" t="str">
        <f>CONCATENATE(U790," ",X790)</f>
        <v xml:space="preserve">-  _ </v>
      </c>
      <c r="Z790" s="160" t="str">
        <f>CONCATENATE(P790,Q790,R790,S790,V790)</f>
        <v xml:space="preserve">   </v>
      </c>
      <c r="AA790" s="160" t="str">
        <f>IFERROR(VLOOKUP(Y790,TD!$K$46:$L$64,2,0)," ")</f>
        <v xml:space="preserve"> </v>
      </c>
      <c r="AB790" s="53"/>
      <c r="AC790" s="162"/>
    </row>
    <row r="791" spans="2:29" s="28" customFormat="1" ht="99" customHeight="1" x14ac:dyDescent="0.35">
      <c r="B791" s="77"/>
      <c r="C791" s="50"/>
      <c r="D791" s="158"/>
      <c r="E791" s="51"/>
      <c r="F791" s="158"/>
      <c r="G791" s="158"/>
      <c r="H791" s="97"/>
      <c r="I791" s="159"/>
      <c r="J791" s="159"/>
      <c r="K791" s="52"/>
      <c r="L791" s="153"/>
      <c r="M791" s="158"/>
      <c r="N791" s="53"/>
      <c r="O791" s="51"/>
      <c r="P791" s="160" t="str">
        <f>IFERROR(VLOOKUP(C791,TD!$B$32:$F$36,2,0)," ")</f>
        <v xml:space="preserve"> </v>
      </c>
      <c r="Q791" s="160" t="str">
        <f>IFERROR(VLOOKUP(C791,TD!$B$32:$F$36,3,0)," ")</f>
        <v xml:space="preserve"> </v>
      </c>
      <c r="R791" s="160" t="str">
        <f>IFERROR(VLOOKUP(C791,TD!$B$32:$F$36,4,0)," ")</f>
        <v xml:space="preserve"> </v>
      </c>
      <c r="S791" s="51"/>
      <c r="T791" s="160" t="str">
        <f>IFERROR(VLOOKUP(S791,TD!$J$33:$K$43,2,0)," ")</f>
        <v xml:space="preserve"> </v>
      </c>
      <c r="U791" s="161" t="str">
        <f>CONCATENATE(S791,"-",T791)</f>
        <v xml:space="preserve">- </v>
      </c>
      <c r="V791" s="51"/>
      <c r="W791" s="160" t="str">
        <f>IFERROR(VLOOKUP(V791,TD!$N$33:$O$45,2,0)," ")</f>
        <v xml:space="preserve"> </v>
      </c>
      <c r="X791" s="161" t="str">
        <f>CONCATENATE(V791,"_",W791)</f>
        <v xml:space="preserve">_ </v>
      </c>
      <c r="Y791" s="161" t="str">
        <f>CONCATENATE(U791," ",X791)</f>
        <v xml:space="preserve">-  _ </v>
      </c>
      <c r="Z791" s="160" t="str">
        <f>CONCATENATE(P791,Q791,R791,S791,V791)</f>
        <v xml:space="preserve">   </v>
      </c>
      <c r="AA791" s="160" t="str">
        <f>IFERROR(VLOOKUP(Y791,TD!$K$46:$L$64,2,0)," ")</f>
        <v xml:space="preserve"> </v>
      </c>
      <c r="AB791" s="53"/>
      <c r="AC791" s="162"/>
    </row>
    <row r="792" spans="2:29" s="28" customFormat="1" ht="99" customHeight="1" x14ac:dyDescent="0.35">
      <c r="B792" s="77"/>
      <c r="C792" s="50"/>
      <c r="D792" s="158"/>
      <c r="E792" s="51"/>
      <c r="F792" s="158"/>
      <c r="G792" s="158"/>
      <c r="H792" s="97"/>
      <c r="I792" s="159"/>
      <c r="J792" s="159"/>
      <c r="K792" s="52"/>
      <c r="L792" s="153"/>
      <c r="M792" s="158"/>
      <c r="N792" s="53"/>
      <c r="O792" s="51"/>
      <c r="P792" s="160" t="str">
        <f>IFERROR(VLOOKUP(C792,TD!$B$32:$F$36,2,0)," ")</f>
        <v xml:space="preserve"> </v>
      </c>
      <c r="Q792" s="160" t="str">
        <f>IFERROR(VLOOKUP(C792,TD!$B$32:$F$36,3,0)," ")</f>
        <v xml:space="preserve"> </v>
      </c>
      <c r="R792" s="160" t="str">
        <f>IFERROR(VLOOKUP(C792,TD!$B$32:$F$36,4,0)," ")</f>
        <v xml:space="preserve"> </v>
      </c>
      <c r="S792" s="51"/>
      <c r="T792" s="160" t="str">
        <f>IFERROR(VLOOKUP(S792,TD!$J$33:$K$43,2,0)," ")</f>
        <v xml:space="preserve"> </v>
      </c>
      <c r="U792" s="161" t="str">
        <f>CONCATENATE(S792,"-",T792)</f>
        <v xml:space="preserve">- </v>
      </c>
      <c r="V792" s="51"/>
      <c r="W792" s="160" t="str">
        <f>IFERROR(VLOOKUP(V792,TD!$N$33:$O$45,2,0)," ")</f>
        <v xml:space="preserve"> </v>
      </c>
      <c r="X792" s="161" t="str">
        <f>CONCATENATE(V792,"_",W792)</f>
        <v xml:space="preserve">_ </v>
      </c>
      <c r="Y792" s="161" t="str">
        <f>CONCATENATE(U792," ",X792)</f>
        <v xml:space="preserve">-  _ </v>
      </c>
      <c r="Z792" s="160" t="str">
        <f>CONCATENATE(P792,Q792,R792,S792,V792)</f>
        <v xml:space="preserve">   </v>
      </c>
      <c r="AA792" s="160" t="str">
        <f>IFERROR(VLOOKUP(Y792,TD!$K$46:$L$64,2,0)," ")</f>
        <v xml:space="preserve"> </v>
      </c>
      <c r="AB792" s="53"/>
      <c r="AC792" s="162"/>
    </row>
    <row r="793" spans="2:29" s="28" customFormat="1" ht="99" customHeight="1" x14ac:dyDescent="0.35">
      <c r="B793" s="77"/>
      <c r="C793" s="50"/>
      <c r="D793" s="158"/>
      <c r="E793" s="51"/>
      <c r="F793" s="158"/>
      <c r="G793" s="158"/>
      <c r="H793" s="97"/>
      <c r="I793" s="159"/>
      <c r="J793" s="159"/>
      <c r="K793" s="52"/>
      <c r="L793" s="153"/>
      <c r="M793" s="158"/>
      <c r="N793" s="53"/>
      <c r="O793" s="51"/>
      <c r="P793" s="160" t="str">
        <f>IFERROR(VLOOKUP(C793,TD!$B$32:$F$36,2,0)," ")</f>
        <v xml:space="preserve"> </v>
      </c>
      <c r="Q793" s="160" t="str">
        <f>IFERROR(VLOOKUP(C793,TD!$B$32:$F$36,3,0)," ")</f>
        <v xml:space="preserve"> </v>
      </c>
      <c r="R793" s="160" t="str">
        <f>IFERROR(VLOOKUP(C793,TD!$B$32:$F$36,4,0)," ")</f>
        <v xml:space="preserve"> </v>
      </c>
      <c r="S793" s="51"/>
      <c r="T793" s="160" t="str">
        <f>IFERROR(VLOOKUP(S793,TD!$J$33:$K$43,2,0)," ")</f>
        <v xml:space="preserve"> </v>
      </c>
      <c r="U793" s="161" t="str">
        <f>CONCATENATE(S793,"-",T793)</f>
        <v xml:space="preserve">- </v>
      </c>
      <c r="V793" s="51"/>
      <c r="W793" s="160" t="str">
        <f>IFERROR(VLOOKUP(V793,TD!$N$33:$O$45,2,0)," ")</f>
        <v xml:space="preserve"> </v>
      </c>
      <c r="X793" s="161" t="str">
        <f>CONCATENATE(V793,"_",W793)</f>
        <v xml:space="preserve">_ </v>
      </c>
      <c r="Y793" s="161" t="str">
        <f>CONCATENATE(U793," ",X793)</f>
        <v xml:space="preserve">-  _ </v>
      </c>
      <c r="Z793" s="160" t="str">
        <f>CONCATENATE(P793,Q793,R793,S793,V793)</f>
        <v xml:space="preserve">   </v>
      </c>
      <c r="AA793" s="160" t="str">
        <f>IFERROR(VLOOKUP(Y793,TD!$K$46:$L$64,2,0)," ")</f>
        <v xml:space="preserve"> </v>
      </c>
      <c r="AB793" s="53"/>
      <c r="AC793" s="162"/>
    </row>
    <row r="794" spans="2:29" s="28" customFormat="1" ht="99" customHeight="1" x14ac:dyDescent="0.35">
      <c r="B794" s="77"/>
      <c r="C794" s="50"/>
      <c r="D794" s="158"/>
      <c r="E794" s="51"/>
      <c r="F794" s="158"/>
      <c r="G794" s="158"/>
      <c r="H794" s="97"/>
      <c r="I794" s="159"/>
      <c r="J794" s="159"/>
      <c r="K794" s="52"/>
      <c r="L794" s="153"/>
      <c r="M794" s="158"/>
      <c r="N794" s="53"/>
      <c r="O794" s="51"/>
      <c r="P794" s="160" t="str">
        <f>IFERROR(VLOOKUP(C794,TD!$B$32:$F$36,2,0)," ")</f>
        <v xml:space="preserve"> </v>
      </c>
      <c r="Q794" s="160" t="str">
        <f>IFERROR(VLOOKUP(C794,TD!$B$32:$F$36,3,0)," ")</f>
        <v xml:space="preserve"> </v>
      </c>
      <c r="R794" s="160" t="str">
        <f>IFERROR(VLOOKUP(C794,TD!$B$32:$F$36,4,0)," ")</f>
        <v xml:space="preserve"> </v>
      </c>
      <c r="S794" s="51"/>
      <c r="T794" s="160" t="str">
        <f>IFERROR(VLOOKUP(S794,TD!$J$33:$K$43,2,0)," ")</f>
        <v xml:space="preserve"> </v>
      </c>
      <c r="U794" s="161" t="str">
        <f>CONCATENATE(S794,"-",T794)</f>
        <v xml:space="preserve">- </v>
      </c>
      <c r="V794" s="51"/>
      <c r="W794" s="160" t="str">
        <f>IFERROR(VLOOKUP(V794,TD!$N$33:$O$45,2,0)," ")</f>
        <v xml:space="preserve"> </v>
      </c>
      <c r="X794" s="161" t="str">
        <f>CONCATENATE(V794,"_",W794)</f>
        <v xml:space="preserve">_ </v>
      </c>
      <c r="Y794" s="161" t="str">
        <f>CONCATENATE(U794," ",X794)</f>
        <v xml:space="preserve">-  _ </v>
      </c>
      <c r="Z794" s="160" t="str">
        <f>CONCATENATE(P794,Q794,R794,S794,V794)</f>
        <v xml:space="preserve">   </v>
      </c>
      <c r="AA794" s="160" t="str">
        <f>IFERROR(VLOOKUP(Y794,TD!$K$46:$L$64,2,0)," ")</f>
        <v xml:space="preserve"> </v>
      </c>
      <c r="AB794" s="53"/>
      <c r="AC794" s="162"/>
    </row>
    <row r="795" spans="2:29" s="28" customFormat="1" ht="99" customHeight="1" x14ac:dyDescent="0.35">
      <c r="B795" s="77"/>
      <c r="C795" s="50"/>
      <c r="D795" s="158"/>
      <c r="E795" s="51"/>
      <c r="F795" s="158"/>
      <c r="G795" s="158"/>
      <c r="H795" s="97"/>
      <c r="I795" s="159"/>
      <c r="J795" s="159"/>
      <c r="K795" s="52"/>
      <c r="L795" s="153"/>
      <c r="M795" s="158"/>
      <c r="N795" s="53"/>
      <c r="O795" s="51"/>
      <c r="P795" s="160" t="str">
        <f>IFERROR(VLOOKUP(C795,TD!$B$32:$F$36,2,0)," ")</f>
        <v xml:space="preserve"> </v>
      </c>
      <c r="Q795" s="160" t="str">
        <f>IFERROR(VLOOKUP(C795,TD!$B$32:$F$36,3,0)," ")</f>
        <v xml:space="preserve"> </v>
      </c>
      <c r="R795" s="160" t="str">
        <f>IFERROR(VLOOKUP(C795,TD!$B$32:$F$36,4,0)," ")</f>
        <v xml:space="preserve"> </v>
      </c>
      <c r="S795" s="51"/>
      <c r="T795" s="160" t="str">
        <f>IFERROR(VLOOKUP(S795,TD!$J$33:$K$43,2,0)," ")</f>
        <v xml:space="preserve"> </v>
      </c>
      <c r="U795" s="161" t="str">
        <f>CONCATENATE(S795,"-",T795)</f>
        <v xml:space="preserve">- </v>
      </c>
      <c r="V795" s="51"/>
      <c r="W795" s="160" t="str">
        <f>IFERROR(VLOOKUP(V795,TD!$N$33:$O$45,2,0)," ")</f>
        <v xml:space="preserve"> </v>
      </c>
      <c r="X795" s="161" t="str">
        <f>CONCATENATE(V795,"_",W795)</f>
        <v xml:space="preserve">_ </v>
      </c>
      <c r="Y795" s="161" t="str">
        <f>CONCATENATE(U795," ",X795)</f>
        <v xml:space="preserve">-  _ </v>
      </c>
      <c r="Z795" s="160" t="str">
        <f>CONCATENATE(P795,Q795,R795,S795,V795)</f>
        <v xml:space="preserve">   </v>
      </c>
      <c r="AA795" s="160" t="str">
        <f>IFERROR(VLOOKUP(Y795,TD!$K$46:$L$64,2,0)," ")</f>
        <v xml:space="preserve"> </v>
      </c>
      <c r="AB795" s="53"/>
      <c r="AC795" s="162"/>
    </row>
    <row r="796" spans="2:29" s="28" customFormat="1" ht="99" customHeight="1" x14ac:dyDescent="0.35">
      <c r="B796" s="77"/>
      <c r="C796" s="50"/>
      <c r="D796" s="158"/>
      <c r="E796" s="51"/>
      <c r="F796" s="158"/>
      <c r="G796" s="158"/>
      <c r="H796" s="97"/>
      <c r="I796" s="159"/>
      <c r="J796" s="159"/>
      <c r="K796" s="52"/>
      <c r="L796" s="153"/>
      <c r="M796" s="158"/>
      <c r="N796" s="53"/>
      <c r="O796" s="51"/>
      <c r="P796" s="160" t="str">
        <f>IFERROR(VLOOKUP(C796,TD!$B$32:$F$36,2,0)," ")</f>
        <v xml:space="preserve"> </v>
      </c>
      <c r="Q796" s="160" t="str">
        <f>IFERROR(VLOOKUP(C796,TD!$B$32:$F$36,3,0)," ")</f>
        <v xml:space="preserve"> </v>
      </c>
      <c r="R796" s="160" t="str">
        <f>IFERROR(VLOOKUP(C796,TD!$B$32:$F$36,4,0)," ")</f>
        <v xml:space="preserve"> </v>
      </c>
      <c r="S796" s="51"/>
      <c r="T796" s="160" t="str">
        <f>IFERROR(VLOOKUP(S796,TD!$J$33:$K$43,2,0)," ")</f>
        <v xml:space="preserve"> </v>
      </c>
      <c r="U796" s="161" t="str">
        <f>CONCATENATE(S796,"-",T796)</f>
        <v xml:space="preserve">- </v>
      </c>
      <c r="V796" s="51"/>
      <c r="W796" s="160" t="str">
        <f>IFERROR(VLOOKUP(V796,TD!$N$33:$O$45,2,0)," ")</f>
        <v xml:space="preserve"> </v>
      </c>
      <c r="X796" s="161" t="str">
        <f>CONCATENATE(V796,"_",W796)</f>
        <v xml:space="preserve">_ </v>
      </c>
      <c r="Y796" s="161" t="str">
        <f>CONCATENATE(U796," ",X796)</f>
        <v xml:space="preserve">-  _ </v>
      </c>
      <c r="Z796" s="160" t="str">
        <f>CONCATENATE(P796,Q796,R796,S796,V796)</f>
        <v xml:space="preserve">   </v>
      </c>
      <c r="AA796" s="160" t="str">
        <f>IFERROR(VLOOKUP(Y796,TD!$K$46:$L$64,2,0)," ")</f>
        <v xml:space="preserve"> </v>
      </c>
      <c r="AB796" s="53"/>
      <c r="AC796" s="162"/>
    </row>
    <row r="797" spans="2:29" s="28" customFormat="1" ht="99" customHeight="1" x14ac:dyDescent="0.35">
      <c r="B797" s="77"/>
      <c r="C797" s="50"/>
      <c r="D797" s="158"/>
      <c r="E797" s="51"/>
      <c r="F797" s="158"/>
      <c r="G797" s="158"/>
      <c r="H797" s="97"/>
      <c r="I797" s="159"/>
      <c r="J797" s="159"/>
      <c r="K797" s="52"/>
      <c r="L797" s="153"/>
      <c r="M797" s="158"/>
      <c r="N797" s="53"/>
      <c r="O797" s="51"/>
      <c r="P797" s="160" t="str">
        <f>IFERROR(VLOOKUP(C797,TD!$B$32:$F$36,2,0)," ")</f>
        <v xml:space="preserve"> </v>
      </c>
      <c r="Q797" s="160" t="str">
        <f>IFERROR(VLOOKUP(C797,TD!$B$32:$F$36,3,0)," ")</f>
        <v xml:space="preserve"> </v>
      </c>
      <c r="R797" s="160" t="str">
        <f>IFERROR(VLOOKUP(C797,TD!$B$32:$F$36,4,0)," ")</f>
        <v xml:space="preserve"> </v>
      </c>
      <c r="S797" s="51"/>
      <c r="T797" s="160" t="str">
        <f>IFERROR(VLOOKUP(S797,TD!$J$33:$K$43,2,0)," ")</f>
        <v xml:space="preserve"> </v>
      </c>
      <c r="U797" s="161" t="str">
        <f>CONCATENATE(S797,"-",T797)</f>
        <v xml:space="preserve">- </v>
      </c>
      <c r="V797" s="51"/>
      <c r="W797" s="160" t="str">
        <f>IFERROR(VLOOKUP(V797,TD!$N$33:$O$45,2,0)," ")</f>
        <v xml:space="preserve"> </v>
      </c>
      <c r="X797" s="161" t="str">
        <f>CONCATENATE(V797,"_",W797)</f>
        <v xml:space="preserve">_ </v>
      </c>
      <c r="Y797" s="161" t="str">
        <f>CONCATENATE(U797," ",X797)</f>
        <v xml:space="preserve">-  _ </v>
      </c>
      <c r="Z797" s="160" t="str">
        <f>CONCATENATE(P797,Q797,R797,S797,V797)</f>
        <v xml:space="preserve">   </v>
      </c>
      <c r="AA797" s="160" t="str">
        <f>IFERROR(VLOOKUP(Y797,TD!$K$46:$L$64,2,0)," ")</f>
        <v xml:space="preserve"> </v>
      </c>
      <c r="AB797" s="53"/>
      <c r="AC797" s="162"/>
    </row>
    <row r="798" spans="2:29" s="28" customFormat="1" ht="99" customHeight="1" x14ac:dyDescent="0.35">
      <c r="B798" s="77"/>
      <c r="C798" s="50"/>
      <c r="D798" s="158"/>
      <c r="E798" s="51"/>
      <c r="F798" s="158"/>
      <c r="G798" s="158"/>
      <c r="H798" s="97"/>
      <c r="I798" s="159"/>
      <c r="J798" s="159"/>
      <c r="K798" s="52"/>
      <c r="L798" s="153"/>
      <c r="M798" s="158"/>
      <c r="N798" s="53"/>
      <c r="O798" s="51"/>
      <c r="P798" s="160" t="str">
        <f>IFERROR(VLOOKUP(C798,TD!$B$32:$F$36,2,0)," ")</f>
        <v xml:space="preserve"> </v>
      </c>
      <c r="Q798" s="160" t="str">
        <f>IFERROR(VLOOKUP(C798,TD!$B$32:$F$36,3,0)," ")</f>
        <v xml:space="preserve"> </v>
      </c>
      <c r="R798" s="160" t="str">
        <f>IFERROR(VLOOKUP(C798,TD!$B$32:$F$36,4,0)," ")</f>
        <v xml:space="preserve"> </v>
      </c>
      <c r="S798" s="51"/>
      <c r="T798" s="160" t="str">
        <f>IFERROR(VLOOKUP(S798,TD!$J$33:$K$43,2,0)," ")</f>
        <v xml:space="preserve"> </v>
      </c>
      <c r="U798" s="161" t="str">
        <f>CONCATENATE(S798,"-",T798)</f>
        <v xml:space="preserve">- </v>
      </c>
      <c r="V798" s="51"/>
      <c r="W798" s="160" t="str">
        <f>IFERROR(VLOOKUP(V798,TD!$N$33:$O$45,2,0)," ")</f>
        <v xml:space="preserve"> </v>
      </c>
      <c r="X798" s="161" t="str">
        <f>CONCATENATE(V798,"_",W798)</f>
        <v xml:space="preserve">_ </v>
      </c>
      <c r="Y798" s="161" t="str">
        <f>CONCATENATE(U798," ",X798)</f>
        <v xml:space="preserve">-  _ </v>
      </c>
      <c r="Z798" s="160" t="str">
        <f>CONCATENATE(P798,Q798,R798,S798,V798)</f>
        <v xml:space="preserve">   </v>
      </c>
      <c r="AA798" s="160" t="str">
        <f>IFERROR(VLOOKUP(Y798,TD!$K$46:$L$64,2,0)," ")</f>
        <v xml:space="preserve"> </v>
      </c>
      <c r="AB798" s="53"/>
      <c r="AC798" s="162"/>
    </row>
    <row r="799" spans="2:29" s="28" customFormat="1" ht="99" customHeight="1" x14ac:dyDescent="0.35">
      <c r="B799" s="77"/>
      <c r="C799" s="50"/>
      <c r="D799" s="158"/>
      <c r="E799" s="51"/>
      <c r="F799" s="158"/>
      <c r="G799" s="158"/>
      <c r="H799" s="97"/>
      <c r="I799" s="159"/>
      <c r="J799" s="159"/>
      <c r="K799" s="52"/>
      <c r="L799" s="153"/>
      <c r="M799" s="158"/>
      <c r="N799" s="53"/>
      <c r="O799" s="51"/>
      <c r="P799" s="160" t="str">
        <f>IFERROR(VLOOKUP(C799,TD!$B$32:$F$36,2,0)," ")</f>
        <v xml:space="preserve"> </v>
      </c>
      <c r="Q799" s="160" t="str">
        <f>IFERROR(VLOOKUP(C799,TD!$B$32:$F$36,3,0)," ")</f>
        <v xml:space="preserve"> </v>
      </c>
      <c r="R799" s="160" t="str">
        <f>IFERROR(VLOOKUP(C799,TD!$B$32:$F$36,4,0)," ")</f>
        <v xml:space="preserve"> </v>
      </c>
      <c r="S799" s="51"/>
      <c r="T799" s="160" t="str">
        <f>IFERROR(VLOOKUP(S799,TD!$J$33:$K$43,2,0)," ")</f>
        <v xml:space="preserve"> </v>
      </c>
      <c r="U799" s="161" t="str">
        <f>CONCATENATE(S799,"-",T799)</f>
        <v xml:space="preserve">- </v>
      </c>
      <c r="V799" s="51"/>
      <c r="W799" s="160" t="str">
        <f>IFERROR(VLOOKUP(V799,TD!$N$33:$O$45,2,0)," ")</f>
        <v xml:space="preserve"> </v>
      </c>
      <c r="X799" s="161" t="str">
        <f>CONCATENATE(V799,"_",W799)</f>
        <v xml:space="preserve">_ </v>
      </c>
      <c r="Y799" s="161" t="str">
        <f>CONCATENATE(U799," ",X799)</f>
        <v xml:space="preserve">-  _ </v>
      </c>
      <c r="Z799" s="160" t="str">
        <f>CONCATENATE(P799,Q799,R799,S799,V799)</f>
        <v xml:space="preserve">   </v>
      </c>
      <c r="AA799" s="160" t="str">
        <f>IFERROR(VLOOKUP(Y799,TD!$K$46:$L$64,2,0)," ")</f>
        <v xml:space="preserve"> </v>
      </c>
      <c r="AB799" s="53"/>
      <c r="AC799" s="162"/>
    </row>
    <row r="800" spans="2:29" s="28" customFormat="1" ht="99" customHeight="1" x14ac:dyDescent="0.35">
      <c r="B800" s="77"/>
      <c r="C800" s="50"/>
      <c r="D800" s="158"/>
      <c r="E800" s="51"/>
      <c r="F800" s="158"/>
      <c r="G800" s="158"/>
      <c r="H800" s="97"/>
      <c r="I800" s="159"/>
      <c r="J800" s="159"/>
      <c r="K800" s="52"/>
      <c r="L800" s="153"/>
      <c r="M800" s="158"/>
      <c r="N800" s="53"/>
      <c r="O800" s="51"/>
      <c r="P800" s="160" t="str">
        <f>IFERROR(VLOOKUP(C800,TD!$B$32:$F$36,2,0)," ")</f>
        <v xml:space="preserve"> </v>
      </c>
      <c r="Q800" s="160" t="str">
        <f>IFERROR(VLOOKUP(C800,TD!$B$32:$F$36,3,0)," ")</f>
        <v xml:space="preserve"> </v>
      </c>
      <c r="R800" s="160" t="str">
        <f>IFERROR(VLOOKUP(C800,TD!$B$32:$F$36,4,0)," ")</f>
        <v xml:space="preserve"> </v>
      </c>
      <c r="S800" s="51"/>
      <c r="T800" s="160" t="str">
        <f>IFERROR(VLOOKUP(S800,TD!$J$33:$K$43,2,0)," ")</f>
        <v xml:space="preserve"> </v>
      </c>
      <c r="U800" s="161" t="str">
        <f>CONCATENATE(S800,"-",T800)</f>
        <v xml:space="preserve">- </v>
      </c>
      <c r="V800" s="51"/>
      <c r="W800" s="160" t="str">
        <f>IFERROR(VLOOKUP(V800,TD!$N$33:$O$45,2,0)," ")</f>
        <v xml:space="preserve"> </v>
      </c>
      <c r="X800" s="161" t="str">
        <f>CONCATENATE(V800,"_",W800)</f>
        <v xml:space="preserve">_ </v>
      </c>
      <c r="Y800" s="161" t="str">
        <f>CONCATENATE(U800," ",X800)</f>
        <v xml:space="preserve">-  _ </v>
      </c>
      <c r="Z800" s="160" t="str">
        <f>CONCATENATE(P800,Q800,R800,S800,V800)</f>
        <v xml:space="preserve">   </v>
      </c>
      <c r="AA800" s="160" t="str">
        <f>IFERROR(VLOOKUP(Y800,TD!$K$46:$L$64,2,0)," ")</f>
        <v xml:space="preserve"> </v>
      </c>
      <c r="AB800" s="53"/>
      <c r="AC800" s="162"/>
    </row>
    <row r="801" spans="2:29" s="28" customFormat="1" ht="99" customHeight="1" x14ac:dyDescent="0.35">
      <c r="B801" s="77"/>
      <c r="C801" s="50"/>
      <c r="D801" s="158"/>
      <c r="E801" s="51"/>
      <c r="F801" s="158"/>
      <c r="G801" s="158"/>
      <c r="H801" s="97"/>
      <c r="I801" s="159"/>
      <c r="J801" s="159"/>
      <c r="K801" s="52"/>
      <c r="L801" s="153"/>
      <c r="M801" s="158"/>
      <c r="N801" s="53"/>
      <c r="O801" s="51"/>
      <c r="P801" s="160" t="str">
        <f>IFERROR(VLOOKUP(C801,TD!$B$32:$F$36,2,0)," ")</f>
        <v xml:space="preserve"> </v>
      </c>
      <c r="Q801" s="160" t="str">
        <f>IFERROR(VLOOKUP(C801,TD!$B$32:$F$36,3,0)," ")</f>
        <v xml:space="preserve"> </v>
      </c>
      <c r="R801" s="160" t="str">
        <f>IFERROR(VLOOKUP(C801,TD!$B$32:$F$36,4,0)," ")</f>
        <v xml:space="preserve"> </v>
      </c>
      <c r="S801" s="51"/>
      <c r="T801" s="160" t="str">
        <f>IFERROR(VLOOKUP(S801,TD!$J$33:$K$43,2,0)," ")</f>
        <v xml:space="preserve"> </v>
      </c>
      <c r="U801" s="161" t="str">
        <f>CONCATENATE(S801,"-",T801)</f>
        <v xml:space="preserve">- </v>
      </c>
      <c r="V801" s="51"/>
      <c r="W801" s="160" t="str">
        <f>IFERROR(VLOOKUP(V801,TD!$N$33:$O$45,2,0)," ")</f>
        <v xml:space="preserve"> </v>
      </c>
      <c r="X801" s="161" t="str">
        <f>CONCATENATE(V801,"_",W801)</f>
        <v xml:space="preserve">_ </v>
      </c>
      <c r="Y801" s="161" t="str">
        <f>CONCATENATE(U801," ",X801)</f>
        <v xml:space="preserve">-  _ </v>
      </c>
      <c r="Z801" s="160" t="str">
        <f>CONCATENATE(P801,Q801,R801,S801,V801)</f>
        <v xml:space="preserve">   </v>
      </c>
      <c r="AA801" s="160" t="str">
        <f>IFERROR(VLOOKUP(Y801,TD!$K$46:$L$64,2,0)," ")</f>
        <v xml:space="preserve"> </v>
      </c>
      <c r="AB801" s="53"/>
      <c r="AC801" s="162"/>
    </row>
    <row r="802" spans="2:29" s="28" customFormat="1" ht="99" customHeight="1" x14ac:dyDescent="0.35">
      <c r="B802" s="77"/>
      <c r="C802" s="50"/>
      <c r="D802" s="158"/>
      <c r="E802" s="51"/>
      <c r="F802" s="158"/>
      <c r="G802" s="158"/>
      <c r="H802" s="97"/>
      <c r="I802" s="159"/>
      <c r="J802" s="159"/>
      <c r="K802" s="52"/>
      <c r="L802" s="153"/>
      <c r="M802" s="158"/>
      <c r="N802" s="53"/>
      <c r="O802" s="51"/>
      <c r="P802" s="160" t="str">
        <f>IFERROR(VLOOKUP(C802,TD!$B$32:$F$36,2,0)," ")</f>
        <v xml:space="preserve"> </v>
      </c>
      <c r="Q802" s="160" t="str">
        <f>IFERROR(VLOOKUP(C802,TD!$B$32:$F$36,3,0)," ")</f>
        <v xml:space="preserve"> </v>
      </c>
      <c r="R802" s="160" t="str">
        <f>IFERROR(VLOOKUP(C802,TD!$B$32:$F$36,4,0)," ")</f>
        <v xml:space="preserve"> </v>
      </c>
      <c r="S802" s="51"/>
      <c r="T802" s="160" t="str">
        <f>IFERROR(VLOOKUP(S802,TD!$J$33:$K$43,2,0)," ")</f>
        <v xml:space="preserve"> </v>
      </c>
      <c r="U802" s="161" t="str">
        <f>CONCATENATE(S802,"-",T802)</f>
        <v xml:space="preserve">- </v>
      </c>
      <c r="V802" s="51"/>
      <c r="W802" s="160" t="str">
        <f>IFERROR(VLOOKUP(V802,TD!$N$33:$O$45,2,0)," ")</f>
        <v xml:space="preserve"> </v>
      </c>
      <c r="X802" s="161" t="str">
        <f>CONCATENATE(V802,"_",W802)</f>
        <v xml:space="preserve">_ </v>
      </c>
      <c r="Y802" s="161" t="str">
        <f>CONCATENATE(U802," ",X802)</f>
        <v xml:space="preserve">-  _ </v>
      </c>
      <c r="Z802" s="160" t="str">
        <f>CONCATENATE(P802,Q802,R802,S802,V802)</f>
        <v xml:space="preserve">   </v>
      </c>
      <c r="AA802" s="160" t="str">
        <f>IFERROR(VLOOKUP(Y802,TD!$K$46:$L$64,2,0)," ")</f>
        <v xml:space="preserve"> </v>
      </c>
      <c r="AB802" s="53"/>
      <c r="AC802" s="162"/>
    </row>
    <row r="803" spans="2:29" s="28" customFormat="1" ht="99" customHeight="1" x14ac:dyDescent="0.35">
      <c r="B803" s="77"/>
      <c r="C803" s="50"/>
      <c r="D803" s="158"/>
      <c r="E803" s="51"/>
      <c r="F803" s="158"/>
      <c r="G803" s="158"/>
      <c r="H803" s="97"/>
      <c r="I803" s="159"/>
      <c r="J803" s="159"/>
      <c r="K803" s="52"/>
      <c r="L803" s="153"/>
      <c r="M803" s="158"/>
      <c r="N803" s="53"/>
      <c r="O803" s="51"/>
      <c r="P803" s="160" t="str">
        <f>IFERROR(VLOOKUP(C803,TD!$B$32:$F$36,2,0)," ")</f>
        <v xml:space="preserve"> </v>
      </c>
      <c r="Q803" s="160" t="str">
        <f>IFERROR(VLOOKUP(C803,TD!$B$32:$F$36,3,0)," ")</f>
        <v xml:space="preserve"> </v>
      </c>
      <c r="R803" s="160" t="str">
        <f>IFERROR(VLOOKUP(C803,TD!$B$32:$F$36,4,0)," ")</f>
        <v xml:space="preserve"> </v>
      </c>
      <c r="S803" s="51"/>
      <c r="T803" s="160" t="str">
        <f>IFERROR(VLOOKUP(S803,TD!$J$33:$K$43,2,0)," ")</f>
        <v xml:space="preserve"> </v>
      </c>
      <c r="U803" s="161" t="str">
        <f>CONCATENATE(S803,"-",T803)</f>
        <v xml:space="preserve">- </v>
      </c>
      <c r="V803" s="51"/>
      <c r="W803" s="160" t="str">
        <f>IFERROR(VLOOKUP(V803,TD!$N$33:$O$45,2,0)," ")</f>
        <v xml:space="preserve"> </v>
      </c>
      <c r="X803" s="161" t="str">
        <f>CONCATENATE(V803,"_",W803)</f>
        <v xml:space="preserve">_ </v>
      </c>
      <c r="Y803" s="161" t="str">
        <f>CONCATENATE(U803," ",X803)</f>
        <v xml:space="preserve">-  _ </v>
      </c>
      <c r="Z803" s="160" t="str">
        <f>CONCATENATE(P803,Q803,R803,S803,V803)</f>
        <v xml:space="preserve">   </v>
      </c>
      <c r="AA803" s="160" t="str">
        <f>IFERROR(VLOOKUP(Y803,TD!$K$46:$L$64,2,0)," ")</f>
        <v xml:space="preserve"> </v>
      </c>
      <c r="AB803" s="53"/>
      <c r="AC803" s="162"/>
    </row>
    <row r="804" spans="2:29" s="28" customFormat="1" ht="99" customHeight="1" x14ac:dyDescent="0.35">
      <c r="B804" s="77"/>
      <c r="C804" s="50"/>
      <c r="D804" s="158"/>
      <c r="E804" s="51"/>
      <c r="F804" s="158"/>
      <c r="G804" s="158"/>
      <c r="H804" s="97"/>
      <c r="I804" s="159"/>
      <c r="J804" s="159"/>
      <c r="K804" s="52"/>
      <c r="L804" s="153"/>
      <c r="M804" s="158"/>
      <c r="N804" s="53"/>
      <c r="O804" s="51"/>
      <c r="P804" s="160" t="str">
        <f>IFERROR(VLOOKUP(C804,TD!$B$32:$F$36,2,0)," ")</f>
        <v xml:space="preserve"> </v>
      </c>
      <c r="Q804" s="160" t="str">
        <f>IFERROR(VLOOKUP(C804,TD!$B$32:$F$36,3,0)," ")</f>
        <v xml:space="preserve"> </v>
      </c>
      <c r="R804" s="160" t="str">
        <f>IFERROR(VLOOKUP(C804,TD!$B$32:$F$36,4,0)," ")</f>
        <v xml:space="preserve"> </v>
      </c>
      <c r="S804" s="51"/>
      <c r="T804" s="160" t="str">
        <f>IFERROR(VLOOKUP(S804,TD!$J$33:$K$43,2,0)," ")</f>
        <v xml:space="preserve"> </v>
      </c>
      <c r="U804" s="161" t="str">
        <f>CONCATENATE(S804,"-",T804)</f>
        <v xml:space="preserve">- </v>
      </c>
      <c r="V804" s="51"/>
      <c r="W804" s="160" t="str">
        <f>IFERROR(VLOOKUP(V804,TD!$N$33:$O$45,2,0)," ")</f>
        <v xml:space="preserve"> </v>
      </c>
      <c r="X804" s="161" t="str">
        <f>CONCATENATE(V804,"_",W804)</f>
        <v xml:space="preserve">_ </v>
      </c>
      <c r="Y804" s="161" t="str">
        <f>CONCATENATE(U804," ",X804)</f>
        <v xml:space="preserve">-  _ </v>
      </c>
      <c r="Z804" s="160" t="str">
        <f>CONCATENATE(P804,Q804,R804,S804,V804)</f>
        <v xml:space="preserve">   </v>
      </c>
      <c r="AA804" s="160" t="str">
        <f>IFERROR(VLOOKUP(Y804,TD!$K$46:$L$64,2,0)," ")</f>
        <v xml:space="preserve"> </v>
      </c>
      <c r="AB804" s="53"/>
      <c r="AC804" s="162"/>
    </row>
    <row r="805" spans="2:29" s="28" customFormat="1" ht="99" customHeight="1" x14ac:dyDescent="0.35">
      <c r="B805" s="77"/>
      <c r="C805" s="50"/>
      <c r="D805" s="158"/>
      <c r="E805" s="51"/>
      <c r="F805" s="158"/>
      <c r="G805" s="158"/>
      <c r="H805" s="97"/>
      <c r="I805" s="159"/>
      <c r="J805" s="159"/>
      <c r="K805" s="52"/>
      <c r="L805" s="153"/>
      <c r="M805" s="158"/>
      <c r="N805" s="53"/>
      <c r="O805" s="51"/>
      <c r="P805" s="160" t="str">
        <f>IFERROR(VLOOKUP(C805,TD!$B$32:$F$36,2,0)," ")</f>
        <v xml:space="preserve"> </v>
      </c>
      <c r="Q805" s="160" t="str">
        <f>IFERROR(VLOOKUP(C805,TD!$B$32:$F$36,3,0)," ")</f>
        <v xml:space="preserve"> </v>
      </c>
      <c r="R805" s="160" t="str">
        <f>IFERROR(VLOOKUP(C805,TD!$B$32:$F$36,4,0)," ")</f>
        <v xml:space="preserve"> </v>
      </c>
      <c r="S805" s="51"/>
      <c r="T805" s="160" t="str">
        <f>IFERROR(VLOOKUP(S805,TD!$J$33:$K$43,2,0)," ")</f>
        <v xml:space="preserve"> </v>
      </c>
      <c r="U805" s="161" t="str">
        <f>CONCATENATE(S805,"-",T805)</f>
        <v xml:space="preserve">- </v>
      </c>
      <c r="V805" s="51"/>
      <c r="W805" s="160" t="str">
        <f>IFERROR(VLOOKUP(V805,TD!$N$33:$O$45,2,0)," ")</f>
        <v xml:space="preserve"> </v>
      </c>
      <c r="X805" s="161" t="str">
        <f>CONCATENATE(V805,"_",W805)</f>
        <v xml:space="preserve">_ </v>
      </c>
      <c r="Y805" s="161" t="str">
        <f>CONCATENATE(U805," ",X805)</f>
        <v xml:space="preserve">-  _ </v>
      </c>
      <c r="Z805" s="160" t="str">
        <f>CONCATENATE(P805,Q805,R805,S805,V805)</f>
        <v xml:space="preserve">   </v>
      </c>
      <c r="AA805" s="160" t="str">
        <f>IFERROR(VLOOKUP(Y805,TD!$K$46:$L$64,2,0)," ")</f>
        <v xml:space="preserve"> </v>
      </c>
      <c r="AB805" s="53"/>
      <c r="AC805" s="162"/>
    </row>
    <row r="806" spans="2:29" s="28" customFormat="1" ht="99" customHeight="1" x14ac:dyDescent="0.35">
      <c r="B806" s="77"/>
      <c r="C806" s="50"/>
      <c r="D806" s="158"/>
      <c r="E806" s="51"/>
      <c r="F806" s="158"/>
      <c r="G806" s="158"/>
      <c r="H806" s="97"/>
      <c r="I806" s="159"/>
      <c r="J806" s="159"/>
      <c r="K806" s="52"/>
      <c r="L806" s="153"/>
      <c r="M806" s="158"/>
      <c r="N806" s="53"/>
      <c r="O806" s="51"/>
      <c r="P806" s="160" t="str">
        <f>IFERROR(VLOOKUP(C806,TD!$B$32:$F$36,2,0)," ")</f>
        <v xml:space="preserve"> </v>
      </c>
      <c r="Q806" s="160" t="str">
        <f>IFERROR(VLOOKUP(C806,TD!$B$32:$F$36,3,0)," ")</f>
        <v xml:space="preserve"> </v>
      </c>
      <c r="R806" s="160" t="str">
        <f>IFERROR(VLOOKUP(C806,TD!$B$32:$F$36,4,0)," ")</f>
        <v xml:space="preserve"> </v>
      </c>
      <c r="S806" s="51"/>
      <c r="T806" s="160" t="str">
        <f>IFERROR(VLOOKUP(S806,TD!$J$33:$K$43,2,0)," ")</f>
        <v xml:space="preserve"> </v>
      </c>
      <c r="U806" s="161" t="str">
        <f>CONCATENATE(S806,"-",T806)</f>
        <v xml:space="preserve">- </v>
      </c>
      <c r="V806" s="51"/>
      <c r="W806" s="160" t="str">
        <f>IFERROR(VLOOKUP(V806,TD!$N$33:$O$45,2,0)," ")</f>
        <v xml:space="preserve"> </v>
      </c>
      <c r="X806" s="161" t="str">
        <f>CONCATENATE(V806,"_",W806)</f>
        <v xml:space="preserve">_ </v>
      </c>
      <c r="Y806" s="161" t="str">
        <f>CONCATENATE(U806," ",X806)</f>
        <v xml:space="preserve">-  _ </v>
      </c>
      <c r="Z806" s="160" t="str">
        <f>CONCATENATE(P806,Q806,R806,S806,V806)</f>
        <v xml:space="preserve">   </v>
      </c>
      <c r="AA806" s="160" t="str">
        <f>IFERROR(VLOOKUP(Y806,TD!$K$46:$L$64,2,0)," ")</f>
        <v xml:space="preserve"> </v>
      </c>
      <c r="AB806" s="53"/>
      <c r="AC806" s="162"/>
    </row>
    <row r="807" spans="2:29" s="28" customFormat="1" ht="99" customHeight="1" x14ac:dyDescent="0.35">
      <c r="B807" s="77"/>
      <c r="C807" s="50"/>
      <c r="D807" s="158"/>
      <c r="E807" s="51"/>
      <c r="F807" s="158"/>
      <c r="G807" s="158"/>
      <c r="H807" s="97"/>
      <c r="I807" s="159"/>
      <c r="J807" s="159"/>
      <c r="K807" s="52"/>
      <c r="L807" s="153"/>
      <c r="M807" s="158"/>
      <c r="N807" s="53"/>
      <c r="O807" s="51"/>
      <c r="P807" s="160" t="str">
        <f>IFERROR(VLOOKUP(C807,TD!$B$32:$F$36,2,0)," ")</f>
        <v xml:space="preserve"> </v>
      </c>
      <c r="Q807" s="160" t="str">
        <f>IFERROR(VLOOKUP(C807,TD!$B$32:$F$36,3,0)," ")</f>
        <v xml:space="preserve"> </v>
      </c>
      <c r="R807" s="160" t="str">
        <f>IFERROR(VLOOKUP(C807,TD!$B$32:$F$36,4,0)," ")</f>
        <v xml:space="preserve"> </v>
      </c>
      <c r="S807" s="51"/>
      <c r="T807" s="160" t="str">
        <f>IFERROR(VLOOKUP(S807,TD!$J$33:$K$43,2,0)," ")</f>
        <v xml:space="preserve"> </v>
      </c>
      <c r="U807" s="161" t="str">
        <f>CONCATENATE(S807,"-",T807)</f>
        <v xml:space="preserve">- </v>
      </c>
      <c r="V807" s="51"/>
      <c r="W807" s="160" t="str">
        <f>IFERROR(VLOOKUP(V807,TD!$N$33:$O$45,2,0)," ")</f>
        <v xml:space="preserve"> </v>
      </c>
      <c r="X807" s="161" t="str">
        <f>CONCATENATE(V807,"_",W807)</f>
        <v xml:space="preserve">_ </v>
      </c>
      <c r="Y807" s="161" t="str">
        <f>CONCATENATE(U807," ",X807)</f>
        <v xml:space="preserve">-  _ </v>
      </c>
      <c r="Z807" s="160" t="str">
        <f>CONCATENATE(P807,Q807,R807,S807,V807)</f>
        <v xml:space="preserve">   </v>
      </c>
      <c r="AA807" s="160" t="str">
        <f>IFERROR(VLOOKUP(Y807,TD!$K$46:$L$64,2,0)," ")</f>
        <v xml:space="preserve"> </v>
      </c>
      <c r="AB807" s="53"/>
      <c r="AC807" s="162"/>
    </row>
    <row r="808" spans="2:29" s="28" customFormat="1" ht="99" customHeight="1" x14ac:dyDescent="0.35">
      <c r="B808" s="77"/>
      <c r="C808" s="50"/>
      <c r="D808" s="158"/>
      <c r="E808" s="51"/>
      <c r="F808" s="158"/>
      <c r="G808" s="158"/>
      <c r="H808" s="97"/>
      <c r="I808" s="159"/>
      <c r="J808" s="159"/>
      <c r="K808" s="52"/>
      <c r="L808" s="153"/>
      <c r="M808" s="158"/>
      <c r="N808" s="53"/>
      <c r="O808" s="51"/>
      <c r="P808" s="160" t="str">
        <f>IFERROR(VLOOKUP(C808,TD!$B$32:$F$36,2,0)," ")</f>
        <v xml:space="preserve"> </v>
      </c>
      <c r="Q808" s="160" t="str">
        <f>IFERROR(VLOOKUP(C808,TD!$B$32:$F$36,3,0)," ")</f>
        <v xml:space="preserve"> </v>
      </c>
      <c r="R808" s="160" t="str">
        <f>IFERROR(VLOOKUP(C808,TD!$B$32:$F$36,4,0)," ")</f>
        <v xml:space="preserve"> </v>
      </c>
      <c r="S808" s="51"/>
      <c r="T808" s="160" t="str">
        <f>IFERROR(VLOOKUP(S808,TD!$J$33:$K$43,2,0)," ")</f>
        <v xml:space="preserve"> </v>
      </c>
      <c r="U808" s="161" t="str">
        <f>CONCATENATE(S808,"-",T808)</f>
        <v xml:space="preserve">- </v>
      </c>
      <c r="V808" s="51"/>
      <c r="W808" s="160" t="str">
        <f>IFERROR(VLOOKUP(V808,TD!$N$33:$O$45,2,0)," ")</f>
        <v xml:space="preserve"> </v>
      </c>
      <c r="X808" s="161" t="str">
        <f>CONCATENATE(V808,"_",W808)</f>
        <v xml:space="preserve">_ </v>
      </c>
      <c r="Y808" s="161" t="str">
        <f>CONCATENATE(U808," ",X808)</f>
        <v xml:space="preserve">-  _ </v>
      </c>
      <c r="Z808" s="160" t="str">
        <f>CONCATENATE(P808,Q808,R808,S808,V808)</f>
        <v xml:space="preserve">   </v>
      </c>
      <c r="AA808" s="160" t="str">
        <f>IFERROR(VLOOKUP(Y808,TD!$K$46:$L$64,2,0)," ")</f>
        <v xml:space="preserve"> </v>
      </c>
      <c r="AB808" s="53"/>
      <c r="AC808" s="162"/>
    </row>
    <row r="809" spans="2:29" s="28" customFormat="1" ht="99" customHeight="1" x14ac:dyDescent="0.35">
      <c r="B809" s="77"/>
      <c r="C809" s="50"/>
      <c r="D809" s="158"/>
      <c r="E809" s="51"/>
      <c r="F809" s="158"/>
      <c r="G809" s="158"/>
      <c r="H809" s="97"/>
      <c r="I809" s="159"/>
      <c r="J809" s="159"/>
      <c r="K809" s="52"/>
      <c r="L809" s="153"/>
      <c r="M809" s="158"/>
      <c r="N809" s="53"/>
      <c r="O809" s="51"/>
      <c r="P809" s="160" t="str">
        <f>IFERROR(VLOOKUP(C809,TD!$B$32:$F$36,2,0)," ")</f>
        <v xml:space="preserve"> </v>
      </c>
      <c r="Q809" s="160" t="str">
        <f>IFERROR(VLOOKUP(C809,TD!$B$32:$F$36,3,0)," ")</f>
        <v xml:space="preserve"> </v>
      </c>
      <c r="R809" s="160" t="str">
        <f>IFERROR(VLOOKUP(C809,TD!$B$32:$F$36,4,0)," ")</f>
        <v xml:space="preserve"> </v>
      </c>
      <c r="S809" s="51"/>
      <c r="T809" s="160" t="str">
        <f>IFERROR(VLOOKUP(S809,TD!$J$33:$K$43,2,0)," ")</f>
        <v xml:space="preserve"> </v>
      </c>
      <c r="U809" s="161" t="str">
        <f>CONCATENATE(S809,"-",T809)</f>
        <v xml:space="preserve">- </v>
      </c>
      <c r="V809" s="51"/>
      <c r="W809" s="160" t="str">
        <f>IFERROR(VLOOKUP(V809,TD!$N$33:$O$45,2,0)," ")</f>
        <v xml:space="preserve"> </v>
      </c>
      <c r="X809" s="161" t="str">
        <f>CONCATENATE(V809,"_",W809)</f>
        <v xml:space="preserve">_ </v>
      </c>
      <c r="Y809" s="161" t="str">
        <f>CONCATENATE(U809," ",X809)</f>
        <v xml:space="preserve">-  _ </v>
      </c>
      <c r="Z809" s="160" t="str">
        <f>CONCATENATE(P809,Q809,R809,S809,V809)</f>
        <v xml:space="preserve">   </v>
      </c>
      <c r="AA809" s="160" t="str">
        <f>IFERROR(VLOOKUP(Y809,TD!$K$46:$L$64,2,0)," ")</f>
        <v xml:space="preserve"> </v>
      </c>
      <c r="AB809" s="53"/>
      <c r="AC809" s="162"/>
    </row>
    <row r="810" spans="2:29" s="28" customFormat="1" ht="99" customHeight="1" x14ac:dyDescent="0.35">
      <c r="B810" s="77"/>
      <c r="C810" s="50"/>
      <c r="D810" s="158"/>
      <c r="E810" s="51"/>
      <c r="F810" s="158"/>
      <c r="G810" s="158"/>
      <c r="H810" s="97"/>
      <c r="I810" s="159"/>
      <c r="J810" s="159"/>
      <c r="K810" s="52"/>
      <c r="L810" s="153"/>
      <c r="M810" s="158"/>
      <c r="N810" s="53"/>
      <c r="O810" s="51"/>
      <c r="P810" s="160" t="str">
        <f>IFERROR(VLOOKUP(C810,TD!$B$32:$F$36,2,0)," ")</f>
        <v xml:space="preserve"> </v>
      </c>
      <c r="Q810" s="160" t="str">
        <f>IFERROR(VLOOKUP(C810,TD!$B$32:$F$36,3,0)," ")</f>
        <v xml:space="preserve"> </v>
      </c>
      <c r="R810" s="160" t="str">
        <f>IFERROR(VLOOKUP(C810,TD!$B$32:$F$36,4,0)," ")</f>
        <v xml:space="preserve"> </v>
      </c>
      <c r="S810" s="51"/>
      <c r="T810" s="160" t="str">
        <f>IFERROR(VLOOKUP(S810,TD!$J$33:$K$43,2,0)," ")</f>
        <v xml:space="preserve"> </v>
      </c>
      <c r="U810" s="161" t="str">
        <f>CONCATENATE(S810,"-",T810)</f>
        <v xml:space="preserve">- </v>
      </c>
      <c r="V810" s="51"/>
      <c r="W810" s="160" t="str">
        <f>IFERROR(VLOOKUP(V810,TD!$N$33:$O$45,2,0)," ")</f>
        <v xml:space="preserve"> </v>
      </c>
      <c r="X810" s="161" t="str">
        <f>CONCATENATE(V810,"_",W810)</f>
        <v xml:space="preserve">_ </v>
      </c>
      <c r="Y810" s="161" t="str">
        <f>CONCATENATE(U810," ",X810)</f>
        <v xml:space="preserve">-  _ </v>
      </c>
      <c r="Z810" s="160" t="str">
        <f>CONCATENATE(P810,Q810,R810,S810,V810)</f>
        <v xml:space="preserve">   </v>
      </c>
      <c r="AA810" s="160" t="str">
        <f>IFERROR(VLOOKUP(Y810,TD!$K$46:$L$64,2,0)," ")</f>
        <v xml:space="preserve"> </v>
      </c>
      <c r="AB810" s="53"/>
      <c r="AC810" s="162"/>
    </row>
    <row r="811" spans="2:29" s="28" customFormat="1" ht="99" customHeight="1" x14ac:dyDescent="0.35">
      <c r="B811" s="77"/>
      <c r="C811" s="50"/>
      <c r="D811" s="158"/>
      <c r="E811" s="51"/>
      <c r="F811" s="158"/>
      <c r="G811" s="158"/>
      <c r="H811" s="97"/>
      <c r="I811" s="159"/>
      <c r="J811" s="159"/>
      <c r="K811" s="52"/>
      <c r="L811" s="153"/>
      <c r="M811" s="158"/>
      <c r="N811" s="53"/>
      <c r="O811" s="51"/>
      <c r="P811" s="160" t="str">
        <f>IFERROR(VLOOKUP(C811,TD!$B$32:$F$36,2,0)," ")</f>
        <v xml:space="preserve"> </v>
      </c>
      <c r="Q811" s="160" t="str">
        <f>IFERROR(VLOOKUP(C811,TD!$B$32:$F$36,3,0)," ")</f>
        <v xml:space="preserve"> </v>
      </c>
      <c r="R811" s="160" t="str">
        <f>IFERROR(VLOOKUP(C811,TD!$B$32:$F$36,4,0)," ")</f>
        <v xml:space="preserve"> </v>
      </c>
      <c r="S811" s="51"/>
      <c r="T811" s="160" t="str">
        <f>IFERROR(VLOOKUP(S811,TD!$J$33:$K$43,2,0)," ")</f>
        <v xml:space="preserve"> </v>
      </c>
      <c r="U811" s="161" t="str">
        <f>CONCATENATE(S811,"-",T811)</f>
        <v xml:space="preserve">- </v>
      </c>
      <c r="V811" s="51"/>
      <c r="W811" s="160" t="str">
        <f>IFERROR(VLOOKUP(V811,TD!$N$33:$O$45,2,0)," ")</f>
        <v xml:space="preserve"> </v>
      </c>
      <c r="X811" s="161" t="str">
        <f>CONCATENATE(V811,"_",W811)</f>
        <v xml:space="preserve">_ </v>
      </c>
      <c r="Y811" s="161" t="str">
        <f>CONCATENATE(U811," ",X811)</f>
        <v xml:space="preserve">-  _ </v>
      </c>
      <c r="Z811" s="160" t="str">
        <f>CONCATENATE(P811,Q811,R811,S811,V811)</f>
        <v xml:space="preserve">   </v>
      </c>
      <c r="AA811" s="160" t="str">
        <f>IFERROR(VLOOKUP(Y811,TD!$K$46:$L$64,2,0)," ")</f>
        <v xml:space="preserve"> </v>
      </c>
      <c r="AB811" s="53"/>
      <c r="AC811" s="162"/>
    </row>
    <row r="812" spans="2:29" s="28" customFormat="1" ht="99" customHeight="1" x14ac:dyDescent="0.35">
      <c r="B812" s="77"/>
      <c r="C812" s="50"/>
      <c r="D812" s="158"/>
      <c r="E812" s="51"/>
      <c r="F812" s="158"/>
      <c r="G812" s="158"/>
      <c r="H812" s="97"/>
      <c r="I812" s="159"/>
      <c r="J812" s="159"/>
      <c r="K812" s="52"/>
      <c r="L812" s="153"/>
      <c r="M812" s="158"/>
      <c r="N812" s="53"/>
      <c r="O812" s="51"/>
      <c r="P812" s="160" t="str">
        <f>IFERROR(VLOOKUP(C812,TD!$B$32:$F$36,2,0)," ")</f>
        <v xml:space="preserve"> </v>
      </c>
      <c r="Q812" s="160" t="str">
        <f>IFERROR(VLOOKUP(C812,TD!$B$32:$F$36,3,0)," ")</f>
        <v xml:space="preserve"> </v>
      </c>
      <c r="R812" s="160" t="str">
        <f>IFERROR(VLOOKUP(C812,TD!$B$32:$F$36,4,0)," ")</f>
        <v xml:space="preserve"> </v>
      </c>
      <c r="S812" s="51"/>
      <c r="T812" s="160" t="str">
        <f>IFERROR(VLOOKUP(S812,TD!$J$33:$K$43,2,0)," ")</f>
        <v xml:space="preserve"> </v>
      </c>
      <c r="U812" s="161" t="str">
        <f>CONCATENATE(S812,"-",T812)</f>
        <v xml:space="preserve">- </v>
      </c>
      <c r="V812" s="51"/>
      <c r="W812" s="160" t="str">
        <f>IFERROR(VLOOKUP(V812,TD!$N$33:$O$45,2,0)," ")</f>
        <v xml:space="preserve"> </v>
      </c>
      <c r="X812" s="161" t="str">
        <f>CONCATENATE(V812,"_",W812)</f>
        <v xml:space="preserve">_ </v>
      </c>
      <c r="Y812" s="161" t="str">
        <f>CONCATENATE(U812," ",X812)</f>
        <v xml:space="preserve">-  _ </v>
      </c>
      <c r="Z812" s="160" t="str">
        <f>CONCATENATE(P812,Q812,R812,S812,V812)</f>
        <v xml:space="preserve">   </v>
      </c>
      <c r="AA812" s="160" t="str">
        <f>IFERROR(VLOOKUP(Y812,TD!$K$46:$L$64,2,0)," ")</f>
        <v xml:space="preserve"> </v>
      </c>
      <c r="AB812" s="53"/>
      <c r="AC812" s="162"/>
    </row>
    <row r="813" spans="2:29" s="28" customFormat="1" ht="99" customHeight="1" x14ac:dyDescent="0.35">
      <c r="B813" s="77"/>
      <c r="C813" s="50"/>
      <c r="D813" s="158"/>
      <c r="E813" s="51"/>
      <c r="F813" s="158"/>
      <c r="G813" s="158"/>
      <c r="H813" s="97"/>
      <c r="I813" s="159"/>
      <c r="J813" s="159"/>
      <c r="K813" s="52"/>
      <c r="L813" s="153"/>
      <c r="M813" s="158"/>
      <c r="N813" s="53"/>
      <c r="O813" s="51"/>
      <c r="P813" s="160" t="str">
        <f>IFERROR(VLOOKUP(C813,TD!$B$32:$F$36,2,0)," ")</f>
        <v xml:space="preserve"> </v>
      </c>
      <c r="Q813" s="160" t="str">
        <f>IFERROR(VLOOKUP(C813,TD!$B$32:$F$36,3,0)," ")</f>
        <v xml:space="preserve"> </v>
      </c>
      <c r="R813" s="160" t="str">
        <f>IFERROR(VLOOKUP(C813,TD!$B$32:$F$36,4,0)," ")</f>
        <v xml:space="preserve"> </v>
      </c>
      <c r="S813" s="51"/>
      <c r="T813" s="160" t="str">
        <f>IFERROR(VLOOKUP(S813,TD!$J$33:$K$43,2,0)," ")</f>
        <v xml:space="preserve"> </v>
      </c>
      <c r="U813" s="161" t="str">
        <f>CONCATENATE(S813,"-",T813)</f>
        <v xml:space="preserve">- </v>
      </c>
      <c r="V813" s="51"/>
      <c r="W813" s="160" t="str">
        <f>IFERROR(VLOOKUP(V813,TD!$N$33:$O$45,2,0)," ")</f>
        <v xml:space="preserve"> </v>
      </c>
      <c r="X813" s="161" t="str">
        <f>CONCATENATE(V813,"_",W813)</f>
        <v xml:space="preserve">_ </v>
      </c>
      <c r="Y813" s="161" t="str">
        <f>CONCATENATE(U813," ",X813)</f>
        <v xml:space="preserve">-  _ </v>
      </c>
      <c r="Z813" s="160" t="str">
        <f>CONCATENATE(P813,Q813,R813,S813,V813)</f>
        <v xml:space="preserve">   </v>
      </c>
      <c r="AA813" s="160" t="str">
        <f>IFERROR(VLOOKUP(Y813,TD!$K$46:$L$64,2,0)," ")</f>
        <v xml:space="preserve"> </v>
      </c>
      <c r="AB813" s="53"/>
      <c r="AC813" s="162"/>
    </row>
    <row r="814" spans="2:29" s="28" customFormat="1" ht="99" customHeight="1" x14ac:dyDescent="0.35">
      <c r="B814" s="77"/>
      <c r="C814" s="50"/>
      <c r="D814" s="158"/>
      <c r="E814" s="51"/>
      <c r="F814" s="158"/>
      <c r="G814" s="158"/>
      <c r="H814" s="97"/>
      <c r="I814" s="159"/>
      <c r="J814" s="159"/>
      <c r="K814" s="52"/>
      <c r="L814" s="153"/>
      <c r="M814" s="158"/>
      <c r="N814" s="53"/>
      <c r="O814" s="51"/>
      <c r="P814" s="160" t="str">
        <f>IFERROR(VLOOKUP(C814,TD!$B$32:$F$36,2,0)," ")</f>
        <v xml:space="preserve"> </v>
      </c>
      <c r="Q814" s="160" t="str">
        <f>IFERROR(VLOOKUP(C814,TD!$B$32:$F$36,3,0)," ")</f>
        <v xml:space="preserve"> </v>
      </c>
      <c r="R814" s="160" t="str">
        <f>IFERROR(VLOOKUP(C814,TD!$B$32:$F$36,4,0)," ")</f>
        <v xml:space="preserve"> </v>
      </c>
      <c r="S814" s="51"/>
      <c r="T814" s="160" t="str">
        <f>IFERROR(VLOOKUP(S814,TD!$J$33:$K$43,2,0)," ")</f>
        <v xml:space="preserve"> </v>
      </c>
      <c r="U814" s="161" t="str">
        <f>CONCATENATE(S814,"-",T814)</f>
        <v xml:space="preserve">- </v>
      </c>
      <c r="V814" s="51"/>
      <c r="W814" s="160" t="str">
        <f>IFERROR(VLOOKUP(V814,TD!$N$33:$O$45,2,0)," ")</f>
        <v xml:space="preserve"> </v>
      </c>
      <c r="X814" s="161" t="str">
        <f>CONCATENATE(V814,"_",W814)</f>
        <v xml:space="preserve">_ </v>
      </c>
      <c r="Y814" s="161" t="str">
        <f>CONCATENATE(U814," ",X814)</f>
        <v xml:space="preserve">-  _ </v>
      </c>
      <c r="Z814" s="160" t="str">
        <f>CONCATENATE(P814,Q814,R814,S814,V814)</f>
        <v xml:space="preserve">   </v>
      </c>
      <c r="AA814" s="160" t="str">
        <f>IFERROR(VLOOKUP(Y814,TD!$K$46:$L$64,2,0)," ")</f>
        <v xml:space="preserve"> </v>
      </c>
      <c r="AB814" s="53"/>
      <c r="AC814" s="162"/>
    </row>
    <row r="815" spans="2:29" s="28" customFormat="1" ht="99" customHeight="1" x14ac:dyDescent="0.35">
      <c r="B815" s="77"/>
      <c r="C815" s="50"/>
      <c r="D815" s="158"/>
      <c r="E815" s="51"/>
      <c r="F815" s="158"/>
      <c r="G815" s="158"/>
      <c r="H815" s="97"/>
      <c r="I815" s="159"/>
      <c r="J815" s="159"/>
      <c r="K815" s="52"/>
      <c r="L815" s="153"/>
      <c r="M815" s="158"/>
      <c r="N815" s="53"/>
      <c r="O815" s="51"/>
      <c r="P815" s="160" t="str">
        <f>IFERROR(VLOOKUP(C815,TD!$B$32:$F$36,2,0)," ")</f>
        <v xml:space="preserve"> </v>
      </c>
      <c r="Q815" s="160" t="str">
        <f>IFERROR(VLOOKUP(C815,TD!$B$32:$F$36,3,0)," ")</f>
        <v xml:space="preserve"> </v>
      </c>
      <c r="R815" s="160" t="str">
        <f>IFERROR(VLOOKUP(C815,TD!$B$32:$F$36,4,0)," ")</f>
        <v xml:space="preserve"> </v>
      </c>
      <c r="S815" s="51"/>
      <c r="T815" s="160" t="str">
        <f>IFERROR(VLOOKUP(S815,TD!$J$33:$K$43,2,0)," ")</f>
        <v xml:space="preserve"> </v>
      </c>
      <c r="U815" s="161" t="str">
        <f>CONCATENATE(S815,"-",T815)</f>
        <v xml:space="preserve">- </v>
      </c>
      <c r="V815" s="51"/>
      <c r="W815" s="160" t="str">
        <f>IFERROR(VLOOKUP(V815,TD!$N$33:$O$45,2,0)," ")</f>
        <v xml:space="preserve"> </v>
      </c>
      <c r="X815" s="161" t="str">
        <f>CONCATENATE(V815,"_",W815)</f>
        <v xml:space="preserve">_ </v>
      </c>
      <c r="Y815" s="161" t="str">
        <f>CONCATENATE(U815," ",X815)</f>
        <v xml:space="preserve">-  _ </v>
      </c>
      <c r="Z815" s="160" t="str">
        <f>CONCATENATE(P815,Q815,R815,S815,V815)</f>
        <v xml:space="preserve">   </v>
      </c>
      <c r="AA815" s="160" t="str">
        <f>IFERROR(VLOOKUP(Y815,TD!$K$46:$L$64,2,0)," ")</f>
        <v xml:space="preserve"> </v>
      </c>
      <c r="AB815" s="53"/>
      <c r="AC815" s="162"/>
    </row>
    <row r="816" spans="2:29" s="28" customFormat="1" ht="99" customHeight="1" x14ac:dyDescent="0.35">
      <c r="B816" s="77"/>
      <c r="C816" s="50"/>
      <c r="D816" s="158"/>
      <c r="E816" s="51"/>
      <c r="F816" s="158"/>
      <c r="G816" s="158"/>
      <c r="H816" s="97"/>
      <c r="I816" s="159"/>
      <c r="J816" s="159"/>
      <c r="K816" s="52"/>
      <c r="L816" s="153"/>
      <c r="M816" s="158"/>
      <c r="N816" s="53"/>
      <c r="O816" s="51"/>
      <c r="P816" s="160" t="str">
        <f>IFERROR(VLOOKUP(C816,TD!$B$32:$F$36,2,0)," ")</f>
        <v xml:space="preserve"> </v>
      </c>
      <c r="Q816" s="160" t="str">
        <f>IFERROR(VLOOKUP(C816,TD!$B$32:$F$36,3,0)," ")</f>
        <v xml:space="preserve"> </v>
      </c>
      <c r="R816" s="160" t="str">
        <f>IFERROR(VLOOKUP(C816,TD!$B$32:$F$36,4,0)," ")</f>
        <v xml:space="preserve"> </v>
      </c>
      <c r="S816" s="51"/>
      <c r="T816" s="160" t="str">
        <f>IFERROR(VLOOKUP(S816,TD!$J$33:$K$43,2,0)," ")</f>
        <v xml:space="preserve"> </v>
      </c>
      <c r="U816" s="161" t="str">
        <f>CONCATENATE(S816,"-",T816)</f>
        <v xml:space="preserve">- </v>
      </c>
      <c r="V816" s="51"/>
      <c r="W816" s="160" t="str">
        <f>IFERROR(VLOOKUP(V816,TD!$N$33:$O$45,2,0)," ")</f>
        <v xml:space="preserve"> </v>
      </c>
      <c r="X816" s="161" t="str">
        <f>CONCATENATE(V816,"_",W816)</f>
        <v xml:space="preserve">_ </v>
      </c>
      <c r="Y816" s="161" t="str">
        <f>CONCATENATE(U816," ",X816)</f>
        <v xml:space="preserve">-  _ </v>
      </c>
      <c r="Z816" s="160" t="str">
        <f>CONCATENATE(P816,Q816,R816,S816,V816)</f>
        <v xml:space="preserve">   </v>
      </c>
      <c r="AA816" s="160" t="str">
        <f>IFERROR(VLOOKUP(Y816,TD!$K$46:$L$64,2,0)," ")</f>
        <v xml:space="preserve"> </v>
      </c>
      <c r="AB816" s="53"/>
      <c r="AC816" s="162"/>
    </row>
    <row r="817" spans="2:29" s="28" customFormat="1" ht="99" customHeight="1" x14ac:dyDescent="0.35">
      <c r="B817" s="77"/>
      <c r="C817" s="50"/>
      <c r="D817" s="158"/>
      <c r="E817" s="51"/>
      <c r="F817" s="158"/>
      <c r="G817" s="158"/>
      <c r="H817" s="97"/>
      <c r="I817" s="159"/>
      <c r="J817" s="159"/>
      <c r="K817" s="52"/>
      <c r="L817" s="153"/>
      <c r="M817" s="158"/>
      <c r="N817" s="53"/>
      <c r="O817" s="51"/>
      <c r="P817" s="160" t="str">
        <f>IFERROR(VLOOKUP(C817,TD!$B$32:$F$36,2,0)," ")</f>
        <v xml:space="preserve"> </v>
      </c>
      <c r="Q817" s="160" t="str">
        <f>IFERROR(VLOOKUP(C817,TD!$B$32:$F$36,3,0)," ")</f>
        <v xml:space="preserve"> </v>
      </c>
      <c r="R817" s="160" t="str">
        <f>IFERROR(VLOOKUP(C817,TD!$B$32:$F$36,4,0)," ")</f>
        <v xml:space="preserve"> </v>
      </c>
      <c r="S817" s="51"/>
      <c r="T817" s="160" t="str">
        <f>IFERROR(VLOOKUP(S817,TD!$J$33:$K$43,2,0)," ")</f>
        <v xml:space="preserve"> </v>
      </c>
      <c r="U817" s="161" t="str">
        <f>CONCATENATE(S817,"-",T817)</f>
        <v xml:space="preserve">- </v>
      </c>
      <c r="V817" s="51"/>
      <c r="W817" s="160" t="str">
        <f>IFERROR(VLOOKUP(V817,TD!$N$33:$O$45,2,0)," ")</f>
        <v xml:space="preserve"> </v>
      </c>
      <c r="X817" s="161" t="str">
        <f>CONCATENATE(V817,"_",W817)</f>
        <v xml:space="preserve">_ </v>
      </c>
      <c r="Y817" s="161" t="str">
        <f>CONCATENATE(U817," ",X817)</f>
        <v xml:space="preserve">-  _ </v>
      </c>
      <c r="Z817" s="160" t="str">
        <f>CONCATENATE(P817,Q817,R817,S817,V817)</f>
        <v xml:space="preserve">   </v>
      </c>
      <c r="AA817" s="160" t="str">
        <f>IFERROR(VLOOKUP(Y817,TD!$K$46:$L$64,2,0)," ")</f>
        <v xml:space="preserve"> </v>
      </c>
      <c r="AB817" s="53"/>
      <c r="AC817" s="162"/>
    </row>
    <row r="818" spans="2:29" s="28" customFormat="1" ht="99" customHeight="1" x14ac:dyDescent="0.35">
      <c r="B818" s="77"/>
      <c r="C818" s="50"/>
      <c r="D818" s="158"/>
      <c r="E818" s="51"/>
      <c r="F818" s="158"/>
      <c r="G818" s="158"/>
      <c r="H818" s="97"/>
      <c r="I818" s="159"/>
      <c r="J818" s="159"/>
      <c r="K818" s="52"/>
      <c r="L818" s="153"/>
      <c r="M818" s="158"/>
      <c r="N818" s="53"/>
      <c r="O818" s="51"/>
      <c r="P818" s="160" t="str">
        <f>IFERROR(VLOOKUP(C818,TD!$B$32:$F$36,2,0)," ")</f>
        <v xml:space="preserve"> </v>
      </c>
      <c r="Q818" s="160" t="str">
        <f>IFERROR(VLOOKUP(C818,TD!$B$32:$F$36,3,0)," ")</f>
        <v xml:space="preserve"> </v>
      </c>
      <c r="R818" s="160" t="str">
        <f>IFERROR(VLOOKUP(C818,TD!$B$32:$F$36,4,0)," ")</f>
        <v xml:space="preserve"> </v>
      </c>
      <c r="S818" s="51"/>
      <c r="T818" s="160" t="str">
        <f>IFERROR(VLOOKUP(S818,TD!$J$33:$K$43,2,0)," ")</f>
        <v xml:space="preserve"> </v>
      </c>
      <c r="U818" s="161" t="str">
        <f>CONCATENATE(S818,"-",T818)</f>
        <v xml:space="preserve">- </v>
      </c>
      <c r="V818" s="51"/>
      <c r="W818" s="160" t="str">
        <f>IFERROR(VLOOKUP(V818,TD!$N$33:$O$45,2,0)," ")</f>
        <v xml:space="preserve"> </v>
      </c>
      <c r="X818" s="161" t="str">
        <f>CONCATENATE(V818,"_",W818)</f>
        <v xml:space="preserve">_ </v>
      </c>
      <c r="Y818" s="161" t="str">
        <f>CONCATENATE(U818," ",X818)</f>
        <v xml:space="preserve">-  _ </v>
      </c>
      <c r="Z818" s="160" t="str">
        <f>CONCATENATE(P818,Q818,R818,S818,V818)</f>
        <v xml:space="preserve">   </v>
      </c>
      <c r="AA818" s="160" t="str">
        <f>IFERROR(VLOOKUP(Y818,TD!$K$46:$L$64,2,0)," ")</f>
        <v xml:space="preserve"> </v>
      </c>
      <c r="AB818" s="53"/>
      <c r="AC818" s="162"/>
    </row>
    <row r="819" spans="2:29" s="28" customFormat="1" ht="99" customHeight="1" x14ac:dyDescent="0.35">
      <c r="B819" s="77"/>
      <c r="C819" s="50"/>
      <c r="D819" s="158"/>
      <c r="E819" s="51"/>
      <c r="F819" s="158"/>
      <c r="G819" s="158"/>
      <c r="H819" s="97"/>
      <c r="I819" s="159"/>
      <c r="J819" s="159"/>
      <c r="K819" s="52"/>
      <c r="L819" s="153"/>
      <c r="M819" s="158"/>
      <c r="N819" s="53"/>
      <c r="O819" s="51"/>
      <c r="P819" s="160" t="str">
        <f>IFERROR(VLOOKUP(C819,TD!$B$32:$F$36,2,0)," ")</f>
        <v xml:space="preserve"> </v>
      </c>
      <c r="Q819" s="160" t="str">
        <f>IFERROR(VLOOKUP(C819,TD!$B$32:$F$36,3,0)," ")</f>
        <v xml:space="preserve"> </v>
      </c>
      <c r="R819" s="160" t="str">
        <f>IFERROR(VLOOKUP(C819,TD!$B$32:$F$36,4,0)," ")</f>
        <v xml:space="preserve"> </v>
      </c>
      <c r="S819" s="51"/>
      <c r="T819" s="160" t="str">
        <f>IFERROR(VLOOKUP(S819,TD!$J$33:$K$43,2,0)," ")</f>
        <v xml:space="preserve"> </v>
      </c>
      <c r="U819" s="161" t="str">
        <f>CONCATENATE(S819,"-",T819)</f>
        <v xml:space="preserve">- </v>
      </c>
      <c r="V819" s="51"/>
      <c r="W819" s="160" t="str">
        <f>IFERROR(VLOOKUP(V819,TD!$N$33:$O$45,2,0)," ")</f>
        <v xml:space="preserve"> </v>
      </c>
      <c r="X819" s="161" t="str">
        <f>CONCATENATE(V819,"_",W819)</f>
        <v xml:space="preserve">_ </v>
      </c>
      <c r="Y819" s="161" t="str">
        <f>CONCATENATE(U819," ",X819)</f>
        <v xml:space="preserve">-  _ </v>
      </c>
      <c r="Z819" s="160" t="str">
        <f>CONCATENATE(P819,Q819,R819,S819,V819)</f>
        <v xml:space="preserve">   </v>
      </c>
      <c r="AA819" s="160" t="str">
        <f>IFERROR(VLOOKUP(Y819,TD!$K$46:$L$64,2,0)," ")</f>
        <v xml:space="preserve"> </v>
      </c>
      <c r="AB819" s="53"/>
      <c r="AC819" s="162"/>
    </row>
    <row r="820" spans="2:29" s="28" customFormat="1" ht="99" customHeight="1" x14ac:dyDescent="0.35">
      <c r="B820" s="77"/>
      <c r="C820" s="50"/>
      <c r="D820" s="158"/>
      <c r="E820" s="51"/>
      <c r="F820" s="158"/>
      <c r="G820" s="158"/>
      <c r="H820" s="97"/>
      <c r="I820" s="159"/>
      <c r="J820" s="159"/>
      <c r="K820" s="52"/>
      <c r="L820" s="153"/>
      <c r="M820" s="158"/>
      <c r="N820" s="53"/>
      <c r="O820" s="51"/>
      <c r="P820" s="160" t="str">
        <f>IFERROR(VLOOKUP(C820,TD!$B$32:$F$36,2,0)," ")</f>
        <v xml:space="preserve"> </v>
      </c>
      <c r="Q820" s="160" t="str">
        <f>IFERROR(VLOOKUP(C820,TD!$B$32:$F$36,3,0)," ")</f>
        <v xml:space="preserve"> </v>
      </c>
      <c r="R820" s="160" t="str">
        <f>IFERROR(VLOOKUP(C820,TD!$B$32:$F$36,4,0)," ")</f>
        <v xml:space="preserve"> </v>
      </c>
      <c r="S820" s="51"/>
      <c r="T820" s="160" t="str">
        <f>IFERROR(VLOOKUP(S820,TD!$J$33:$K$43,2,0)," ")</f>
        <v xml:space="preserve"> </v>
      </c>
      <c r="U820" s="161" t="str">
        <f>CONCATENATE(S820,"-",T820)</f>
        <v xml:space="preserve">- </v>
      </c>
      <c r="V820" s="51"/>
      <c r="W820" s="160" t="str">
        <f>IFERROR(VLOOKUP(V820,TD!$N$33:$O$45,2,0)," ")</f>
        <v xml:space="preserve"> </v>
      </c>
      <c r="X820" s="161" t="str">
        <f>CONCATENATE(V820,"_",W820)</f>
        <v xml:space="preserve">_ </v>
      </c>
      <c r="Y820" s="161" t="str">
        <f>CONCATENATE(U820," ",X820)</f>
        <v xml:space="preserve">-  _ </v>
      </c>
      <c r="Z820" s="160" t="str">
        <f>CONCATENATE(P820,Q820,R820,S820,V820)</f>
        <v xml:space="preserve">   </v>
      </c>
      <c r="AA820" s="160" t="str">
        <f>IFERROR(VLOOKUP(Y820,TD!$K$46:$L$64,2,0)," ")</f>
        <v xml:space="preserve"> </v>
      </c>
      <c r="AB820" s="53"/>
      <c r="AC820" s="162"/>
    </row>
    <row r="821" spans="2:29" s="28" customFormat="1" ht="99" customHeight="1" x14ac:dyDescent="0.35">
      <c r="B821" s="77"/>
      <c r="C821" s="50"/>
      <c r="D821" s="158"/>
      <c r="E821" s="51"/>
      <c r="F821" s="158"/>
      <c r="G821" s="158"/>
      <c r="H821" s="97"/>
      <c r="I821" s="159"/>
      <c r="J821" s="159"/>
      <c r="K821" s="52"/>
      <c r="L821" s="153"/>
      <c r="M821" s="158"/>
      <c r="N821" s="53"/>
      <c r="O821" s="51"/>
      <c r="P821" s="160" t="str">
        <f>IFERROR(VLOOKUP(C821,TD!$B$32:$F$36,2,0)," ")</f>
        <v xml:space="preserve"> </v>
      </c>
      <c r="Q821" s="160" t="str">
        <f>IFERROR(VLOOKUP(C821,TD!$B$32:$F$36,3,0)," ")</f>
        <v xml:space="preserve"> </v>
      </c>
      <c r="R821" s="160" t="str">
        <f>IFERROR(VLOOKUP(C821,TD!$B$32:$F$36,4,0)," ")</f>
        <v xml:space="preserve"> </v>
      </c>
      <c r="S821" s="51"/>
      <c r="T821" s="160" t="str">
        <f>IFERROR(VLOOKUP(S821,TD!$J$33:$K$43,2,0)," ")</f>
        <v xml:space="preserve"> </v>
      </c>
      <c r="U821" s="161" t="str">
        <f>CONCATENATE(S821,"-",T821)</f>
        <v xml:space="preserve">- </v>
      </c>
      <c r="V821" s="51"/>
      <c r="W821" s="160" t="str">
        <f>IFERROR(VLOOKUP(V821,TD!$N$33:$O$45,2,0)," ")</f>
        <v xml:space="preserve"> </v>
      </c>
      <c r="X821" s="161" t="str">
        <f>CONCATENATE(V821,"_",W821)</f>
        <v xml:space="preserve">_ </v>
      </c>
      <c r="Y821" s="161" t="str">
        <f>CONCATENATE(U821," ",X821)</f>
        <v xml:space="preserve">-  _ </v>
      </c>
      <c r="Z821" s="160" t="str">
        <f>CONCATENATE(P821,Q821,R821,S821,V821)</f>
        <v xml:space="preserve">   </v>
      </c>
      <c r="AA821" s="160" t="str">
        <f>IFERROR(VLOOKUP(Y821,TD!$K$46:$L$64,2,0)," ")</f>
        <v xml:space="preserve"> </v>
      </c>
      <c r="AB821" s="53"/>
      <c r="AC821" s="162"/>
    </row>
    <row r="822" spans="2:29" s="28" customFormat="1" ht="99" customHeight="1" x14ac:dyDescent="0.35">
      <c r="B822" s="77"/>
      <c r="C822" s="50"/>
      <c r="D822" s="158"/>
      <c r="E822" s="51"/>
      <c r="F822" s="158"/>
      <c r="G822" s="158"/>
      <c r="H822" s="97"/>
      <c r="I822" s="159"/>
      <c r="J822" s="159"/>
      <c r="K822" s="52"/>
      <c r="L822" s="153"/>
      <c r="M822" s="158"/>
      <c r="N822" s="53"/>
      <c r="O822" s="51"/>
      <c r="P822" s="160" t="str">
        <f>IFERROR(VLOOKUP(C822,TD!$B$32:$F$36,2,0)," ")</f>
        <v xml:space="preserve"> </v>
      </c>
      <c r="Q822" s="160" t="str">
        <f>IFERROR(VLOOKUP(C822,TD!$B$32:$F$36,3,0)," ")</f>
        <v xml:space="preserve"> </v>
      </c>
      <c r="R822" s="160" t="str">
        <f>IFERROR(VLOOKUP(C822,TD!$B$32:$F$36,4,0)," ")</f>
        <v xml:space="preserve"> </v>
      </c>
      <c r="S822" s="51"/>
      <c r="T822" s="160" t="str">
        <f>IFERROR(VLOOKUP(S822,TD!$J$33:$K$43,2,0)," ")</f>
        <v xml:space="preserve"> </v>
      </c>
      <c r="U822" s="161" t="str">
        <f>CONCATENATE(S822,"-",T822)</f>
        <v xml:space="preserve">- </v>
      </c>
      <c r="V822" s="51"/>
      <c r="W822" s="160" t="str">
        <f>IFERROR(VLOOKUP(V822,TD!$N$33:$O$45,2,0)," ")</f>
        <v xml:space="preserve"> </v>
      </c>
      <c r="X822" s="161" t="str">
        <f>CONCATENATE(V822,"_",W822)</f>
        <v xml:space="preserve">_ </v>
      </c>
      <c r="Y822" s="161" t="str">
        <f>CONCATENATE(U822," ",X822)</f>
        <v xml:space="preserve">-  _ </v>
      </c>
      <c r="Z822" s="160" t="str">
        <f>CONCATENATE(P822,Q822,R822,S822,V822)</f>
        <v xml:space="preserve">   </v>
      </c>
      <c r="AA822" s="160" t="str">
        <f>IFERROR(VLOOKUP(Y822,TD!$K$46:$L$64,2,0)," ")</f>
        <v xml:space="preserve"> </v>
      </c>
      <c r="AB822" s="53"/>
      <c r="AC822" s="162"/>
    </row>
    <row r="823" spans="2:29" s="28" customFormat="1" ht="99" customHeight="1" x14ac:dyDescent="0.35">
      <c r="B823" s="77"/>
      <c r="C823" s="50"/>
      <c r="D823" s="158"/>
      <c r="E823" s="51"/>
      <c r="F823" s="158"/>
      <c r="G823" s="158"/>
      <c r="H823" s="97"/>
      <c r="I823" s="159"/>
      <c r="J823" s="159"/>
      <c r="K823" s="52"/>
      <c r="L823" s="153"/>
      <c r="M823" s="158"/>
      <c r="N823" s="53"/>
      <c r="O823" s="51"/>
      <c r="P823" s="160" t="str">
        <f>IFERROR(VLOOKUP(C823,TD!$B$32:$F$36,2,0)," ")</f>
        <v xml:space="preserve"> </v>
      </c>
      <c r="Q823" s="160" t="str">
        <f>IFERROR(VLOOKUP(C823,TD!$B$32:$F$36,3,0)," ")</f>
        <v xml:space="preserve"> </v>
      </c>
      <c r="R823" s="160" t="str">
        <f>IFERROR(VLOOKUP(C823,TD!$B$32:$F$36,4,0)," ")</f>
        <v xml:space="preserve"> </v>
      </c>
      <c r="S823" s="51"/>
      <c r="T823" s="160" t="str">
        <f>IFERROR(VLOOKUP(S823,TD!$J$33:$K$43,2,0)," ")</f>
        <v xml:space="preserve"> </v>
      </c>
      <c r="U823" s="161" t="str">
        <f>CONCATENATE(S823,"-",T823)</f>
        <v xml:space="preserve">- </v>
      </c>
      <c r="V823" s="51"/>
      <c r="W823" s="160" t="str">
        <f>IFERROR(VLOOKUP(V823,TD!$N$33:$O$45,2,0)," ")</f>
        <v xml:space="preserve"> </v>
      </c>
      <c r="X823" s="161" t="str">
        <f>CONCATENATE(V823,"_",W823)</f>
        <v xml:space="preserve">_ </v>
      </c>
      <c r="Y823" s="161" t="str">
        <f>CONCATENATE(U823," ",X823)</f>
        <v xml:space="preserve">-  _ </v>
      </c>
      <c r="Z823" s="160" t="str">
        <f>CONCATENATE(P823,Q823,R823,S823,V823)</f>
        <v xml:space="preserve">   </v>
      </c>
      <c r="AA823" s="160" t="str">
        <f>IFERROR(VLOOKUP(Y823,TD!$K$46:$L$64,2,0)," ")</f>
        <v xml:space="preserve"> </v>
      </c>
      <c r="AB823" s="53"/>
      <c r="AC823" s="162"/>
    </row>
    <row r="824" spans="2:29" s="28" customFormat="1" ht="99" customHeight="1" x14ac:dyDescent="0.35">
      <c r="B824" s="77"/>
      <c r="C824" s="50"/>
      <c r="D824" s="158"/>
      <c r="E824" s="51"/>
      <c r="F824" s="158"/>
      <c r="G824" s="158"/>
      <c r="H824" s="97"/>
      <c r="I824" s="159"/>
      <c r="J824" s="159"/>
      <c r="K824" s="52"/>
      <c r="L824" s="153"/>
      <c r="M824" s="158"/>
      <c r="N824" s="53"/>
      <c r="O824" s="51"/>
      <c r="P824" s="160" t="str">
        <f>IFERROR(VLOOKUP(C824,TD!$B$32:$F$36,2,0)," ")</f>
        <v xml:space="preserve"> </v>
      </c>
      <c r="Q824" s="160" t="str">
        <f>IFERROR(VLOOKUP(C824,TD!$B$32:$F$36,3,0)," ")</f>
        <v xml:space="preserve"> </v>
      </c>
      <c r="R824" s="160" t="str">
        <f>IFERROR(VLOOKUP(C824,TD!$B$32:$F$36,4,0)," ")</f>
        <v xml:space="preserve"> </v>
      </c>
      <c r="S824" s="51"/>
      <c r="T824" s="160" t="str">
        <f>IFERROR(VLOOKUP(S824,TD!$J$33:$K$43,2,0)," ")</f>
        <v xml:space="preserve"> </v>
      </c>
      <c r="U824" s="161" t="str">
        <f>CONCATENATE(S824,"-",T824)</f>
        <v xml:space="preserve">- </v>
      </c>
      <c r="V824" s="51"/>
      <c r="W824" s="160" t="str">
        <f>IFERROR(VLOOKUP(V824,TD!$N$33:$O$45,2,0)," ")</f>
        <v xml:space="preserve"> </v>
      </c>
      <c r="X824" s="161" t="str">
        <f>CONCATENATE(V824,"_",W824)</f>
        <v xml:space="preserve">_ </v>
      </c>
      <c r="Y824" s="161" t="str">
        <f>CONCATENATE(U824," ",X824)</f>
        <v xml:space="preserve">-  _ </v>
      </c>
      <c r="Z824" s="160" t="str">
        <f>CONCATENATE(P824,Q824,R824,S824,V824)</f>
        <v xml:space="preserve">   </v>
      </c>
      <c r="AA824" s="160" t="str">
        <f>IFERROR(VLOOKUP(Y824,TD!$K$46:$L$64,2,0)," ")</f>
        <v xml:space="preserve"> </v>
      </c>
      <c r="AB824" s="53"/>
      <c r="AC824" s="162"/>
    </row>
    <row r="825" spans="2:29" s="28" customFormat="1" ht="99" customHeight="1" x14ac:dyDescent="0.35">
      <c r="B825" s="77"/>
      <c r="C825" s="50"/>
      <c r="D825" s="158"/>
      <c r="E825" s="51"/>
      <c r="F825" s="158"/>
      <c r="G825" s="158"/>
      <c r="H825" s="97"/>
      <c r="I825" s="159"/>
      <c r="J825" s="159"/>
      <c r="K825" s="52"/>
      <c r="L825" s="153"/>
      <c r="M825" s="158"/>
      <c r="N825" s="53"/>
      <c r="O825" s="51"/>
      <c r="P825" s="160" t="str">
        <f>IFERROR(VLOOKUP(C825,TD!$B$32:$F$36,2,0)," ")</f>
        <v xml:space="preserve"> </v>
      </c>
      <c r="Q825" s="160" t="str">
        <f>IFERROR(VLOOKUP(C825,TD!$B$32:$F$36,3,0)," ")</f>
        <v xml:space="preserve"> </v>
      </c>
      <c r="R825" s="160" t="str">
        <f>IFERROR(VLOOKUP(C825,TD!$B$32:$F$36,4,0)," ")</f>
        <v xml:space="preserve"> </v>
      </c>
      <c r="S825" s="51"/>
      <c r="T825" s="160" t="str">
        <f>IFERROR(VLOOKUP(S825,TD!$J$33:$K$43,2,0)," ")</f>
        <v xml:space="preserve"> </v>
      </c>
      <c r="U825" s="161" t="str">
        <f>CONCATENATE(S825,"-",T825)</f>
        <v xml:space="preserve">- </v>
      </c>
      <c r="V825" s="51"/>
      <c r="W825" s="160" t="str">
        <f>IFERROR(VLOOKUP(V825,TD!$N$33:$O$45,2,0)," ")</f>
        <v xml:space="preserve"> </v>
      </c>
      <c r="X825" s="161" t="str">
        <f>CONCATENATE(V825,"_",W825)</f>
        <v xml:space="preserve">_ </v>
      </c>
      <c r="Y825" s="161" t="str">
        <f>CONCATENATE(U825," ",X825)</f>
        <v xml:space="preserve">-  _ </v>
      </c>
      <c r="Z825" s="160" t="str">
        <f>CONCATENATE(P825,Q825,R825,S825,V825)</f>
        <v xml:space="preserve">   </v>
      </c>
      <c r="AA825" s="160" t="str">
        <f>IFERROR(VLOOKUP(Y825,TD!$K$46:$L$64,2,0)," ")</f>
        <v xml:space="preserve"> </v>
      </c>
      <c r="AB825" s="53"/>
      <c r="AC825" s="162"/>
    </row>
    <row r="826" spans="2:29" s="28" customFormat="1" ht="99" customHeight="1" x14ac:dyDescent="0.35">
      <c r="B826" s="77"/>
      <c r="C826" s="50"/>
      <c r="D826" s="158"/>
      <c r="E826" s="51"/>
      <c r="F826" s="158"/>
      <c r="G826" s="158"/>
      <c r="H826" s="97"/>
      <c r="I826" s="159"/>
      <c r="J826" s="159"/>
      <c r="K826" s="52"/>
      <c r="L826" s="153"/>
      <c r="M826" s="158"/>
      <c r="N826" s="53"/>
      <c r="O826" s="51"/>
      <c r="P826" s="160" t="str">
        <f>IFERROR(VLOOKUP(C826,TD!$B$32:$F$36,2,0)," ")</f>
        <v xml:space="preserve"> </v>
      </c>
      <c r="Q826" s="160" t="str">
        <f>IFERROR(VLOOKUP(C826,TD!$B$32:$F$36,3,0)," ")</f>
        <v xml:space="preserve"> </v>
      </c>
      <c r="R826" s="160" t="str">
        <f>IFERROR(VLOOKUP(C826,TD!$B$32:$F$36,4,0)," ")</f>
        <v xml:space="preserve"> </v>
      </c>
      <c r="S826" s="51"/>
      <c r="T826" s="160" t="str">
        <f>IFERROR(VLOOKUP(S826,TD!$J$33:$K$43,2,0)," ")</f>
        <v xml:space="preserve"> </v>
      </c>
      <c r="U826" s="161" t="str">
        <f>CONCATENATE(S826,"-",T826)</f>
        <v xml:space="preserve">- </v>
      </c>
      <c r="V826" s="51"/>
      <c r="W826" s="160" t="str">
        <f>IFERROR(VLOOKUP(V826,TD!$N$33:$O$45,2,0)," ")</f>
        <v xml:space="preserve"> </v>
      </c>
      <c r="X826" s="161" t="str">
        <f>CONCATENATE(V826,"_",W826)</f>
        <v xml:space="preserve">_ </v>
      </c>
      <c r="Y826" s="161" t="str">
        <f>CONCATENATE(U826," ",X826)</f>
        <v xml:space="preserve">-  _ </v>
      </c>
      <c r="Z826" s="160" t="str">
        <f>CONCATENATE(P826,Q826,R826,S826,V826)</f>
        <v xml:space="preserve">   </v>
      </c>
      <c r="AA826" s="160" t="str">
        <f>IFERROR(VLOOKUP(Y826,TD!$K$46:$L$64,2,0)," ")</f>
        <v xml:space="preserve"> </v>
      </c>
      <c r="AB826" s="53"/>
      <c r="AC826" s="162"/>
    </row>
    <row r="827" spans="2:29" s="28" customFormat="1" ht="99" customHeight="1" x14ac:dyDescent="0.35">
      <c r="B827" s="77"/>
      <c r="C827" s="50"/>
      <c r="D827" s="158"/>
      <c r="E827" s="51"/>
      <c r="F827" s="158"/>
      <c r="G827" s="158"/>
      <c r="H827" s="97"/>
      <c r="I827" s="159"/>
      <c r="J827" s="159"/>
      <c r="K827" s="52"/>
      <c r="L827" s="153"/>
      <c r="M827" s="158"/>
      <c r="N827" s="53"/>
      <c r="O827" s="51"/>
      <c r="P827" s="160" t="str">
        <f>IFERROR(VLOOKUP(C827,TD!$B$32:$F$36,2,0)," ")</f>
        <v xml:space="preserve"> </v>
      </c>
      <c r="Q827" s="160" t="str">
        <f>IFERROR(VLOOKUP(C827,TD!$B$32:$F$36,3,0)," ")</f>
        <v xml:space="preserve"> </v>
      </c>
      <c r="R827" s="160" t="str">
        <f>IFERROR(VLOOKUP(C827,TD!$B$32:$F$36,4,0)," ")</f>
        <v xml:space="preserve"> </v>
      </c>
      <c r="S827" s="51"/>
      <c r="T827" s="160" t="str">
        <f>IFERROR(VLOOKUP(S827,TD!$J$33:$K$43,2,0)," ")</f>
        <v xml:space="preserve"> </v>
      </c>
      <c r="U827" s="161" t="str">
        <f>CONCATENATE(S827,"-",T827)</f>
        <v xml:space="preserve">- </v>
      </c>
      <c r="V827" s="51"/>
      <c r="W827" s="160" t="str">
        <f>IFERROR(VLOOKUP(V827,TD!$N$33:$O$45,2,0)," ")</f>
        <v xml:space="preserve"> </v>
      </c>
      <c r="X827" s="161" t="str">
        <f>CONCATENATE(V827,"_",W827)</f>
        <v xml:space="preserve">_ </v>
      </c>
      <c r="Y827" s="161" t="str">
        <f>CONCATENATE(U827," ",X827)</f>
        <v xml:space="preserve">-  _ </v>
      </c>
      <c r="Z827" s="160" t="str">
        <f>CONCATENATE(P827,Q827,R827,S827,V827)</f>
        <v xml:space="preserve">   </v>
      </c>
      <c r="AA827" s="160" t="str">
        <f>IFERROR(VLOOKUP(Y827,TD!$K$46:$L$64,2,0)," ")</f>
        <v xml:space="preserve"> </v>
      </c>
      <c r="AB827" s="53"/>
      <c r="AC827" s="162"/>
    </row>
    <row r="828" spans="2:29" s="28" customFormat="1" ht="99" customHeight="1" x14ac:dyDescent="0.35">
      <c r="B828" s="78"/>
      <c r="C828" s="79"/>
      <c r="D828" s="179"/>
      <c r="E828" s="180"/>
      <c r="F828" s="179"/>
      <c r="G828" s="179"/>
      <c r="H828" s="149"/>
      <c r="I828" s="181"/>
      <c r="J828" s="181"/>
      <c r="K828" s="80"/>
      <c r="L828" s="156"/>
      <c r="M828" s="179"/>
      <c r="N828" s="81"/>
      <c r="O828" s="180"/>
      <c r="P828" s="182" t="str">
        <f>IFERROR(VLOOKUP(C828,TD!$B$32:$F$36,2,0)," ")</f>
        <v xml:space="preserve"> </v>
      </c>
      <c r="Q828" s="182" t="str">
        <f>IFERROR(VLOOKUP(C828,TD!$B$32:$F$36,3,0)," ")</f>
        <v xml:space="preserve"> </v>
      </c>
      <c r="R828" s="182" t="str">
        <f>IFERROR(VLOOKUP(C828,TD!$B$32:$F$36,4,0)," ")</f>
        <v xml:space="preserve"> </v>
      </c>
      <c r="S828" s="180"/>
      <c r="T828" s="182"/>
      <c r="U828" s="183" t="str">
        <f>CONCATENATE(S828,"-",T828)</f>
        <v>-</v>
      </c>
      <c r="V828" s="180"/>
      <c r="W828" s="182"/>
      <c r="X828" s="183" t="str">
        <f>CONCATENATE(V828,"_",W828)</f>
        <v>_</v>
      </c>
      <c r="Y828" s="183" t="str">
        <f>CONCATENATE(U828," ",X828)</f>
        <v>- _</v>
      </c>
      <c r="Z828" s="182" t="str">
        <f>CONCATENATE(P828,Q828,R828,S828,V828)</f>
        <v xml:space="preserve">   </v>
      </c>
      <c r="AA828" s="182" t="str">
        <f>IFERROR(VLOOKUP(Y828,TD!$K$46:$L$64,2,0)," ")</f>
        <v xml:space="preserve"> </v>
      </c>
      <c r="AB828" s="81"/>
      <c r="AC828" s="184"/>
    </row>
    <row r="829" spans="2:29" ht="99" customHeight="1" x14ac:dyDescent="0.35">
      <c r="B829" s="77"/>
      <c r="C829" s="50"/>
      <c r="D829" s="158"/>
      <c r="E829" s="51"/>
      <c r="F829" s="158"/>
      <c r="G829" s="158"/>
      <c r="H829" s="97"/>
      <c r="I829" s="159"/>
      <c r="J829" s="159"/>
      <c r="K829" s="52"/>
      <c r="L829" s="153"/>
      <c r="M829" s="158"/>
      <c r="N829" s="53"/>
      <c r="O829" s="51"/>
      <c r="P829" s="160" t="str">
        <f>IFERROR(VLOOKUP(C829,TD!$B$32:$F$36,2,0)," ")</f>
        <v xml:space="preserve"> </v>
      </c>
      <c r="Q829" s="160" t="str">
        <f>IFERROR(VLOOKUP(C829,TD!$B$32:$F$36,3,0)," ")</f>
        <v xml:space="preserve"> </v>
      </c>
      <c r="R829" s="160" t="str">
        <f>IFERROR(VLOOKUP(C829,TD!$B$32:$F$36,4,0)," ")</f>
        <v xml:space="preserve"> </v>
      </c>
      <c r="S829" s="51"/>
      <c r="T829" s="160"/>
      <c r="U829" s="161" t="str">
        <f>CONCATENATE(S829,"-",T829)</f>
        <v>-</v>
      </c>
      <c r="V829" s="51"/>
      <c r="W829" s="160"/>
      <c r="X829" s="161" t="str">
        <f>CONCATENATE(V829,"_",W829)</f>
        <v>_</v>
      </c>
      <c r="Y829" s="161" t="str">
        <f>CONCATENATE(U829," ",X829)</f>
        <v>- _</v>
      </c>
      <c r="Z829" s="160" t="str">
        <f>CONCATENATE(P829,Q829,R829,S829,V829)</f>
        <v xml:space="preserve">   </v>
      </c>
      <c r="AA829" s="160" t="str">
        <f>IFERROR(VLOOKUP(Y829,TD!$K$46:$L$64,2,0)," ")</f>
        <v xml:space="preserve"> </v>
      </c>
      <c r="AB829" s="53"/>
      <c r="AC829" s="162"/>
    </row>
    <row r="830" spans="2:29" ht="99" customHeight="1" x14ac:dyDescent="0.35">
      <c r="B830" s="77"/>
      <c r="C830" s="50"/>
      <c r="D830" s="158"/>
      <c r="E830" s="51"/>
      <c r="F830" s="158"/>
      <c r="G830" s="158"/>
      <c r="H830" s="97"/>
      <c r="I830" s="159"/>
      <c r="J830" s="159"/>
      <c r="K830" s="52"/>
      <c r="L830" s="153"/>
      <c r="M830" s="158"/>
      <c r="N830" s="53"/>
      <c r="O830" s="51"/>
      <c r="P830" s="160" t="str">
        <f>IFERROR(VLOOKUP(C830,TD!$B$32:$F$36,2,0)," ")</f>
        <v xml:space="preserve"> </v>
      </c>
      <c r="Q830" s="160" t="str">
        <f>IFERROR(VLOOKUP(C830,TD!$B$32:$F$36,3,0)," ")</f>
        <v xml:space="preserve"> </v>
      </c>
      <c r="R830" s="160" t="str">
        <f>IFERROR(VLOOKUP(C830,TD!$B$32:$F$36,4,0)," ")</f>
        <v xml:space="preserve"> </v>
      </c>
      <c r="S830" s="51"/>
      <c r="T830" s="160"/>
      <c r="U830" s="161" t="str">
        <f>CONCATENATE(S830,"-",T830)</f>
        <v>-</v>
      </c>
      <c r="V830" s="51"/>
      <c r="W830" s="160"/>
      <c r="X830" s="161" t="str">
        <f>CONCATENATE(V830,"_",W830)</f>
        <v>_</v>
      </c>
      <c r="Y830" s="161" t="str">
        <f>CONCATENATE(U830," ",X830)</f>
        <v>- _</v>
      </c>
      <c r="Z830" s="160" t="str">
        <f>CONCATENATE(P830,Q830,R830,S830,V830)</f>
        <v xml:space="preserve">   </v>
      </c>
      <c r="AA830" s="160" t="str">
        <f>IFERROR(VLOOKUP(Y830,TD!$K$46:$L$64,2,0)," ")</f>
        <v xml:space="preserve"> </v>
      </c>
      <c r="AB830" s="53"/>
      <c r="AC830" s="162"/>
    </row>
    <row r="831" spans="2:29" ht="99" customHeight="1" x14ac:dyDescent="0.35">
      <c r="B831" s="77"/>
      <c r="C831" s="50"/>
      <c r="D831" s="158"/>
      <c r="E831" s="51"/>
      <c r="F831" s="158"/>
      <c r="G831" s="158"/>
      <c r="H831" s="97"/>
      <c r="I831" s="159"/>
      <c r="J831" s="159"/>
      <c r="K831" s="52"/>
      <c r="L831" s="153"/>
      <c r="M831" s="158"/>
      <c r="N831" s="53"/>
      <c r="O831" s="51"/>
      <c r="P831" s="160" t="str">
        <f>IFERROR(VLOOKUP(C831,TD!$B$32:$F$36,2,0)," ")</f>
        <v xml:space="preserve"> </v>
      </c>
      <c r="Q831" s="160" t="str">
        <f>IFERROR(VLOOKUP(C831,TD!$B$32:$F$36,3,0)," ")</f>
        <v xml:space="preserve"> </v>
      </c>
      <c r="R831" s="160" t="str">
        <f>IFERROR(VLOOKUP(C831,TD!$B$32:$F$36,4,0)," ")</f>
        <v xml:space="preserve"> </v>
      </c>
      <c r="S831" s="51"/>
      <c r="T831" s="160"/>
      <c r="U831" s="161" t="str">
        <f>CONCATENATE(S831,"-",T831)</f>
        <v>-</v>
      </c>
      <c r="V831" s="51"/>
      <c r="W831" s="160"/>
      <c r="X831" s="161" t="str">
        <f>CONCATENATE(V831,"_",W831)</f>
        <v>_</v>
      </c>
      <c r="Y831" s="161" t="str">
        <f>CONCATENATE(U831," ",X831)</f>
        <v>- _</v>
      </c>
      <c r="Z831" s="160" t="str">
        <f>CONCATENATE(P831,Q831,R831,S831,V831)</f>
        <v xml:space="preserve">   </v>
      </c>
      <c r="AA831" s="160" t="str">
        <f>IFERROR(VLOOKUP(Y831,TD!$K$46:$L$64,2,0)," ")</f>
        <v xml:space="preserve"> </v>
      </c>
      <c r="AB831" s="53"/>
      <c r="AC831" s="162"/>
    </row>
    <row r="832" spans="2:29" ht="99" customHeight="1" x14ac:dyDescent="0.35">
      <c r="B832" s="77"/>
      <c r="C832" s="50"/>
      <c r="D832" s="158"/>
      <c r="E832" s="51"/>
      <c r="F832" s="158"/>
      <c r="G832" s="158"/>
      <c r="H832" s="97"/>
      <c r="I832" s="159"/>
      <c r="J832" s="159"/>
      <c r="K832" s="52"/>
      <c r="L832" s="153"/>
      <c r="M832" s="158"/>
      <c r="N832" s="53"/>
      <c r="O832" s="51"/>
      <c r="P832" s="160" t="str">
        <f>IFERROR(VLOOKUP(C832,TD!$B$32:$F$36,2,0)," ")</f>
        <v xml:space="preserve"> </v>
      </c>
      <c r="Q832" s="160" t="str">
        <f>IFERROR(VLOOKUP(C832,TD!$B$32:$F$36,3,0)," ")</f>
        <v xml:space="preserve"> </v>
      </c>
      <c r="R832" s="160" t="str">
        <f>IFERROR(VLOOKUP(C832,TD!$B$32:$F$36,4,0)," ")</f>
        <v xml:space="preserve"> </v>
      </c>
      <c r="S832" s="51"/>
      <c r="T832" s="160"/>
      <c r="U832" s="161" t="str">
        <f>CONCATENATE(S832,"-",T832)</f>
        <v>-</v>
      </c>
      <c r="V832" s="51"/>
      <c r="W832" s="160"/>
      <c r="X832" s="161" t="str">
        <f>CONCATENATE(V832,"_",W832)</f>
        <v>_</v>
      </c>
      <c r="Y832" s="161" t="str">
        <f>CONCATENATE(U832," ",X832)</f>
        <v>- _</v>
      </c>
      <c r="Z832" s="160" t="str">
        <f>CONCATENATE(P832,Q832,R832,S832,V832)</f>
        <v xml:space="preserve">   </v>
      </c>
      <c r="AA832" s="160" t="str">
        <f>IFERROR(VLOOKUP(Y832,TD!$K$46:$L$64,2,0)," ")</f>
        <v xml:space="preserve"> </v>
      </c>
      <c r="AB832" s="53"/>
      <c r="AC832" s="162"/>
    </row>
    <row r="838" spans="6:27" ht="99" customHeight="1" x14ac:dyDescent="0.35">
      <c r="AA838" s="123"/>
    </row>
    <row r="839" spans="6:27" ht="99" customHeight="1" x14ac:dyDescent="0.35">
      <c r="AA839" s="123"/>
    </row>
    <row r="840" spans="6:27" ht="99" customHeight="1" x14ac:dyDescent="0.35">
      <c r="AA840" s="123"/>
    </row>
    <row r="843" spans="6:27" ht="99" customHeight="1" x14ac:dyDescent="0.45">
      <c r="F843" s="83"/>
      <c r="G843" s="83"/>
    </row>
    <row r="844" spans="6:27" ht="99" customHeight="1" x14ac:dyDescent="0.45">
      <c r="F844" s="83"/>
      <c r="G844" s="83"/>
    </row>
  </sheetData>
  <mergeCells count="7">
    <mergeCell ref="M6:O6"/>
    <mergeCell ref="B2:C2"/>
    <mergeCell ref="E3:L3"/>
    <mergeCell ref="E4:L4"/>
    <mergeCell ref="E5:L5"/>
    <mergeCell ref="M4:O4"/>
    <mergeCell ref="M5:O5"/>
  </mergeCells>
  <conditionalFormatting sqref="B1:B1048576">
    <cfRule type="duplicateValues" dxfId="48" priority="3963"/>
    <cfRule type="duplicateValues" dxfId="47" priority="2"/>
    <cfRule type="duplicateValues" dxfId="46" priority="4"/>
    <cfRule type="duplicateValues" dxfId="45" priority="5"/>
    <cfRule type="duplicateValues" dxfId="44" priority="12"/>
    <cfRule type="duplicateValues" dxfId="43" priority="3962"/>
  </conditionalFormatting>
  <conditionalFormatting sqref="B5:B65391">
    <cfRule type="duplicateValues" dxfId="42" priority="13297"/>
    <cfRule type="duplicateValues" dxfId="41" priority="13298" stopIfTrue="1"/>
    <cfRule type="duplicateValues" dxfId="40" priority="13295"/>
    <cfRule type="duplicateValues" dxfId="39" priority="13296"/>
  </conditionalFormatting>
  <conditionalFormatting sqref="B10:B65391">
    <cfRule type="duplicateValues" dxfId="38" priority="13316" stopIfTrue="1"/>
    <cfRule type="duplicateValues" dxfId="37" priority="13310" stopIfTrue="1"/>
    <cfRule type="duplicateValues" dxfId="36" priority="13315" stopIfTrue="1"/>
    <cfRule type="duplicateValues" dxfId="35" priority="13314" stopIfTrue="1"/>
    <cfRule type="duplicateValues" dxfId="34" priority="13313" stopIfTrue="1"/>
    <cfRule type="duplicateValues" dxfId="33" priority="13312"/>
    <cfRule type="duplicateValues" dxfId="32" priority="13311"/>
    <cfRule type="expression" dxfId="31" priority="13303" stopIfTrue="1">
      <formula>AND(COUNTIF(#REF!, B10)+COUNTIF($B$2:$B$10, B10)+COUNTIF($B$11:$B$832, B10)&gt;1,NOT(ISBLANK(B10)))</formula>
    </cfRule>
    <cfRule type="expression" dxfId="30" priority="13304" stopIfTrue="1">
      <formula>AND(COUNTIF($B$2:$B$10, B10)+COUNTIF($B$11:$B$832, B10)&gt;1,NOT(ISBLANK(B10)))</formula>
    </cfRule>
    <cfRule type="expression" dxfId="29" priority="13305" stopIfTrue="1">
      <formula>AND(COUNTIF(#REF!, B10)+COUNTIF($B$10:$B$10, B10)&gt;1,NOT(ISBLANK(B10)))</formula>
    </cfRule>
    <cfRule type="duplicateValues" dxfId="28" priority="13306" stopIfTrue="1"/>
    <cfRule type="duplicateValues" dxfId="27" priority="13307" stopIfTrue="1"/>
    <cfRule type="duplicateValues" dxfId="26" priority="13308" stopIfTrue="1"/>
    <cfRule type="duplicateValues" dxfId="25" priority="13309" stopIfTrue="1"/>
    <cfRule type="duplicateValues" dxfId="24" priority="13317" stopIfTrue="1"/>
    <cfRule type="duplicateValues" dxfId="23" priority="13318" stopIfTrue="1"/>
    <cfRule type="duplicateValues" dxfId="22" priority="13319" stopIfTrue="1"/>
    <cfRule type="duplicateValues" dxfId="21" priority="13320" stopIfTrue="1"/>
    <cfRule type="duplicateValues" dxfId="20" priority="13321" stopIfTrue="1"/>
    <cfRule type="duplicateValues" dxfId="19" priority="13322" stopIfTrue="1"/>
    <cfRule type="duplicateValues" dxfId="18" priority="13323"/>
    <cfRule type="duplicateValues" dxfId="17" priority="13324"/>
    <cfRule type="duplicateValues" dxfId="16" priority="13325"/>
    <cfRule type="duplicateValues" dxfId="15" priority="13326"/>
  </conditionalFormatting>
  <conditionalFormatting sqref="B11:B832">
    <cfRule type="duplicateValues" dxfId="14" priority="1"/>
    <cfRule type="duplicateValues" dxfId="13" priority="13351"/>
    <cfRule type="duplicateValues" dxfId="12" priority="13352"/>
    <cfRule type="duplicateValues" dxfId="11" priority="13353"/>
    <cfRule type="duplicateValues" dxfId="10" priority="13354"/>
    <cfRule type="duplicateValues" dxfId="9" priority="13355"/>
    <cfRule type="duplicateValues" dxfId="8" priority="13356"/>
    <cfRule type="duplicateValues" dxfId="7" priority="13357"/>
  </conditionalFormatting>
  <conditionalFormatting sqref="E3:E5">
    <cfRule type="duplicateValues" dxfId="6" priority="156" stopIfTrue="1"/>
    <cfRule type="duplicateValues" dxfId="5" priority="157" stopIfTrue="1"/>
    <cfRule type="duplicateValues" dxfId="4" priority="160"/>
    <cfRule type="duplicateValues" dxfId="3" priority="159"/>
    <cfRule type="duplicateValues" dxfId="2" priority="158"/>
  </conditionalFormatting>
  <conditionalFormatting sqref="E3:E8 B5:B65391">
    <cfRule type="expression" dxfId="1" priority="3621" stopIfTrue="1">
      <formula>AND(COUNTIF($E$3:$E$8, B3)+COUNTIF(#REF!, B3)&gt;1,NOT(ISBLANK(B3)))</formula>
    </cfRule>
  </conditionalFormatting>
  <pageMargins left="0.7" right="0.7" top="0.75" bottom="0.75" header="0.3" footer="0.3"/>
  <pageSetup paperSize="9" scale="12" orientation="portrait" horizontalDpi="4294967294" verticalDpi="4294967294" r:id="rId1"/>
  <customProperties>
    <customPr name="EpmWorksheetKeyString_GUID" r:id="rId2"/>
  </customProperties>
  <ignoredErrors>
    <ignoredError sqref="P4:P6" unlockedFormula="1"/>
  </ignoredErrors>
  <drawing r:id="rId3"/>
  <legacyDrawing r:id="rId4"/>
  <tableParts count="1">
    <tablePart r:id="rId5"/>
  </tableParts>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0000000}">
          <x14:formula1>
            <xm:f>TD!$J$3:$J$23</xm:f>
          </x14:formula1>
          <xm:sqref>O11:O430 O438:O832</xm:sqref>
        </x14:dataValidation>
        <x14:dataValidation type="list" allowBlank="1" showInputMessage="1" showErrorMessage="1" xr:uid="{A4510439-3D81-44AE-BA95-C366D1F44B78}">
          <x14:formula1>
            <xm:f>'\Users\sebastianayala\Library\Containers\com.microsoft.Excel\Data\Documents\C:\Users\asus\Downloads\[271320241226135151536 (1).xlsx]TD'!#REF!</xm:f>
          </x14:formula1>
          <xm:sqref>AB209</xm:sqref>
        </x14:dataValidation>
        <x14:dataValidation type="list" allowBlank="1" showInputMessage="1" showErrorMessage="1" xr:uid="{00000000-0002-0000-0100-000001000000}">
          <x14:formula1>
            <xm:f>TD!$F$2:$F$26</xm:f>
          </x14:formula1>
          <xm:sqref>AB441:AB487 AB11:AB208 AB210:AB434 AB493:AB832</xm:sqref>
        </x14:dataValidation>
        <x14:dataValidation type="list" allowBlank="1" showInputMessage="1" showErrorMessage="1" xr:uid="{00000000-0002-0000-0100-000007000000}">
          <x14:formula1>
            <xm:f>TD!$Q$2:$Q$5</xm:f>
          </x14:formula1>
          <xm:sqref>N833:N1048576 M11:M832</xm:sqref>
        </x14:dataValidation>
        <x14:dataValidation type="list" allowBlank="1" showInputMessage="1" showErrorMessage="1" xr:uid="{00000000-0002-0000-0100-000002000000}">
          <x14:formula1>
            <xm:f>TD!$D$2:$D$29</xm:f>
          </x14:formula1>
          <xm:sqref>G11:G832</xm:sqref>
        </x14:dataValidation>
        <x14:dataValidation type="list" allowBlank="1" showInputMessage="1" showErrorMessage="1" xr:uid="{00000000-0002-0000-0100-000003000000}">
          <x14:formula1>
            <xm:f>TD!$J$33:$J$43</xm:f>
          </x14:formula1>
          <xm:sqref>S11:S832</xm:sqref>
        </x14:dataValidation>
        <x14:dataValidation type="list" allowBlank="1" showInputMessage="1" showErrorMessage="1" xr:uid="{00000000-0002-0000-0100-000004000000}">
          <x14:formula1>
            <xm:f>TD!$X$33:$X$34</xm:f>
          </x14:formula1>
          <xm:sqref>AC11:AC832</xm:sqref>
        </x14:dataValidation>
        <x14:dataValidation type="list" allowBlank="1" showInputMessage="1" showErrorMessage="1" xr:uid="{00000000-0002-0000-0100-000005000000}">
          <x14:formula1>
            <xm:f>TD!$B$2:$B$11</xm:f>
          </x14:formula1>
          <xm:sqref>N11:N832</xm:sqref>
        </x14:dataValidation>
        <x14:dataValidation type="list" allowBlank="1" showInputMessage="1" showErrorMessage="1" xr:uid="{00000000-0002-0000-0100-000006000000}">
          <x14:formula1>
            <xm:f>TD!$L$2:$L$5</xm:f>
          </x14:formula1>
          <xm:sqref>C11:C1048576</xm:sqref>
        </x14:dataValidation>
        <x14:dataValidation type="list" allowBlank="1" showInputMessage="1" showErrorMessage="1" xr:uid="{00000000-0002-0000-0100-000008000000}">
          <x14:formula1>
            <xm:f>TD!$O$2:$O$15</xm:f>
          </x14:formula1>
          <xm:sqref>D11:D1048576</xm:sqref>
        </x14:dataValidation>
        <x14:dataValidation type="list" allowBlank="1" showInputMessage="1" showErrorMessage="1" xr:uid="{00000000-0002-0000-0100-000009000000}">
          <x14:formula1>
            <xm:f>TD!$N$33:$N$45</xm:f>
          </x14:formula1>
          <xm:sqref>V11:V832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453125" style="83" customWidth="1"/>
    <col min="2" max="3" width="17.1796875" style="83"/>
    <col min="4" max="4" width="20.453125" style="83" customWidth="1"/>
    <col min="5" max="5" width="29.453125" style="83" customWidth="1"/>
    <col min="6" max="6" width="20.453125" style="84" customWidth="1"/>
    <col min="7" max="7" width="6.453125" style="83" customWidth="1"/>
    <col min="8" max="9" width="24.453125" style="83" customWidth="1"/>
    <col min="10" max="10" width="19.1796875" style="83" customWidth="1"/>
    <col min="11" max="11" width="28.81640625" style="84" bestFit="1" customWidth="1"/>
    <col min="12" max="12" width="21.453125" style="83" customWidth="1"/>
    <col min="13" max="16384" width="17.1796875" style="83"/>
  </cols>
  <sheetData>
    <row r="2" spans="2:13" x14ac:dyDescent="0.45">
      <c r="B2" s="82" t="s">
        <v>418</v>
      </c>
      <c r="C2" s="82"/>
      <c r="H2" s="82" t="s">
        <v>424</v>
      </c>
    </row>
    <row r="3" spans="2:13" x14ac:dyDescent="0.45">
      <c r="B3" s="82" t="s">
        <v>419</v>
      </c>
      <c r="H3" s="82" t="s">
        <v>419</v>
      </c>
    </row>
    <row r="4" spans="2:13" x14ac:dyDescent="0.45">
      <c r="B4" s="82" t="s">
        <v>208</v>
      </c>
      <c r="C4" s="82"/>
      <c r="H4" s="82" t="s">
        <v>208</v>
      </c>
      <c r="I4" s="82"/>
    </row>
    <row r="5" spans="2:13" s="25" customFormat="1" ht="33" x14ac:dyDescent="0.35">
      <c r="B5" s="55" t="s">
        <v>52</v>
      </c>
      <c r="C5" s="55" t="s">
        <v>0</v>
      </c>
      <c r="D5" s="64" t="s">
        <v>2</v>
      </c>
      <c r="E5" s="55" t="s">
        <v>231</v>
      </c>
      <c r="F5" s="91" t="s">
        <v>417</v>
      </c>
      <c r="G5" s="24"/>
      <c r="H5" s="55" t="s">
        <v>52</v>
      </c>
      <c r="I5" s="55" t="s">
        <v>0</v>
      </c>
      <c r="J5" s="64" t="s">
        <v>2</v>
      </c>
      <c r="K5" s="55" t="s">
        <v>231</v>
      </c>
      <c r="L5" s="91" t="s">
        <v>417</v>
      </c>
      <c r="M5" s="91" t="s">
        <v>420</v>
      </c>
    </row>
    <row r="6" spans="2:13" x14ac:dyDescent="0.45">
      <c r="B6" s="86" t="s">
        <v>208</v>
      </c>
      <c r="C6" s="86" t="s">
        <v>45</v>
      </c>
      <c r="D6" s="86" t="s">
        <v>219</v>
      </c>
      <c r="E6" s="86" t="s">
        <v>266</v>
      </c>
      <c r="F6" s="87">
        <v>260870960</v>
      </c>
      <c r="H6" s="86" t="s">
        <v>208</v>
      </c>
      <c r="I6" s="86" t="s">
        <v>45</v>
      </c>
      <c r="J6" s="86" t="s">
        <v>219</v>
      </c>
      <c r="K6" s="86" t="s">
        <v>266</v>
      </c>
      <c r="L6" s="87">
        <v>260870960</v>
      </c>
      <c r="M6" s="89">
        <f t="shared" ref="M6:M19" si="0">+F6-L6</f>
        <v>0</v>
      </c>
    </row>
    <row r="7" spans="2:13" x14ac:dyDescent="0.45">
      <c r="B7" s="86" t="s">
        <v>208</v>
      </c>
      <c r="C7" s="86" t="s">
        <v>161</v>
      </c>
      <c r="D7" s="86" t="s">
        <v>220</v>
      </c>
      <c r="E7" s="86" t="s">
        <v>273</v>
      </c>
      <c r="F7" s="87">
        <v>260870960</v>
      </c>
      <c r="H7" s="86" t="s">
        <v>208</v>
      </c>
      <c r="I7" s="86" t="s">
        <v>161</v>
      </c>
      <c r="J7" s="86" t="s">
        <v>220</v>
      </c>
      <c r="K7" s="86" t="s">
        <v>273</v>
      </c>
      <c r="L7" s="87">
        <v>260870960</v>
      </c>
      <c r="M7" s="89">
        <f t="shared" si="0"/>
        <v>0</v>
      </c>
    </row>
    <row r="8" spans="2:13" x14ac:dyDescent="0.45">
      <c r="B8" s="86" t="s">
        <v>208</v>
      </c>
      <c r="C8" s="86" t="s">
        <v>162</v>
      </c>
      <c r="D8" s="86" t="s">
        <v>214</v>
      </c>
      <c r="E8" s="86" t="s">
        <v>269</v>
      </c>
      <c r="F8" s="87">
        <v>481960117</v>
      </c>
      <c r="H8" s="86" t="s">
        <v>208</v>
      </c>
      <c r="I8" s="86" t="s">
        <v>162</v>
      </c>
      <c r="J8" s="86" t="s">
        <v>214</v>
      </c>
      <c r="K8" s="86" t="s">
        <v>269</v>
      </c>
      <c r="L8" s="87">
        <v>481960117</v>
      </c>
      <c r="M8" s="89">
        <f t="shared" si="0"/>
        <v>0</v>
      </c>
    </row>
    <row r="9" spans="2:13" x14ac:dyDescent="0.45">
      <c r="B9" s="86" t="s">
        <v>208</v>
      </c>
      <c r="C9" s="86" t="s">
        <v>162</v>
      </c>
      <c r="D9" s="86" t="s">
        <v>215</v>
      </c>
      <c r="E9" s="86" t="s">
        <v>269</v>
      </c>
      <c r="F9" s="87">
        <v>926338572</v>
      </c>
      <c r="H9" s="86" t="s">
        <v>208</v>
      </c>
      <c r="I9" s="86" t="s">
        <v>162</v>
      </c>
      <c r="J9" s="86" t="s">
        <v>215</v>
      </c>
      <c r="K9" s="86" t="s">
        <v>269</v>
      </c>
      <c r="L9" s="87">
        <v>926338572</v>
      </c>
      <c r="M9" s="89">
        <f t="shared" si="0"/>
        <v>0</v>
      </c>
    </row>
    <row r="10" spans="2:13" x14ac:dyDescent="0.45">
      <c r="B10" s="86" t="s">
        <v>208</v>
      </c>
      <c r="C10" s="86" t="s">
        <v>162</v>
      </c>
      <c r="D10" s="86" t="s">
        <v>216</v>
      </c>
      <c r="E10" s="86" t="s">
        <v>269</v>
      </c>
      <c r="F10" s="87">
        <v>475003732</v>
      </c>
      <c r="H10" s="86" t="s">
        <v>208</v>
      </c>
      <c r="I10" s="86" t="s">
        <v>162</v>
      </c>
      <c r="J10" s="86" t="s">
        <v>216</v>
      </c>
      <c r="K10" s="86" t="s">
        <v>269</v>
      </c>
      <c r="L10" s="87">
        <v>475003732</v>
      </c>
      <c r="M10" s="89">
        <f t="shared" si="0"/>
        <v>0</v>
      </c>
    </row>
    <row r="11" spans="2:13" x14ac:dyDescent="0.45">
      <c r="B11" s="86" t="s">
        <v>208</v>
      </c>
      <c r="C11" s="86" t="s">
        <v>162</v>
      </c>
      <c r="D11" s="86" t="s">
        <v>217</v>
      </c>
      <c r="E11" s="86" t="s">
        <v>269</v>
      </c>
      <c r="F11" s="87">
        <v>175876971</v>
      </c>
      <c r="H11" s="86" t="s">
        <v>208</v>
      </c>
      <c r="I11" s="86" t="s">
        <v>162</v>
      </c>
      <c r="J11" s="86" t="s">
        <v>217</v>
      </c>
      <c r="K11" s="86" t="s">
        <v>269</v>
      </c>
      <c r="L11" s="87">
        <v>175876971</v>
      </c>
      <c r="M11" s="89">
        <f t="shared" si="0"/>
        <v>0</v>
      </c>
    </row>
    <row r="12" spans="2:13" x14ac:dyDescent="0.45">
      <c r="B12" s="86" t="s">
        <v>208</v>
      </c>
      <c r="C12" s="86" t="s">
        <v>36</v>
      </c>
      <c r="D12" s="86" t="s">
        <v>211</v>
      </c>
      <c r="E12" s="86" t="s">
        <v>271</v>
      </c>
      <c r="F12" s="87">
        <v>336851064</v>
      </c>
      <c r="H12" s="86" t="s">
        <v>208</v>
      </c>
      <c r="I12" s="86" t="s">
        <v>36</v>
      </c>
      <c r="J12" s="86" t="s">
        <v>211</v>
      </c>
      <c r="K12" s="86" t="s">
        <v>271</v>
      </c>
      <c r="L12" s="87">
        <v>336851064</v>
      </c>
      <c r="M12" s="89">
        <f t="shared" si="0"/>
        <v>0</v>
      </c>
    </row>
    <row r="13" spans="2:13" x14ac:dyDescent="0.45">
      <c r="B13" s="86" t="s">
        <v>208</v>
      </c>
      <c r="C13" s="86" t="s">
        <v>36</v>
      </c>
      <c r="D13" s="86" t="s">
        <v>212</v>
      </c>
      <c r="E13" s="86" t="s">
        <v>272</v>
      </c>
      <c r="F13" s="87">
        <v>168425532</v>
      </c>
      <c r="H13" s="86" t="s">
        <v>208</v>
      </c>
      <c r="I13" s="86" t="s">
        <v>36</v>
      </c>
      <c r="J13" s="86" t="s">
        <v>212</v>
      </c>
      <c r="K13" s="86" t="s">
        <v>272</v>
      </c>
      <c r="L13" s="87">
        <v>168425532</v>
      </c>
      <c r="M13" s="89">
        <f t="shared" si="0"/>
        <v>0</v>
      </c>
    </row>
    <row r="14" spans="2:13" x14ac:dyDescent="0.45">
      <c r="B14" s="86" t="s">
        <v>208</v>
      </c>
      <c r="C14" s="86" t="s">
        <v>36</v>
      </c>
      <c r="D14" s="86" t="s">
        <v>213</v>
      </c>
      <c r="E14" s="86" t="s">
        <v>272</v>
      </c>
      <c r="F14" s="87">
        <v>56141844</v>
      </c>
      <c r="H14" s="86" t="s">
        <v>208</v>
      </c>
      <c r="I14" s="86" t="s">
        <v>36</v>
      </c>
      <c r="J14" s="86" t="s">
        <v>213</v>
      </c>
      <c r="K14" s="86" t="s">
        <v>272</v>
      </c>
      <c r="L14" s="87">
        <v>56141844</v>
      </c>
      <c r="M14" s="89">
        <f t="shared" si="0"/>
        <v>0</v>
      </c>
    </row>
    <row r="15" spans="2:13" x14ac:dyDescent="0.45">
      <c r="B15" s="86" t="s">
        <v>208</v>
      </c>
      <c r="C15" s="86" t="s">
        <v>46</v>
      </c>
      <c r="D15" s="86" t="s">
        <v>219</v>
      </c>
      <c r="E15" s="86" t="s">
        <v>266</v>
      </c>
      <c r="F15" s="87">
        <v>206558000</v>
      </c>
      <c r="H15" s="86" t="s">
        <v>208</v>
      </c>
      <c r="I15" s="86" t="s">
        <v>46</v>
      </c>
      <c r="J15" s="86" t="s">
        <v>219</v>
      </c>
      <c r="K15" s="86" t="s">
        <v>266</v>
      </c>
      <c r="L15" s="87">
        <v>206558000</v>
      </c>
      <c r="M15" s="89">
        <f t="shared" si="0"/>
        <v>0</v>
      </c>
    </row>
    <row r="16" spans="2:13" x14ac:dyDescent="0.45">
      <c r="B16" s="86" t="s">
        <v>208</v>
      </c>
      <c r="C16" s="86" t="s">
        <v>163</v>
      </c>
      <c r="D16" s="86" t="s">
        <v>219</v>
      </c>
      <c r="E16" s="86" t="s">
        <v>266</v>
      </c>
      <c r="F16" s="87">
        <v>171068294</v>
      </c>
      <c r="H16" s="86" t="s">
        <v>208</v>
      </c>
      <c r="I16" s="86" t="s">
        <v>163</v>
      </c>
      <c r="J16" s="86" t="s">
        <v>219</v>
      </c>
      <c r="K16" s="86" t="s">
        <v>266</v>
      </c>
      <c r="L16" s="87">
        <v>171068294</v>
      </c>
      <c r="M16" s="89">
        <f t="shared" si="0"/>
        <v>0</v>
      </c>
    </row>
    <row r="17" spans="2:13" x14ac:dyDescent="0.45">
      <c r="B17" s="86" t="s">
        <v>208</v>
      </c>
      <c r="C17" s="86" t="s">
        <v>164</v>
      </c>
      <c r="D17" s="86" t="s">
        <v>219</v>
      </c>
      <c r="E17" s="86" t="s">
        <v>266</v>
      </c>
      <c r="F17" s="87">
        <v>229431788</v>
      </c>
      <c r="H17" s="86" t="s">
        <v>208</v>
      </c>
      <c r="I17" s="86" t="s">
        <v>164</v>
      </c>
      <c r="J17" s="86" t="s">
        <v>219</v>
      </c>
      <c r="K17" s="86" t="s">
        <v>266</v>
      </c>
      <c r="L17" s="87">
        <v>229431788</v>
      </c>
      <c r="M17" s="89">
        <f t="shared" si="0"/>
        <v>0</v>
      </c>
    </row>
    <row r="18" spans="2:13" x14ac:dyDescent="0.45">
      <c r="B18" s="86" t="s">
        <v>208</v>
      </c>
      <c r="C18" s="86" t="s">
        <v>166</v>
      </c>
      <c r="D18" s="86" t="s">
        <v>218</v>
      </c>
      <c r="E18" s="86" t="s">
        <v>266</v>
      </c>
      <c r="F18" s="87">
        <v>1239712750</v>
      </c>
      <c r="H18" s="86" t="s">
        <v>208</v>
      </c>
      <c r="I18" s="86" t="s">
        <v>166</v>
      </c>
      <c r="J18" s="86" t="s">
        <v>218</v>
      </c>
      <c r="K18" s="86" t="s">
        <v>266</v>
      </c>
      <c r="L18" s="87">
        <v>1239712750</v>
      </c>
      <c r="M18" s="89">
        <f t="shared" si="0"/>
        <v>0</v>
      </c>
    </row>
    <row r="19" spans="2:13" x14ac:dyDescent="0.45">
      <c r="B19" s="86" t="s">
        <v>208</v>
      </c>
      <c r="C19" s="86" t="s">
        <v>166</v>
      </c>
      <c r="D19" s="86" t="s">
        <v>219</v>
      </c>
      <c r="E19" s="86" t="s">
        <v>266</v>
      </c>
      <c r="F19" s="87">
        <v>248759474</v>
      </c>
      <c r="H19" s="86" t="s">
        <v>208</v>
      </c>
      <c r="I19" s="86" t="s">
        <v>166</v>
      </c>
      <c r="J19" s="86" t="s">
        <v>219</v>
      </c>
      <c r="K19" s="86" t="s">
        <v>266</v>
      </c>
      <c r="L19" s="87">
        <v>248759474</v>
      </c>
      <c r="M19" s="89">
        <f t="shared" si="0"/>
        <v>0</v>
      </c>
    </row>
    <row r="20" spans="2:13" x14ac:dyDescent="0.45">
      <c r="B20" s="82" t="s">
        <v>27</v>
      </c>
      <c r="C20" s="82"/>
      <c r="D20" s="82"/>
      <c r="E20" s="82"/>
      <c r="F20" s="88">
        <f>SUM(F6:F19)</f>
        <v>5237870058</v>
      </c>
      <c r="H20" s="82" t="s">
        <v>27</v>
      </c>
      <c r="K20" s="83"/>
      <c r="L20" s="90">
        <f>SUM(L6:L19)</f>
        <v>5237870058</v>
      </c>
      <c r="M20" s="84">
        <f>SUM(M6:M19)</f>
        <v>0</v>
      </c>
    </row>
    <row r="21" spans="2:13" x14ac:dyDescent="0.45">
      <c r="K21" s="83"/>
      <c r="L21" s="84"/>
    </row>
    <row r="22" spans="2:13" x14ac:dyDescent="0.45">
      <c r="B22" s="82" t="s">
        <v>418</v>
      </c>
      <c r="H22" s="82" t="s">
        <v>424</v>
      </c>
      <c r="K22" s="83"/>
      <c r="L22" s="84"/>
    </row>
    <row r="23" spans="2:13" x14ac:dyDescent="0.45">
      <c r="B23" s="82" t="s">
        <v>419</v>
      </c>
      <c r="H23" s="82" t="s">
        <v>419</v>
      </c>
      <c r="K23" s="83"/>
      <c r="L23" s="84"/>
    </row>
    <row r="24" spans="2:13" x14ac:dyDescent="0.45">
      <c r="B24" s="82" t="s">
        <v>209</v>
      </c>
      <c r="H24" s="82" t="s">
        <v>209</v>
      </c>
      <c r="K24" s="83"/>
      <c r="L24" s="84"/>
    </row>
    <row r="25" spans="2:13" s="25" customFormat="1" ht="33" x14ac:dyDescent="0.35">
      <c r="B25" s="55" t="s">
        <v>52</v>
      </c>
      <c r="C25" s="55" t="s">
        <v>0</v>
      </c>
      <c r="D25" s="64" t="s">
        <v>2</v>
      </c>
      <c r="E25" s="55" t="s">
        <v>231</v>
      </c>
      <c r="F25" s="91" t="s">
        <v>417</v>
      </c>
      <c r="H25" s="55" t="s">
        <v>52</v>
      </c>
      <c r="I25" s="55" t="s">
        <v>0</v>
      </c>
      <c r="J25" s="55" t="s">
        <v>2</v>
      </c>
      <c r="K25" s="55" t="s">
        <v>231</v>
      </c>
      <c r="L25" s="91" t="s">
        <v>417</v>
      </c>
      <c r="M25" s="91" t="s">
        <v>420</v>
      </c>
    </row>
    <row r="26" spans="2:13" x14ac:dyDescent="0.45">
      <c r="B26" s="86" t="s">
        <v>209</v>
      </c>
      <c r="C26" s="86" t="s">
        <v>166</v>
      </c>
      <c r="D26" s="86" t="s">
        <v>230</v>
      </c>
      <c r="E26" s="86" t="s">
        <v>274</v>
      </c>
      <c r="F26" s="87">
        <v>99912253</v>
      </c>
      <c r="H26" s="86" t="s">
        <v>209</v>
      </c>
      <c r="I26" s="86" t="s">
        <v>166</v>
      </c>
      <c r="J26" s="86" t="s">
        <v>230</v>
      </c>
      <c r="K26" s="86" t="s">
        <v>274</v>
      </c>
      <c r="L26" s="87">
        <v>99912253</v>
      </c>
      <c r="M26" s="89">
        <f t="shared" ref="M26:M37" si="1">+F26-L26</f>
        <v>0</v>
      </c>
    </row>
    <row r="27" spans="2:13" x14ac:dyDescent="0.45">
      <c r="B27" s="86" t="s">
        <v>209</v>
      </c>
      <c r="C27" s="86" t="s">
        <v>166</v>
      </c>
      <c r="D27" s="86" t="s">
        <v>227</v>
      </c>
      <c r="E27" s="86" t="s">
        <v>264</v>
      </c>
      <c r="F27" s="87">
        <v>899210268</v>
      </c>
      <c r="H27" s="86" t="s">
        <v>209</v>
      </c>
      <c r="I27" s="86" t="s">
        <v>166</v>
      </c>
      <c r="J27" s="86" t="s">
        <v>227</v>
      </c>
      <c r="K27" s="86" t="s">
        <v>264</v>
      </c>
      <c r="L27" s="87">
        <v>899210268</v>
      </c>
      <c r="M27" s="89">
        <f t="shared" si="1"/>
        <v>0</v>
      </c>
    </row>
    <row r="28" spans="2:13" x14ac:dyDescent="0.45">
      <c r="B28" s="86" t="s">
        <v>209</v>
      </c>
      <c r="C28" s="86" t="s">
        <v>165</v>
      </c>
      <c r="D28" s="86" t="s">
        <v>229</v>
      </c>
      <c r="E28" s="86" t="s">
        <v>263</v>
      </c>
      <c r="F28" s="87">
        <v>2793994517</v>
      </c>
      <c r="H28" s="86" t="s">
        <v>209</v>
      </c>
      <c r="I28" s="86" t="s">
        <v>165</v>
      </c>
      <c r="J28" s="86" t="s">
        <v>229</v>
      </c>
      <c r="K28" s="86" t="s">
        <v>263</v>
      </c>
      <c r="L28" s="87">
        <v>2793994517</v>
      </c>
      <c r="M28" s="89">
        <f t="shared" si="1"/>
        <v>0</v>
      </c>
    </row>
    <row r="29" spans="2:13" x14ac:dyDescent="0.45">
      <c r="B29" s="86" t="s">
        <v>209</v>
      </c>
      <c r="C29" s="86" t="s">
        <v>167</v>
      </c>
      <c r="D29" s="86" t="s">
        <v>221</v>
      </c>
      <c r="E29" s="86" t="s">
        <v>259</v>
      </c>
      <c r="F29" s="96">
        <v>162500000</v>
      </c>
      <c r="H29" s="86" t="s">
        <v>209</v>
      </c>
      <c r="I29" s="86" t="s">
        <v>167</v>
      </c>
      <c r="J29" s="86" t="s">
        <v>221</v>
      </c>
      <c r="K29" s="86" t="s">
        <v>259</v>
      </c>
      <c r="L29" s="96">
        <v>162500000</v>
      </c>
      <c r="M29" s="89">
        <f t="shared" si="1"/>
        <v>0</v>
      </c>
    </row>
    <row r="30" spans="2:13" x14ac:dyDescent="0.45">
      <c r="B30" s="86" t="s">
        <v>209</v>
      </c>
      <c r="C30" s="86" t="s">
        <v>167</v>
      </c>
      <c r="D30" s="86" t="s">
        <v>221</v>
      </c>
      <c r="E30" s="86" t="s">
        <v>260</v>
      </c>
      <c r="F30" s="96">
        <v>698601047</v>
      </c>
      <c r="H30" s="86" t="s">
        <v>209</v>
      </c>
      <c r="I30" s="86" t="s">
        <v>167</v>
      </c>
      <c r="J30" s="86" t="s">
        <v>221</v>
      </c>
      <c r="K30" s="86" t="s">
        <v>260</v>
      </c>
      <c r="L30" s="96">
        <v>698601047</v>
      </c>
      <c r="M30" s="89">
        <f t="shared" si="1"/>
        <v>0</v>
      </c>
    </row>
    <row r="31" spans="2:13" x14ac:dyDescent="0.45">
      <c r="B31" s="86" t="s">
        <v>209</v>
      </c>
      <c r="C31" s="86" t="s">
        <v>167</v>
      </c>
      <c r="D31" s="86" t="s">
        <v>221</v>
      </c>
      <c r="E31" s="86" t="s">
        <v>262</v>
      </c>
      <c r="F31" s="96">
        <v>387093222</v>
      </c>
      <c r="H31" s="86" t="s">
        <v>209</v>
      </c>
      <c r="I31" s="86" t="s">
        <v>167</v>
      </c>
      <c r="J31" s="86" t="s">
        <v>221</v>
      </c>
      <c r="K31" s="86" t="s">
        <v>262</v>
      </c>
      <c r="L31" s="96">
        <v>387093222</v>
      </c>
      <c r="M31" s="89">
        <f t="shared" si="1"/>
        <v>0</v>
      </c>
    </row>
    <row r="32" spans="2:13" x14ac:dyDescent="0.45">
      <c r="B32" s="86" t="s">
        <v>209</v>
      </c>
      <c r="C32" s="86" t="s">
        <v>167</v>
      </c>
      <c r="D32" s="86" t="s">
        <v>225</v>
      </c>
      <c r="E32" s="86" t="s">
        <v>261</v>
      </c>
      <c r="F32" s="87">
        <v>639843601</v>
      </c>
      <c r="H32" s="86" t="s">
        <v>209</v>
      </c>
      <c r="I32" s="86" t="s">
        <v>167</v>
      </c>
      <c r="J32" s="86" t="s">
        <v>225</v>
      </c>
      <c r="K32" s="86" t="s">
        <v>261</v>
      </c>
      <c r="L32" s="87">
        <v>639843601</v>
      </c>
      <c r="M32" s="89">
        <f t="shared" si="1"/>
        <v>0</v>
      </c>
    </row>
    <row r="33" spans="2:13" x14ac:dyDescent="0.45">
      <c r="B33" s="86" t="s">
        <v>209</v>
      </c>
      <c r="C33" s="86" t="s">
        <v>167</v>
      </c>
      <c r="D33" s="86" t="s">
        <v>226</v>
      </c>
      <c r="E33" s="86" t="s">
        <v>261</v>
      </c>
      <c r="F33" s="87">
        <v>51767209</v>
      </c>
      <c r="H33" s="86" t="s">
        <v>209</v>
      </c>
      <c r="I33" s="86" t="s">
        <v>167</v>
      </c>
      <c r="J33" s="86" t="s">
        <v>226</v>
      </c>
      <c r="K33" s="86" t="s">
        <v>261</v>
      </c>
      <c r="L33" s="87">
        <v>51767209</v>
      </c>
      <c r="M33" s="89">
        <f t="shared" si="1"/>
        <v>0</v>
      </c>
    </row>
    <row r="34" spans="2:13" x14ac:dyDescent="0.45">
      <c r="B34" s="86" t="s">
        <v>209</v>
      </c>
      <c r="C34" s="86" t="s">
        <v>168</v>
      </c>
      <c r="D34" s="86" t="s">
        <v>224</v>
      </c>
      <c r="E34" s="86" t="s">
        <v>267</v>
      </c>
      <c r="F34" s="87">
        <v>4450000000</v>
      </c>
      <c r="H34" s="86" t="s">
        <v>209</v>
      </c>
      <c r="I34" s="86" t="s">
        <v>168</v>
      </c>
      <c r="J34" s="86" t="s">
        <v>224</v>
      </c>
      <c r="K34" s="86" t="s">
        <v>267</v>
      </c>
      <c r="L34" s="87">
        <v>4450000000</v>
      </c>
      <c r="M34" s="89">
        <f t="shared" si="1"/>
        <v>0</v>
      </c>
    </row>
    <row r="35" spans="2:13" x14ac:dyDescent="0.45">
      <c r="B35" s="86" t="s">
        <v>209</v>
      </c>
      <c r="C35" s="86" t="s">
        <v>168</v>
      </c>
      <c r="D35" s="86" t="s">
        <v>224</v>
      </c>
      <c r="E35" s="86" t="s">
        <v>270</v>
      </c>
      <c r="F35" s="87">
        <v>1071405909</v>
      </c>
      <c r="H35" s="86" t="s">
        <v>209</v>
      </c>
      <c r="I35" s="86" t="s">
        <v>168</v>
      </c>
      <c r="J35" s="86" t="s">
        <v>224</v>
      </c>
      <c r="K35" s="86" t="s">
        <v>270</v>
      </c>
      <c r="L35" s="87">
        <v>1071405909</v>
      </c>
      <c r="M35" s="89">
        <f t="shared" si="1"/>
        <v>0</v>
      </c>
    </row>
    <row r="36" spans="2:13" x14ac:dyDescent="0.45">
      <c r="B36" s="86" t="s">
        <v>209</v>
      </c>
      <c r="C36" s="86" t="s">
        <v>169</v>
      </c>
      <c r="D36" s="86" t="s">
        <v>222</v>
      </c>
      <c r="E36" s="86" t="s">
        <v>258</v>
      </c>
      <c r="F36" s="87">
        <v>1275620000</v>
      </c>
      <c r="H36" s="86" t="s">
        <v>209</v>
      </c>
      <c r="I36" s="86" t="s">
        <v>169</v>
      </c>
      <c r="J36" s="86" t="s">
        <v>222</v>
      </c>
      <c r="K36" s="86" t="s">
        <v>258</v>
      </c>
      <c r="L36" s="87">
        <v>1275620000</v>
      </c>
      <c r="M36" s="89">
        <f t="shared" si="1"/>
        <v>0</v>
      </c>
    </row>
    <row r="37" spans="2:13" x14ac:dyDescent="0.45">
      <c r="B37" s="86" t="s">
        <v>209</v>
      </c>
      <c r="C37" s="86" t="s">
        <v>169</v>
      </c>
      <c r="D37" s="86" t="s">
        <v>222</v>
      </c>
      <c r="E37" s="86" t="s">
        <v>268</v>
      </c>
      <c r="F37" s="87">
        <v>5739596933</v>
      </c>
      <c r="H37" s="86" t="s">
        <v>209</v>
      </c>
      <c r="I37" s="86" t="s">
        <v>169</v>
      </c>
      <c r="J37" s="86" t="s">
        <v>222</v>
      </c>
      <c r="K37" s="86" t="s">
        <v>268</v>
      </c>
      <c r="L37" s="87">
        <v>5739596933</v>
      </c>
      <c r="M37" s="89">
        <f t="shared" si="1"/>
        <v>0</v>
      </c>
    </row>
    <row r="38" spans="2:13" x14ac:dyDescent="0.45">
      <c r="B38" s="82" t="s">
        <v>27</v>
      </c>
      <c r="F38" s="88">
        <v>18269544959</v>
      </c>
      <c r="H38" s="82" t="s">
        <v>27</v>
      </c>
      <c r="K38" s="83"/>
      <c r="L38" s="88">
        <v>18269544959</v>
      </c>
      <c r="M38" s="85"/>
    </row>
    <row r="39" spans="2:13" x14ac:dyDescent="0.45">
      <c r="M39" s="8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81640625" defaultRowHeight="16.5" x14ac:dyDescent="0.35"/>
  <cols>
    <col min="1" max="1" width="10.81640625" style="22"/>
    <col min="2" max="2" width="58.1796875" style="25" customWidth="1"/>
    <col min="3" max="3" width="15.81640625" style="23" customWidth="1"/>
    <col min="4" max="4" width="20" style="59" bestFit="1" customWidth="1"/>
    <col min="5" max="5" width="31.453125" style="23" customWidth="1"/>
    <col min="6" max="6" width="36.453125" style="23" customWidth="1"/>
    <col min="7" max="7" width="53.1796875" style="25" customWidth="1"/>
    <col min="8" max="11" width="10.81640625" style="25"/>
    <col min="12" max="16384" width="10.81640625" style="22"/>
  </cols>
  <sheetData>
    <row r="2" spans="2:7" x14ac:dyDescent="0.35">
      <c r="B2" s="55">
        <v>8126</v>
      </c>
    </row>
    <row r="3" spans="2:7" ht="49.5" x14ac:dyDescent="0.35">
      <c r="B3" s="55" t="s">
        <v>88</v>
      </c>
      <c r="C3" s="55" t="s">
        <v>305</v>
      </c>
      <c r="D3" s="60" t="s">
        <v>306</v>
      </c>
      <c r="E3" s="64" t="s">
        <v>206</v>
      </c>
      <c r="F3" s="55" t="s">
        <v>207</v>
      </c>
      <c r="G3" s="55" t="s">
        <v>307</v>
      </c>
    </row>
    <row r="4" spans="2:7" ht="49.5" x14ac:dyDescent="0.35">
      <c r="B4" s="56" t="s">
        <v>93</v>
      </c>
      <c r="C4" s="57" t="s">
        <v>308</v>
      </c>
      <c r="D4" s="61">
        <v>336851064</v>
      </c>
      <c r="E4" s="57" t="s">
        <v>309</v>
      </c>
      <c r="F4" s="57" t="s">
        <v>271</v>
      </c>
      <c r="G4" s="56" t="s">
        <v>138</v>
      </c>
    </row>
    <row r="5" spans="2:7" ht="99" x14ac:dyDescent="0.35">
      <c r="B5" s="56" t="s">
        <v>98</v>
      </c>
      <c r="C5" s="57" t="s">
        <v>308</v>
      </c>
      <c r="D5" s="61">
        <v>168425532</v>
      </c>
      <c r="E5" s="57" t="s">
        <v>310</v>
      </c>
      <c r="F5" s="57" t="s">
        <v>272</v>
      </c>
      <c r="G5" s="56" t="s">
        <v>138</v>
      </c>
    </row>
    <row r="6" spans="2:7" ht="33" x14ac:dyDescent="0.35">
      <c r="B6" s="56" t="s">
        <v>103</v>
      </c>
      <c r="C6" s="57" t="s">
        <v>308</v>
      </c>
      <c r="D6" s="61">
        <v>56141844</v>
      </c>
      <c r="E6" s="57" t="s">
        <v>310</v>
      </c>
      <c r="F6" s="57" t="s">
        <v>272</v>
      </c>
      <c r="G6" s="56" t="s">
        <v>138</v>
      </c>
    </row>
    <row r="7" spans="2:7" ht="115.5" x14ac:dyDescent="0.35">
      <c r="B7" s="56" t="s">
        <v>106</v>
      </c>
      <c r="C7" s="57" t="s">
        <v>311</v>
      </c>
      <c r="D7" s="61">
        <v>481960117</v>
      </c>
      <c r="E7" s="57" t="s">
        <v>312</v>
      </c>
      <c r="F7" s="57" t="s">
        <v>269</v>
      </c>
      <c r="G7" s="56" t="s">
        <v>313</v>
      </c>
    </row>
    <row r="8" spans="2:7" ht="115.5" x14ac:dyDescent="0.35">
      <c r="B8" s="56" t="s">
        <v>111</v>
      </c>
      <c r="C8" s="57" t="s">
        <v>311</v>
      </c>
      <c r="D8" s="61">
        <v>926338572</v>
      </c>
      <c r="E8" s="57" t="s">
        <v>312</v>
      </c>
      <c r="F8" s="57" t="s">
        <v>269</v>
      </c>
      <c r="G8" s="56" t="s">
        <v>314</v>
      </c>
    </row>
    <row r="9" spans="2:7" ht="49.5" x14ac:dyDescent="0.35">
      <c r="B9" s="56" t="s">
        <v>116</v>
      </c>
      <c r="C9" s="57" t="s">
        <v>311</v>
      </c>
      <c r="D9" s="61">
        <v>475003732</v>
      </c>
      <c r="E9" s="57" t="s">
        <v>312</v>
      </c>
      <c r="F9" s="57" t="s">
        <v>269</v>
      </c>
      <c r="G9" s="56" t="s">
        <v>138</v>
      </c>
    </row>
    <row r="10" spans="2:7" ht="49.5" x14ac:dyDescent="0.35">
      <c r="B10" s="56" t="s">
        <v>121</v>
      </c>
      <c r="C10" s="57" t="s">
        <v>311</v>
      </c>
      <c r="D10" s="61">
        <v>175876971</v>
      </c>
      <c r="E10" s="57" t="s">
        <v>312</v>
      </c>
      <c r="F10" s="57" t="s">
        <v>269</v>
      </c>
      <c r="G10" s="56" t="s">
        <v>37</v>
      </c>
    </row>
    <row r="11" spans="2:7" ht="148.5" x14ac:dyDescent="0.35">
      <c r="B11" s="56" t="s">
        <v>126</v>
      </c>
      <c r="C11" s="57" t="s">
        <v>315</v>
      </c>
      <c r="D11" s="61">
        <v>1239712750</v>
      </c>
      <c r="E11" s="57" t="s">
        <v>316</v>
      </c>
      <c r="F11" s="57" t="s">
        <v>266</v>
      </c>
      <c r="G11" s="56" t="s">
        <v>317</v>
      </c>
    </row>
    <row r="12" spans="2:7" ht="49.5" customHeight="1" x14ac:dyDescent="0.35">
      <c r="B12" s="223" t="s">
        <v>131</v>
      </c>
      <c r="C12" s="57" t="s">
        <v>318</v>
      </c>
      <c r="D12" s="61">
        <v>260870960</v>
      </c>
      <c r="E12" s="57" t="s">
        <v>316</v>
      </c>
      <c r="F12" s="57" t="s">
        <v>266</v>
      </c>
      <c r="G12" s="56" t="s">
        <v>138</v>
      </c>
    </row>
    <row r="13" spans="2:7" ht="33" x14ac:dyDescent="0.35">
      <c r="B13" s="227"/>
      <c r="C13" s="57" t="s">
        <v>319</v>
      </c>
      <c r="D13" s="61">
        <v>206558000</v>
      </c>
      <c r="E13" s="57" t="s">
        <v>316</v>
      </c>
      <c r="F13" s="57" t="s">
        <v>266</v>
      </c>
      <c r="G13" s="56" t="s">
        <v>138</v>
      </c>
    </row>
    <row r="14" spans="2:7" ht="33" x14ac:dyDescent="0.35">
      <c r="B14" s="227"/>
      <c r="C14" s="57" t="s">
        <v>320</v>
      </c>
      <c r="D14" s="61">
        <v>171068294</v>
      </c>
      <c r="E14" s="57" t="s">
        <v>316</v>
      </c>
      <c r="F14" s="57" t="s">
        <v>266</v>
      </c>
      <c r="G14" s="56" t="s">
        <v>138</v>
      </c>
    </row>
    <row r="15" spans="2:7" ht="33" x14ac:dyDescent="0.35">
      <c r="B15" s="227"/>
      <c r="C15" s="57" t="s">
        <v>321</v>
      </c>
      <c r="D15" s="61">
        <v>229431788</v>
      </c>
      <c r="E15" s="57" t="s">
        <v>316</v>
      </c>
      <c r="F15" s="57" t="s">
        <v>266</v>
      </c>
      <c r="G15" s="56" t="s">
        <v>138</v>
      </c>
    </row>
    <row r="16" spans="2:7" ht="33" x14ac:dyDescent="0.35">
      <c r="B16" s="224"/>
      <c r="C16" s="57" t="s">
        <v>315</v>
      </c>
      <c r="D16" s="61">
        <v>248759474</v>
      </c>
      <c r="E16" s="57" t="s">
        <v>316</v>
      </c>
      <c r="F16" s="57" t="s">
        <v>266</v>
      </c>
      <c r="G16" s="56" t="s">
        <v>138</v>
      </c>
    </row>
    <row r="17" spans="2:11" ht="66" x14ac:dyDescent="0.35">
      <c r="B17" s="56" t="s">
        <v>135</v>
      </c>
      <c r="C17" s="57" t="s">
        <v>318</v>
      </c>
      <c r="D17" s="61">
        <v>260870960</v>
      </c>
      <c r="E17" s="57" t="s">
        <v>322</v>
      </c>
      <c r="F17" s="57" t="s">
        <v>273</v>
      </c>
      <c r="G17" s="56" t="s">
        <v>138</v>
      </c>
    </row>
    <row r="18" spans="2:11" x14ac:dyDescent="0.35">
      <c r="B18" s="24" t="s">
        <v>344</v>
      </c>
      <c r="D18" s="62">
        <v>5237870058</v>
      </c>
    </row>
    <row r="19" spans="2:11" x14ac:dyDescent="0.35">
      <c r="F19" s="23" t="s">
        <v>323</v>
      </c>
    </row>
    <row r="20" spans="2:11" x14ac:dyDescent="0.35">
      <c r="F20" s="23" t="s">
        <v>323</v>
      </c>
    </row>
    <row r="21" spans="2:11" x14ac:dyDescent="0.35">
      <c r="B21" s="55">
        <v>8173</v>
      </c>
      <c r="C21" s="57"/>
      <c r="D21" s="61"/>
      <c r="E21" s="57"/>
      <c r="F21" s="57" t="s">
        <v>323</v>
      </c>
      <c r="G21" s="58"/>
    </row>
    <row r="22" spans="2:11" s="95" customFormat="1" ht="49.5" x14ac:dyDescent="0.35">
      <c r="B22" s="55" t="s">
        <v>89</v>
      </c>
      <c r="C22" s="55" t="s">
        <v>305</v>
      </c>
      <c r="D22" s="60" t="s">
        <v>306</v>
      </c>
      <c r="E22" s="64" t="s">
        <v>206</v>
      </c>
      <c r="F22" s="55" t="s">
        <v>207</v>
      </c>
      <c r="G22" s="55" t="s">
        <v>307</v>
      </c>
      <c r="H22" s="24"/>
      <c r="I22" s="24"/>
      <c r="J22" s="24"/>
      <c r="K22" s="24"/>
    </row>
    <row r="23" spans="2:11" ht="33" x14ac:dyDescent="0.35">
      <c r="B23" s="228" t="s">
        <v>94</v>
      </c>
      <c r="C23" s="231" t="s">
        <v>324</v>
      </c>
      <c r="D23" s="92">
        <v>162500000</v>
      </c>
      <c r="E23" s="94" t="s">
        <v>325</v>
      </c>
      <c r="F23" s="94" t="s">
        <v>259</v>
      </c>
      <c r="G23" s="93" t="s">
        <v>138</v>
      </c>
    </row>
    <row r="24" spans="2:11" ht="33" x14ac:dyDescent="0.35">
      <c r="B24" s="229"/>
      <c r="C24" s="232"/>
      <c r="D24" s="92">
        <v>698601047</v>
      </c>
      <c r="E24" s="94" t="s">
        <v>326</v>
      </c>
      <c r="F24" s="94" t="s">
        <v>260</v>
      </c>
      <c r="G24" s="93" t="s">
        <v>327</v>
      </c>
    </row>
    <row r="25" spans="2:11" ht="33" x14ac:dyDescent="0.35">
      <c r="B25" s="230"/>
      <c r="C25" s="233"/>
      <c r="D25" s="92">
        <v>387093222</v>
      </c>
      <c r="E25" s="94" t="s">
        <v>328</v>
      </c>
      <c r="F25" s="94" t="s">
        <v>262</v>
      </c>
      <c r="G25" s="93" t="s">
        <v>138</v>
      </c>
    </row>
    <row r="26" spans="2:11" ht="33" x14ac:dyDescent="0.35">
      <c r="B26" s="223" t="s">
        <v>99</v>
      </c>
      <c r="C26" s="225" t="s">
        <v>329</v>
      </c>
      <c r="D26" s="61">
        <v>1275620000</v>
      </c>
      <c r="E26" s="57" t="s">
        <v>330</v>
      </c>
      <c r="F26" s="57" t="s">
        <v>258</v>
      </c>
      <c r="G26" s="56" t="s">
        <v>138</v>
      </c>
    </row>
    <row r="27" spans="2:11" ht="49.5" x14ac:dyDescent="0.35">
      <c r="B27" s="224"/>
      <c r="C27" s="226"/>
      <c r="D27" s="61">
        <v>5739596933</v>
      </c>
      <c r="E27" s="57" t="s">
        <v>331</v>
      </c>
      <c r="F27" s="57" t="s">
        <v>268</v>
      </c>
      <c r="G27" s="56" t="s">
        <v>332</v>
      </c>
    </row>
    <row r="28" spans="2:11" ht="49.5" x14ac:dyDescent="0.35">
      <c r="B28" s="56" t="s">
        <v>104</v>
      </c>
      <c r="C28" s="57" t="s">
        <v>329</v>
      </c>
      <c r="D28" s="61">
        <v>0</v>
      </c>
      <c r="E28" s="57" t="s">
        <v>333</v>
      </c>
      <c r="F28" s="57" t="s">
        <v>267</v>
      </c>
      <c r="G28" s="56" t="s">
        <v>304</v>
      </c>
    </row>
    <row r="29" spans="2:11" ht="115.5" x14ac:dyDescent="0.35">
      <c r="B29" s="223" t="s">
        <v>107</v>
      </c>
      <c r="C29" s="225" t="s">
        <v>334</v>
      </c>
      <c r="D29" s="61">
        <v>4450000000</v>
      </c>
      <c r="E29" s="57" t="s">
        <v>333</v>
      </c>
      <c r="F29" s="57" t="s">
        <v>267</v>
      </c>
      <c r="G29" s="56" t="s">
        <v>425</v>
      </c>
    </row>
    <row r="30" spans="2:11" ht="33" x14ac:dyDescent="0.35">
      <c r="B30" s="224"/>
      <c r="C30" s="226"/>
      <c r="D30" s="61">
        <v>1071405909</v>
      </c>
      <c r="E30" s="57" t="s">
        <v>335</v>
      </c>
      <c r="F30" s="57" t="s">
        <v>270</v>
      </c>
      <c r="G30" s="56" t="s">
        <v>138</v>
      </c>
    </row>
    <row r="31" spans="2:11" ht="33" x14ac:dyDescent="0.35">
      <c r="B31" s="93" t="s">
        <v>112</v>
      </c>
      <c r="C31" s="94" t="s">
        <v>324</v>
      </c>
      <c r="D31" s="92">
        <v>639843601</v>
      </c>
      <c r="E31" s="94" t="s">
        <v>336</v>
      </c>
      <c r="F31" s="94" t="s">
        <v>261</v>
      </c>
      <c r="G31" s="93" t="s">
        <v>138</v>
      </c>
    </row>
    <row r="32" spans="2:11" ht="49.5" x14ac:dyDescent="0.35">
      <c r="B32" s="93" t="s">
        <v>117</v>
      </c>
      <c r="C32" s="94" t="s">
        <v>324</v>
      </c>
      <c r="D32" s="92">
        <v>51767209</v>
      </c>
      <c r="E32" s="94" t="s">
        <v>336</v>
      </c>
      <c r="F32" s="94" t="s">
        <v>261</v>
      </c>
      <c r="G32" s="93" t="s">
        <v>138</v>
      </c>
    </row>
    <row r="33" spans="2:7" ht="33" x14ac:dyDescent="0.35">
      <c r="B33" s="58" t="s">
        <v>122</v>
      </c>
      <c r="C33" s="57" t="s">
        <v>315</v>
      </c>
      <c r="D33" s="61">
        <v>899210268</v>
      </c>
      <c r="E33" s="57" t="s">
        <v>337</v>
      </c>
      <c r="F33" s="57" t="s">
        <v>264</v>
      </c>
      <c r="G33" s="56" t="s">
        <v>338</v>
      </c>
    </row>
    <row r="34" spans="2:7" ht="33" x14ac:dyDescent="0.35">
      <c r="B34" s="58" t="s">
        <v>127</v>
      </c>
      <c r="C34" s="57" t="s">
        <v>315</v>
      </c>
      <c r="D34" s="61">
        <v>0</v>
      </c>
      <c r="E34" s="57" t="s">
        <v>339</v>
      </c>
      <c r="F34" s="57" t="s">
        <v>265</v>
      </c>
      <c r="G34" s="56" t="s">
        <v>102</v>
      </c>
    </row>
    <row r="35" spans="2:7" ht="66" x14ac:dyDescent="0.35">
      <c r="B35" s="56" t="s">
        <v>132</v>
      </c>
      <c r="C35" s="57" t="s">
        <v>340</v>
      </c>
      <c r="D35" s="61">
        <v>2793994517</v>
      </c>
      <c r="E35" s="57" t="s">
        <v>341</v>
      </c>
      <c r="F35" s="57" t="s">
        <v>263</v>
      </c>
      <c r="G35" s="56" t="s">
        <v>342</v>
      </c>
    </row>
    <row r="36" spans="2:7" ht="33" x14ac:dyDescent="0.35">
      <c r="B36" s="56" t="s">
        <v>136</v>
      </c>
      <c r="C36" s="57" t="s">
        <v>315</v>
      </c>
      <c r="D36" s="61">
        <v>99912253</v>
      </c>
      <c r="E36" s="57" t="s">
        <v>343</v>
      </c>
      <c r="F36" s="57" t="s">
        <v>274</v>
      </c>
      <c r="G36" s="56" t="s">
        <v>138</v>
      </c>
    </row>
    <row r="37" spans="2:7" x14ac:dyDescent="0.35">
      <c r="B37" s="24" t="s">
        <v>344</v>
      </c>
      <c r="D37" s="62">
        <f>SUM(D23:D36)</f>
        <v>18269544959</v>
      </c>
      <c r="F37" s="23" t="s">
        <v>323</v>
      </c>
    </row>
    <row r="39" spans="2:7" x14ac:dyDescent="0.35">
      <c r="B39" s="24" t="s">
        <v>345</v>
      </c>
      <c r="C39" s="24"/>
      <c r="D39" s="63">
        <v>23507415017</v>
      </c>
      <c r="F39" s="23" t="s">
        <v>323</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75"/>
  <sheetViews>
    <sheetView topLeftCell="B1" zoomScale="55" zoomScaleNormal="55" workbookViewId="0">
      <selection activeCell="O14" sqref="O14:O15"/>
    </sheetView>
  </sheetViews>
  <sheetFormatPr baseColWidth="10" defaultRowHeight="15.5" x14ac:dyDescent="0.35"/>
  <cols>
    <col min="2" max="2" width="64.453125" style="15" customWidth="1"/>
    <col min="3" max="3" width="15.1796875" style="15" customWidth="1"/>
    <col min="4" max="4" width="61" style="15" customWidth="1"/>
    <col min="5" max="5" width="19.453125" style="15" customWidth="1"/>
    <col min="6" max="6" width="36.1796875" style="15" customWidth="1"/>
    <col min="7" max="7" width="23.1796875" style="15" customWidth="1"/>
    <col min="8" max="8" width="35.453125" style="15" customWidth="1"/>
    <col min="9" max="10" width="10.81640625" style="15"/>
    <col min="11" max="11" width="13.453125" style="15" customWidth="1"/>
    <col min="12" max="13" width="10.81640625" style="15"/>
    <col min="15" max="15" width="16.81640625" customWidth="1"/>
    <col min="19" max="19" width="16.453125" customWidth="1"/>
  </cols>
  <sheetData>
    <row r="1" spans="2:19" ht="28" x14ac:dyDescent="0.35">
      <c r="B1" s="15" t="s">
        <v>83</v>
      </c>
      <c r="D1" s="15" t="s">
        <v>82</v>
      </c>
      <c r="F1" s="15" t="s">
        <v>84</v>
      </c>
      <c r="H1" s="16"/>
      <c r="J1" s="16"/>
      <c r="L1" s="15" t="s">
        <v>210</v>
      </c>
      <c r="M1"/>
      <c r="O1" t="s">
        <v>0</v>
      </c>
      <c r="Q1" t="s">
        <v>171</v>
      </c>
      <c r="S1" s="51" t="s">
        <v>77</v>
      </c>
    </row>
    <row r="2" spans="2:19" x14ac:dyDescent="0.35">
      <c r="B2" s="15" t="s">
        <v>85</v>
      </c>
      <c r="D2" s="15" t="s">
        <v>86</v>
      </c>
      <c r="F2" s="15" t="s">
        <v>87</v>
      </c>
      <c r="H2" s="17" t="s">
        <v>88</v>
      </c>
      <c r="J2" s="17" t="s">
        <v>89</v>
      </c>
      <c r="L2" s="15" t="s">
        <v>208</v>
      </c>
      <c r="M2"/>
      <c r="O2" t="s">
        <v>45</v>
      </c>
      <c r="Q2" t="s">
        <v>172</v>
      </c>
      <c r="S2" t="s">
        <v>204</v>
      </c>
    </row>
    <row r="3" spans="2:19" x14ac:dyDescent="0.35">
      <c r="B3" s="15" t="s">
        <v>90</v>
      </c>
      <c r="D3" s="15" t="s">
        <v>91</v>
      </c>
      <c r="F3" s="15" t="s">
        <v>92</v>
      </c>
      <c r="H3" s="15" t="s">
        <v>93</v>
      </c>
      <c r="I3" s="16">
        <v>8126</v>
      </c>
      <c r="J3" s="17" t="s">
        <v>211</v>
      </c>
      <c r="L3" s="15" t="s">
        <v>209</v>
      </c>
      <c r="M3"/>
      <c r="O3" t="s">
        <v>161</v>
      </c>
      <c r="Q3" t="s">
        <v>173</v>
      </c>
      <c r="S3" t="s">
        <v>205</v>
      </c>
    </row>
    <row r="4" spans="2:19" x14ac:dyDescent="0.35">
      <c r="B4" s="15" t="s">
        <v>95</v>
      </c>
      <c r="D4" s="15" t="s">
        <v>96</v>
      </c>
      <c r="F4" s="15" t="s">
        <v>97</v>
      </c>
      <c r="H4" s="15" t="s">
        <v>98</v>
      </c>
      <c r="I4" s="16">
        <v>8126</v>
      </c>
      <c r="J4" s="17" t="s">
        <v>212</v>
      </c>
      <c r="L4" s="15" t="s">
        <v>346</v>
      </c>
      <c r="M4"/>
      <c r="O4" t="s">
        <v>162</v>
      </c>
      <c r="Q4" t="s">
        <v>473</v>
      </c>
    </row>
    <row r="5" spans="2:19" x14ac:dyDescent="0.35">
      <c r="B5" s="15" t="s">
        <v>100</v>
      </c>
      <c r="D5" s="15" t="s">
        <v>101</v>
      </c>
      <c r="F5" s="15" t="s">
        <v>102</v>
      </c>
      <c r="H5" s="15" t="s">
        <v>103</v>
      </c>
      <c r="I5" s="16">
        <v>8126</v>
      </c>
      <c r="J5" s="17" t="s">
        <v>213</v>
      </c>
      <c r="L5" s="15" t="s">
        <v>406</v>
      </c>
      <c r="M5"/>
      <c r="O5" t="s">
        <v>36</v>
      </c>
      <c r="Q5" t="s">
        <v>406</v>
      </c>
    </row>
    <row r="6" spans="2:19" x14ac:dyDescent="0.35">
      <c r="B6" s="15" t="s">
        <v>108</v>
      </c>
      <c r="D6" s="15" t="s">
        <v>105</v>
      </c>
      <c r="F6" s="15" t="s">
        <v>102</v>
      </c>
      <c r="H6" s="15" t="s">
        <v>106</v>
      </c>
      <c r="I6" s="16">
        <v>8126</v>
      </c>
      <c r="J6" s="17" t="s">
        <v>214</v>
      </c>
      <c r="M6"/>
      <c r="O6" t="s">
        <v>46</v>
      </c>
    </row>
    <row r="7" spans="2:19" x14ac:dyDescent="0.35">
      <c r="B7" s="15" t="s">
        <v>113</v>
      </c>
      <c r="D7" s="15" t="s">
        <v>109</v>
      </c>
      <c r="F7" s="15" t="s">
        <v>110</v>
      </c>
      <c r="H7" s="15" t="s">
        <v>111</v>
      </c>
      <c r="I7" s="16">
        <v>8126</v>
      </c>
      <c r="J7" s="17" t="s">
        <v>215</v>
      </c>
      <c r="M7"/>
      <c r="O7" t="s">
        <v>163</v>
      </c>
    </row>
    <row r="8" spans="2:19" x14ac:dyDescent="0.35">
      <c r="B8" s="15" t="s">
        <v>118</v>
      </c>
      <c r="D8" s="15" t="s">
        <v>114</v>
      </c>
      <c r="F8" s="15" t="s">
        <v>115</v>
      </c>
      <c r="H8" s="15" t="s">
        <v>116</v>
      </c>
      <c r="I8" s="16">
        <v>8126</v>
      </c>
      <c r="J8" s="17" t="s">
        <v>216</v>
      </c>
      <c r="M8"/>
      <c r="O8" t="s">
        <v>164</v>
      </c>
    </row>
    <row r="9" spans="2:19" x14ac:dyDescent="0.35">
      <c r="B9" s="15" t="s">
        <v>123</v>
      </c>
      <c r="D9" s="15" t="s">
        <v>119</v>
      </c>
      <c r="F9" s="15" t="s">
        <v>120</v>
      </c>
      <c r="H9" s="15" t="s">
        <v>121</v>
      </c>
      <c r="I9" s="16">
        <v>8126</v>
      </c>
      <c r="J9" s="17" t="s">
        <v>217</v>
      </c>
      <c r="M9"/>
      <c r="O9" t="s">
        <v>166</v>
      </c>
    </row>
    <row r="10" spans="2:19" x14ac:dyDescent="0.35">
      <c r="B10" s="15" t="s">
        <v>128</v>
      </c>
      <c r="D10" s="15" t="s">
        <v>124</v>
      </c>
      <c r="F10" s="15" t="s">
        <v>125</v>
      </c>
      <c r="H10" s="15" t="s">
        <v>126</v>
      </c>
      <c r="I10" s="16">
        <v>8126</v>
      </c>
      <c r="J10" s="17" t="s">
        <v>218</v>
      </c>
      <c r="M10"/>
      <c r="O10" t="s">
        <v>165</v>
      </c>
    </row>
    <row r="11" spans="2:19" x14ac:dyDescent="0.35">
      <c r="B11" s="15" t="s">
        <v>348</v>
      </c>
      <c r="D11" s="15" t="s">
        <v>129</v>
      </c>
      <c r="F11" s="15" t="s">
        <v>130</v>
      </c>
      <c r="H11" s="15" t="s">
        <v>131</v>
      </c>
      <c r="I11" s="16">
        <v>8126</v>
      </c>
      <c r="J11" s="17" t="s">
        <v>219</v>
      </c>
      <c r="M11"/>
      <c r="O11" t="s">
        <v>167</v>
      </c>
    </row>
    <row r="12" spans="2:19" x14ac:dyDescent="0.35">
      <c r="D12" s="15" t="s">
        <v>133</v>
      </c>
      <c r="F12" s="15" t="s">
        <v>134</v>
      </c>
      <c r="H12" s="15" t="s">
        <v>135</v>
      </c>
      <c r="I12" s="16">
        <v>8126</v>
      </c>
      <c r="J12" s="17" t="s">
        <v>220</v>
      </c>
      <c r="M12"/>
      <c r="O12" t="s">
        <v>168</v>
      </c>
    </row>
    <row r="13" spans="2:19" x14ac:dyDescent="0.35">
      <c r="D13" s="15" t="s">
        <v>137</v>
      </c>
      <c r="F13" s="15" t="s">
        <v>138</v>
      </c>
      <c r="H13" s="15" t="s">
        <v>94</v>
      </c>
      <c r="I13" s="16">
        <v>8173</v>
      </c>
      <c r="J13" s="17" t="s">
        <v>221</v>
      </c>
      <c r="M13"/>
      <c r="O13" t="s">
        <v>169</v>
      </c>
    </row>
    <row r="14" spans="2:19" x14ac:dyDescent="0.35">
      <c r="D14" s="15" t="s">
        <v>139</v>
      </c>
      <c r="F14" s="15" t="s">
        <v>138</v>
      </c>
      <c r="H14" s="15" t="s">
        <v>99</v>
      </c>
      <c r="I14" s="16">
        <v>8173</v>
      </c>
      <c r="J14" s="17" t="s">
        <v>222</v>
      </c>
      <c r="M14"/>
    </row>
    <row r="15" spans="2:19" x14ac:dyDescent="0.35">
      <c r="D15" s="15" t="s">
        <v>140</v>
      </c>
      <c r="F15" s="15" t="s">
        <v>141</v>
      </c>
      <c r="H15" s="15" t="s">
        <v>104</v>
      </c>
      <c r="I15" s="16">
        <v>8173</v>
      </c>
      <c r="J15" s="17" t="s">
        <v>223</v>
      </c>
      <c r="M15"/>
    </row>
    <row r="16" spans="2:19" x14ac:dyDescent="0.35">
      <c r="D16" s="15" t="s">
        <v>142</v>
      </c>
      <c r="F16" s="15" t="s">
        <v>143</v>
      </c>
      <c r="H16" s="15" t="s">
        <v>107</v>
      </c>
      <c r="I16" s="16">
        <v>8173</v>
      </c>
      <c r="J16" s="17" t="s">
        <v>224</v>
      </c>
      <c r="M16"/>
    </row>
    <row r="17" spans="2:26" x14ac:dyDescent="0.35">
      <c r="D17" s="15" t="s">
        <v>144</v>
      </c>
      <c r="F17" s="15" t="s">
        <v>145</v>
      </c>
      <c r="H17" s="15" t="s">
        <v>112</v>
      </c>
      <c r="I17" s="16">
        <v>8173</v>
      </c>
      <c r="J17" s="17" t="s">
        <v>225</v>
      </c>
      <c r="M17"/>
    </row>
    <row r="18" spans="2:26" x14ac:dyDescent="0.35">
      <c r="D18" s="15" t="s">
        <v>146</v>
      </c>
      <c r="F18" s="15" t="s">
        <v>147</v>
      </c>
      <c r="H18" s="15" t="s">
        <v>117</v>
      </c>
      <c r="I18" s="16">
        <v>8173</v>
      </c>
      <c r="J18" s="17" t="s">
        <v>226</v>
      </c>
      <c r="M18"/>
    </row>
    <row r="19" spans="2:26" x14ac:dyDescent="0.35">
      <c r="D19" s="15" t="s">
        <v>148</v>
      </c>
      <c r="F19" s="15" t="s">
        <v>170</v>
      </c>
      <c r="H19" s="15" t="s">
        <v>122</v>
      </c>
      <c r="I19" s="16">
        <v>8173</v>
      </c>
      <c r="J19" s="17" t="s">
        <v>227</v>
      </c>
      <c r="M19"/>
    </row>
    <row r="20" spans="2:26" x14ac:dyDescent="0.35">
      <c r="D20" s="15" t="s">
        <v>149</v>
      </c>
      <c r="F20" s="15" t="s">
        <v>448</v>
      </c>
      <c r="H20" s="15" t="s">
        <v>127</v>
      </c>
      <c r="I20" s="16">
        <v>8173</v>
      </c>
      <c r="J20" s="17" t="s">
        <v>228</v>
      </c>
      <c r="M20"/>
    </row>
    <row r="21" spans="2:26" x14ac:dyDescent="0.35">
      <c r="D21" s="15" t="s">
        <v>150</v>
      </c>
      <c r="F21" s="15" t="s">
        <v>449</v>
      </c>
      <c r="H21" s="15" t="s">
        <v>132</v>
      </c>
      <c r="I21" s="16">
        <v>8173</v>
      </c>
      <c r="J21" s="17" t="s">
        <v>229</v>
      </c>
      <c r="M21"/>
    </row>
    <row r="22" spans="2:26" x14ac:dyDescent="0.35">
      <c r="D22" s="15" t="s">
        <v>151</v>
      </c>
      <c r="F22" s="15" t="s">
        <v>450</v>
      </c>
      <c r="H22" s="15" t="s">
        <v>136</v>
      </c>
      <c r="I22" s="16">
        <v>8173</v>
      </c>
      <c r="J22" s="17" t="s">
        <v>230</v>
      </c>
      <c r="M22"/>
    </row>
    <row r="23" spans="2:26" x14ac:dyDescent="0.35">
      <c r="D23" s="15" t="s">
        <v>152</v>
      </c>
      <c r="F23" s="15" t="s">
        <v>462</v>
      </c>
      <c r="J23" s="15" t="s">
        <v>347</v>
      </c>
      <c r="M23"/>
    </row>
    <row r="24" spans="2:26" x14ac:dyDescent="0.35">
      <c r="D24" s="15" t="s">
        <v>153</v>
      </c>
      <c r="F24" s="15" t="s">
        <v>461</v>
      </c>
      <c r="M24"/>
    </row>
    <row r="25" spans="2:26" x14ac:dyDescent="0.35">
      <c r="D25" s="15" t="s">
        <v>154</v>
      </c>
      <c r="F25" s="15" t="s">
        <v>644</v>
      </c>
      <c r="M25"/>
    </row>
    <row r="26" spans="2:26" x14ac:dyDescent="0.35">
      <c r="D26" s="15" t="s">
        <v>155</v>
      </c>
      <c r="F26" s="15" t="s">
        <v>348</v>
      </c>
      <c r="M26"/>
    </row>
    <row r="27" spans="2:26" x14ac:dyDescent="0.35">
      <c r="D27" s="15" t="s">
        <v>156</v>
      </c>
      <c r="H27" s="15" t="s">
        <v>407</v>
      </c>
      <c r="M27"/>
    </row>
    <row r="28" spans="2:26" x14ac:dyDescent="0.35">
      <c r="D28" s="15" t="s">
        <v>157</v>
      </c>
      <c r="M28"/>
    </row>
    <row r="29" spans="2:26" x14ac:dyDescent="0.35">
      <c r="D29" s="15" t="s">
        <v>158</v>
      </c>
      <c r="M29"/>
    </row>
    <row r="30" spans="2:26" x14ac:dyDescent="0.35">
      <c r="M30"/>
    </row>
    <row r="32" spans="2:26" ht="49.5" x14ac:dyDescent="0.35">
      <c r="B32" s="18" t="s">
        <v>210</v>
      </c>
      <c r="C32" s="18" t="s">
        <v>195</v>
      </c>
      <c r="D32" s="18" t="s">
        <v>196</v>
      </c>
      <c r="E32" s="18" t="s">
        <v>174</v>
      </c>
      <c r="F32" s="18" t="s">
        <v>203</v>
      </c>
      <c r="J32" s="18" t="s">
        <v>79</v>
      </c>
      <c r="K32" s="18" t="s">
        <v>80</v>
      </c>
      <c r="N32" s="18" t="s">
        <v>81</v>
      </c>
      <c r="O32" s="18" t="s">
        <v>257</v>
      </c>
      <c r="P32" s="20"/>
      <c r="Q32" s="15"/>
      <c r="R32" s="18" t="s">
        <v>195</v>
      </c>
      <c r="S32" s="15"/>
      <c r="T32" s="18" t="s">
        <v>196</v>
      </c>
      <c r="V32" s="18" t="s">
        <v>197</v>
      </c>
      <c r="X32" s="19" t="s">
        <v>77</v>
      </c>
      <c r="Z32" s="19" t="s">
        <v>243</v>
      </c>
    </row>
    <row r="33" spans="2:26" x14ac:dyDescent="0.35">
      <c r="B33" s="15" t="s">
        <v>209</v>
      </c>
      <c r="C33" s="16" t="s">
        <v>198</v>
      </c>
      <c r="D33" s="16" t="s">
        <v>199</v>
      </c>
      <c r="E33" s="16">
        <v>20240255</v>
      </c>
      <c r="F33" s="15" t="s">
        <v>160</v>
      </c>
      <c r="J33" s="15" t="s">
        <v>175</v>
      </c>
      <c r="K33" t="s">
        <v>176</v>
      </c>
      <c r="N33" t="s">
        <v>233</v>
      </c>
      <c r="O33" t="s">
        <v>246</v>
      </c>
      <c r="Q33" s="15"/>
      <c r="R33" s="15" t="s">
        <v>198</v>
      </c>
      <c r="S33" s="15"/>
      <c r="T33" s="15" t="s">
        <v>199</v>
      </c>
      <c r="V33" t="s">
        <v>201</v>
      </c>
      <c r="X33" t="s">
        <v>204</v>
      </c>
      <c r="Z33" t="s">
        <v>233</v>
      </c>
    </row>
    <row r="34" spans="2:26" x14ac:dyDescent="0.35">
      <c r="B34" s="15" t="s">
        <v>208</v>
      </c>
      <c r="C34" s="16" t="s">
        <v>198</v>
      </c>
      <c r="D34" s="16" t="s">
        <v>200</v>
      </c>
      <c r="E34" s="16">
        <v>20240207</v>
      </c>
      <c r="F34" s="15" t="s">
        <v>159</v>
      </c>
      <c r="J34" s="15" t="s">
        <v>177</v>
      </c>
      <c r="K34" t="s">
        <v>178</v>
      </c>
      <c r="N34" t="s">
        <v>232</v>
      </c>
      <c r="O34" t="s">
        <v>245</v>
      </c>
      <c r="Q34" s="15"/>
      <c r="R34" s="15"/>
      <c r="S34" s="15"/>
      <c r="T34" s="15" t="s">
        <v>200</v>
      </c>
      <c r="V34" t="s">
        <v>202</v>
      </c>
      <c r="X34" t="s">
        <v>205</v>
      </c>
      <c r="Z34" t="s">
        <v>232</v>
      </c>
    </row>
    <row r="35" spans="2:26" x14ac:dyDescent="0.35">
      <c r="B35" s="15" t="s">
        <v>346</v>
      </c>
      <c r="C35" s="10" t="s">
        <v>349</v>
      </c>
      <c r="D35" s="10" t="s">
        <v>349</v>
      </c>
      <c r="E35" s="10" t="s">
        <v>349</v>
      </c>
      <c r="F35" s="10" t="s">
        <v>349</v>
      </c>
      <c r="J35" s="15" t="s">
        <v>181</v>
      </c>
      <c r="K35" t="s">
        <v>182</v>
      </c>
      <c r="N35" t="s">
        <v>239</v>
      </c>
      <c r="O35" t="s">
        <v>252</v>
      </c>
      <c r="Q35" s="15"/>
      <c r="R35" s="15"/>
      <c r="S35" s="15"/>
      <c r="Z35" t="s">
        <v>239</v>
      </c>
    </row>
    <row r="36" spans="2:26" x14ac:dyDescent="0.35">
      <c r="B36" s="17" t="s">
        <v>406</v>
      </c>
      <c r="C36" s="10" t="s">
        <v>349</v>
      </c>
      <c r="D36" s="10" t="s">
        <v>349</v>
      </c>
      <c r="E36" s="10" t="s">
        <v>349</v>
      </c>
      <c r="F36" s="10" t="s">
        <v>349</v>
      </c>
      <c r="J36" s="15" t="s">
        <v>183</v>
      </c>
      <c r="K36" t="s">
        <v>184</v>
      </c>
      <c r="N36" t="s">
        <v>236</v>
      </c>
      <c r="O36" t="s">
        <v>249</v>
      </c>
      <c r="Q36" s="15"/>
      <c r="R36" s="15"/>
      <c r="S36" s="15"/>
      <c r="Z36" t="s">
        <v>236</v>
      </c>
    </row>
    <row r="37" spans="2:26" x14ac:dyDescent="0.35">
      <c r="B37"/>
      <c r="C37"/>
      <c r="D37"/>
      <c r="E37"/>
      <c r="J37" s="15" t="s">
        <v>185</v>
      </c>
      <c r="K37" t="s">
        <v>186</v>
      </c>
      <c r="N37" t="s">
        <v>237</v>
      </c>
      <c r="O37" t="s">
        <v>250</v>
      </c>
      <c r="Q37" s="15"/>
      <c r="R37" s="15"/>
      <c r="S37" s="15"/>
      <c r="Z37" t="s">
        <v>237</v>
      </c>
    </row>
    <row r="38" spans="2:26" x14ac:dyDescent="0.35">
      <c r="B38"/>
      <c r="C38"/>
      <c r="D38"/>
      <c r="E38"/>
      <c r="J38" s="15" t="s">
        <v>187</v>
      </c>
      <c r="K38" t="s">
        <v>188</v>
      </c>
      <c r="N38" t="s">
        <v>238</v>
      </c>
      <c r="O38" t="s">
        <v>251</v>
      </c>
      <c r="Q38" s="15"/>
      <c r="R38" s="15"/>
      <c r="S38" s="15"/>
      <c r="Z38" t="s">
        <v>238</v>
      </c>
    </row>
    <row r="39" spans="2:26" x14ac:dyDescent="0.35">
      <c r="B39"/>
      <c r="C39"/>
      <c r="D39"/>
      <c r="E39"/>
      <c r="J39" s="15" t="s">
        <v>189</v>
      </c>
      <c r="K39" t="s">
        <v>190</v>
      </c>
      <c r="N39" t="s">
        <v>235</v>
      </c>
      <c r="O39" t="s">
        <v>248</v>
      </c>
      <c r="Q39" s="15"/>
      <c r="R39" s="15"/>
      <c r="S39" s="15"/>
      <c r="Z39" t="s">
        <v>235</v>
      </c>
    </row>
    <row r="40" spans="2:26" x14ac:dyDescent="0.35">
      <c r="B40"/>
      <c r="C40"/>
      <c r="D40"/>
      <c r="E40"/>
      <c r="J40" s="15" t="s">
        <v>179</v>
      </c>
      <c r="K40" t="s">
        <v>180</v>
      </c>
      <c r="N40" s="15" t="s">
        <v>242</v>
      </c>
      <c r="O40" s="15" t="s">
        <v>255</v>
      </c>
      <c r="Q40" s="15"/>
      <c r="R40" s="15"/>
      <c r="S40" s="15"/>
      <c r="Z40" t="s">
        <v>242</v>
      </c>
    </row>
    <row r="41" spans="2:26" x14ac:dyDescent="0.35">
      <c r="B41"/>
      <c r="C41"/>
      <c r="D41"/>
      <c r="E41"/>
      <c r="J41" s="15" t="s">
        <v>191</v>
      </c>
      <c r="K41" t="s">
        <v>192</v>
      </c>
      <c r="N41" s="15" t="s">
        <v>241</v>
      </c>
      <c r="O41" s="15" t="s">
        <v>254</v>
      </c>
      <c r="Q41" s="15"/>
      <c r="R41" s="15"/>
      <c r="S41" s="15"/>
      <c r="Z41" t="s">
        <v>241</v>
      </c>
    </row>
    <row r="42" spans="2:26" x14ac:dyDescent="0.35">
      <c r="B42"/>
      <c r="C42"/>
      <c r="D42"/>
      <c r="E42"/>
      <c r="J42" s="15" t="s">
        <v>193</v>
      </c>
      <c r="K42" t="s">
        <v>194</v>
      </c>
      <c r="N42" s="15" t="s">
        <v>240</v>
      </c>
      <c r="O42" s="15" t="s">
        <v>253</v>
      </c>
      <c r="Q42" s="15"/>
      <c r="R42" s="15"/>
      <c r="S42" s="15"/>
      <c r="Z42" t="s">
        <v>240</v>
      </c>
    </row>
    <row r="43" spans="2:26" x14ac:dyDescent="0.35">
      <c r="B43"/>
      <c r="C43"/>
      <c r="D43"/>
      <c r="E43"/>
      <c r="J43" s="15" t="s">
        <v>406</v>
      </c>
      <c r="K43" s="15" t="s">
        <v>406</v>
      </c>
      <c r="N43" s="15" t="s">
        <v>294</v>
      </c>
      <c r="O43" s="15" t="s">
        <v>256</v>
      </c>
      <c r="Q43" s="15"/>
      <c r="R43" s="15"/>
      <c r="S43" s="15"/>
      <c r="Z43" t="s">
        <v>234</v>
      </c>
    </row>
    <row r="44" spans="2:26" x14ac:dyDescent="0.35">
      <c r="B44"/>
      <c r="C44"/>
      <c r="D44"/>
      <c r="E44"/>
      <c r="N44" t="s">
        <v>234</v>
      </c>
      <c r="O44" t="s">
        <v>247</v>
      </c>
      <c r="Q44" s="15"/>
      <c r="R44" s="15"/>
      <c r="S44" s="15"/>
    </row>
    <row r="45" spans="2:26" x14ac:dyDescent="0.35">
      <c r="B45"/>
      <c r="C45"/>
      <c r="D45"/>
      <c r="E45"/>
      <c r="K45" s="21" t="s">
        <v>276</v>
      </c>
      <c r="L45" s="21" t="s">
        <v>293</v>
      </c>
      <c r="N45" s="15" t="s">
        <v>406</v>
      </c>
      <c r="O45" s="15" t="s">
        <v>406</v>
      </c>
      <c r="P45" s="15"/>
      <c r="Q45" s="15"/>
      <c r="R45" s="15"/>
      <c r="S45" s="15"/>
    </row>
    <row r="46" spans="2:26" x14ac:dyDescent="0.35">
      <c r="B46"/>
      <c r="C46"/>
      <c r="D46"/>
      <c r="E46"/>
      <c r="J46"/>
      <c r="K46" s="15" t="s">
        <v>277</v>
      </c>
      <c r="L46" s="15" t="s">
        <v>258</v>
      </c>
      <c r="P46" s="15"/>
      <c r="Q46" s="15"/>
      <c r="R46" s="15"/>
      <c r="S46" s="15"/>
    </row>
    <row r="47" spans="2:26" x14ac:dyDescent="0.35">
      <c r="B47"/>
      <c r="C47"/>
      <c r="D47"/>
      <c r="E47"/>
      <c r="K47" s="15" t="s">
        <v>278</v>
      </c>
      <c r="L47" s="15" t="s">
        <v>259</v>
      </c>
      <c r="N47" s="15"/>
      <c r="O47" s="15"/>
      <c r="P47" s="15"/>
      <c r="Q47" s="15"/>
      <c r="R47" s="15"/>
      <c r="S47" s="15"/>
    </row>
    <row r="48" spans="2:26" x14ac:dyDescent="0.35">
      <c r="B48"/>
      <c r="C48"/>
      <c r="D48"/>
      <c r="E48"/>
      <c r="K48" s="15" t="s">
        <v>279</v>
      </c>
      <c r="L48" s="15" t="s">
        <v>260</v>
      </c>
      <c r="N48" s="15"/>
      <c r="O48" s="15"/>
      <c r="P48" s="15"/>
      <c r="Q48" s="15"/>
      <c r="R48" s="15"/>
      <c r="S48" s="15"/>
    </row>
    <row r="49" spans="2:19" x14ac:dyDescent="0.35">
      <c r="B49"/>
      <c r="C49"/>
      <c r="D49"/>
      <c r="E49"/>
      <c r="J49"/>
      <c r="K49" s="15" t="s">
        <v>281</v>
      </c>
      <c r="L49" s="15" t="s">
        <v>262</v>
      </c>
      <c r="N49" s="15"/>
      <c r="O49" s="15"/>
      <c r="Q49" s="15"/>
      <c r="R49" s="15"/>
      <c r="S49" s="15"/>
    </row>
    <row r="50" spans="2:19" x14ac:dyDescent="0.35">
      <c r="B50"/>
      <c r="C50"/>
      <c r="D50"/>
      <c r="E50"/>
      <c r="K50" s="15" t="s">
        <v>282</v>
      </c>
      <c r="L50" s="15" t="s">
        <v>263</v>
      </c>
      <c r="P50" s="15"/>
      <c r="Q50" s="15"/>
    </row>
    <row r="51" spans="2:19" x14ac:dyDescent="0.35">
      <c r="B51"/>
      <c r="C51"/>
      <c r="D51"/>
      <c r="E51"/>
      <c r="K51" s="15" t="s">
        <v>283</v>
      </c>
      <c r="L51" s="15" t="s">
        <v>264</v>
      </c>
      <c r="N51" s="15"/>
      <c r="O51" s="15"/>
      <c r="P51" s="15"/>
      <c r="Q51" s="15"/>
    </row>
    <row r="52" spans="2:19" x14ac:dyDescent="0.35">
      <c r="B52"/>
      <c r="C52"/>
      <c r="D52"/>
      <c r="E52"/>
      <c r="K52" s="15" t="s">
        <v>284</v>
      </c>
      <c r="L52" s="15" t="s">
        <v>265</v>
      </c>
      <c r="N52" s="15"/>
      <c r="O52" s="15"/>
      <c r="P52" s="15"/>
      <c r="Q52" s="15"/>
    </row>
    <row r="53" spans="2:19" x14ac:dyDescent="0.35">
      <c r="B53"/>
      <c r="C53"/>
      <c r="D53"/>
      <c r="E53"/>
      <c r="K53" s="15" t="s">
        <v>285</v>
      </c>
      <c r="L53" s="15" t="s">
        <v>266</v>
      </c>
      <c r="N53" s="15"/>
      <c r="O53" s="15"/>
      <c r="P53" s="15"/>
      <c r="Q53" s="15"/>
    </row>
    <row r="54" spans="2:19" x14ac:dyDescent="0.35">
      <c r="B54"/>
      <c r="C54"/>
      <c r="D54"/>
      <c r="E54"/>
      <c r="K54" s="15" t="s">
        <v>295</v>
      </c>
      <c r="L54" s="15" t="s">
        <v>274</v>
      </c>
      <c r="N54" s="15"/>
      <c r="O54" s="15"/>
      <c r="P54" s="15"/>
      <c r="Q54" s="15"/>
    </row>
    <row r="55" spans="2:19" x14ac:dyDescent="0.35">
      <c r="B55"/>
      <c r="C55"/>
      <c r="D55"/>
      <c r="E55"/>
      <c r="K55" s="15" t="s">
        <v>286</v>
      </c>
      <c r="L55" s="15" t="s">
        <v>267</v>
      </c>
      <c r="N55" s="15"/>
      <c r="O55" s="15"/>
      <c r="P55" s="15"/>
      <c r="Q55" s="15"/>
    </row>
    <row r="56" spans="2:19" x14ac:dyDescent="0.35">
      <c r="B56"/>
      <c r="C56"/>
      <c r="D56"/>
      <c r="E56"/>
      <c r="K56" s="15" t="s">
        <v>287</v>
      </c>
      <c r="L56" s="15" t="s">
        <v>268</v>
      </c>
      <c r="N56" s="15"/>
      <c r="O56" s="15"/>
      <c r="P56" s="15"/>
      <c r="Q56" s="15"/>
    </row>
    <row r="57" spans="2:19" x14ac:dyDescent="0.35">
      <c r="B57"/>
      <c r="C57"/>
      <c r="D57"/>
      <c r="E57"/>
      <c r="K57" s="15" t="s">
        <v>288</v>
      </c>
      <c r="L57" s="15" t="s">
        <v>269</v>
      </c>
      <c r="P57" s="15"/>
      <c r="Q57" s="15"/>
    </row>
    <row r="58" spans="2:19" x14ac:dyDescent="0.35">
      <c r="B58"/>
      <c r="C58"/>
      <c r="D58"/>
      <c r="K58" s="15" t="s">
        <v>280</v>
      </c>
      <c r="L58" s="15" t="s">
        <v>261</v>
      </c>
      <c r="N58" s="15"/>
      <c r="O58" s="15"/>
    </row>
    <row r="59" spans="2:19" x14ac:dyDescent="0.35">
      <c r="B59"/>
      <c r="C59"/>
      <c r="D59"/>
      <c r="K59" s="15" t="s">
        <v>289</v>
      </c>
      <c r="L59" s="15" t="s">
        <v>270</v>
      </c>
      <c r="N59" s="15"/>
      <c r="O59" s="15"/>
    </row>
    <row r="60" spans="2:19" x14ac:dyDescent="0.35">
      <c r="B60"/>
      <c r="C60"/>
      <c r="D60"/>
      <c r="E60"/>
      <c r="K60" s="15" t="s">
        <v>292</v>
      </c>
      <c r="L60" s="15" t="s">
        <v>273</v>
      </c>
      <c r="N60" s="15"/>
      <c r="O60" s="15"/>
      <c r="P60" s="15"/>
      <c r="Q60" s="15"/>
    </row>
    <row r="61" spans="2:19" x14ac:dyDescent="0.35">
      <c r="B61"/>
      <c r="C61"/>
      <c r="D61"/>
      <c r="E61"/>
      <c r="K61" s="15" t="s">
        <v>291</v>
      </c>
      <c r="L61" s="15" t="s">
        <v>272</v>
      </c>
      <c r="N61" s="15"/>
      <c r="O61" s="15"/>
      <c r="P61" s="15"/>
      <c r="Q61" s="15"/>
    </row>
    <row r="62" spans="2:19" x14ac:dyDescent="0.35">
      <c r="B62"/>
      <c r="C62"/>
      <c r="D62"/>
      <c r="E62"/>
      <c r="K62" s="15" t="s">
        <v>290</v>
      </c>
      <c r="L62" s="15" t="s">
        <v>271</v>
      </c>
      <c r="N62" s="15"/>
      <c r="O62" s="15"/>
      <c r="P62" s="15"/>
      <c r="Q62" s="15"/>
    </row>
    <row r="63" spans="2:19" x14ac:dyDescent="0.35">
      <c r="B63"/>
      <c r="C63"/>
      <c r="D63"/>
      <c r="E63"/>
      <c r="K63" s="15" t="s">
        <v>347</v>
      </c>
      <c r="L63" s="15" t="s">
        <v>347</v>
      </c>
      <c r="N63" s="15"/>
      <c r="O63" s="15"/>
      <c r="P63" s="15"/>
      <c r="Q63" s="15"/>
    </row>
    <row r="64" spans="2:19" x14ac:dyDescent="0.35">
      <c r="B64"/>
      <c r="C64"/>
      <c r="D64"/>
      <c r="E64"/>
      <c r="K64" s="15" t="s">
        <v>407</v>
      </c>
      <c r="L64" s="15" t="s">
        <v>406</v>
      </c>
      <c r="N64" s="15"/>
      <c r="O64" s="15"/>
      <c r="P64" s="15"/>
      <c r="Q64" s="15"/>
    </row>
    <row r="65" spans="2:17" x14ac:dyDescent="0.35">
      <c r="B65"/>
      <c r="C65"/>
      <c r="D65"/>
      <c r="E65"/>
      <c r="N65" s="15"/>
      <c r="O65" s="15"/>
      <c r="P65" s="15"/>
      <c r="Q65" s="15"/>
    </row>
    <row r="66" spans="2:17" x14ac:dyDescent="0.35">
      <c r="B66"/>
      <c r="C66"/>
      <c r="D66"/>
      <c r="E66"/>
      <c r="N66" s="15"/>
      <c r="O66" s="15"/>
      <c r="P66" s="15"/>
      <c r="Q66" s="15"/>
    </row>
    <row r="67" spans="2:17" x14ac:dyDescent="0.35">
      <c r="B67"/>
      <c r="C67"/>
      <c r="D67"/>
      <c r="E67"/>
      <c r="N67" s="15"/>
      <c r="O67" s="15"/>
      <c r="P67" s="15"/>
      <c r="Q67" s="15"/>
    </row>
    <row r="68" spans="2:17" x14ac:dyDescent="0.35">
      <c r="B68"/>
      <c r="C68"/>
      <c r="D68"/>
      <c r="E68"/>
      <c r="N68" s="15"/>
      <c r="O68" s="15"/>
      <c r="P68" s="15"/>
      <c r="Q68" s="15"/>
    </row>
    <row r="69" spans="2:17" x14ac:dyDescent="0.35">
      <c r="B69"/>
      <c r="C69"/>
      <c r="D69"/>
      <c r="E69"/>
      <c r="N69" s="15"/>
      <c r="O69" s="15"/>
      <c r="P69" s="15"/>
      <c r="Q69" s="15"/>
    </row>
    <row r="70" spans="2:17" x14ac:dyDescent="0.35">
      <c r="B70"/>
      <c r="C70"/>
      <c r="D70"/>
      <c r="E70"/>
      <c r="N70" s="15"/>
      <c r="O70" s="15"/>
      <c r="P70" s="15"/>
      <c r="Q70" s="15"/>
    </row>
    <row r="71" spans="2:17" x14ac:dyDescent="0.35">
      <c r="B71"/>
      <c r="C71"/>
      <c r="D71"/>
      <c r="E71"/>
      <c r="N71" s="15"/>
      <c r="O71" s="15"/>
      <c r="P71" s="15"/>
      <c r="Q71" s="15"/>
    </row>
    <row r="72" spans="2:17" x14ac:dyDescent="0.35">
      <c r="B72"/>
      <c r="C72"/>
      <c r="D72"/>
      <c r="E72"/>
      <c r="N72" s="15"/>
      <c r="O72" s="15"/>
      <c r="P72" s="15"/>
      <c r="Q72" s="15"/>
    </row>
    <row r="73" spans="2:17" x14ac:dyDescent="0.35">
      <c r="B73"/>
      <c r="C73"/>
      <c r="D73"/>
      <c r="E73"/>
      <c r="N73" s="15"/>
      <c r="O73" s="15"/>
      <c r="P73" s="15"/>
      <c r="Q73" s="15"/>
    </row>
    <row r="74" spans="2:17" x14ac:dyDescent="0.35">
      <c r="B74"/>
      <c r="C74"/>
      <c r="D74"/>
      <c r="E74"/>
      <c r="N74" s="15"/>
      <c r="O74" s="15"/>
      <c r="P74" s="15"/>
      <c r="Q74" s="15"/>
    </row>
    <row r="75" spans="2:17" x14ac:dyDescent="0.35">
      <c r="B75"/>
      <c r="C75"/>
      <c r="D75"/>
      <c r="E75"/>
      <c r="N75" s="15"/>
      <c r="O75" s="15"/>
      <c r="P75" s="15"/>
      <c r="Q75" s="15"/>
    </row>
  </sheetData>
  <autoFilter ref="K45:L45" xr:uid="{00000000-0009-0000-0000-000004000000}">
    <sortState xmlns:xlrd2="http://schemas.microsoft.com/office/spreadsheetml/2017/richdata2" ref="K46:L62">
      <sortCondition ref="K4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41" t="s">
        <v>60</v>
      </c>
      <c r="F3" s="241"/>
      <c r="G3" s="241"/>
      <c r="H3" s="241"/>
      <c r="I3" s="241"/>
      <c r="J3" s="241"/>
    </row>
    <row r="5" spans="2:10" x14ac:dyDescent="0.35">
      <c r="B5" s="9" t="s">
        <v>49</v>
      </c>
      <c r="C5" s="7" t="s">
        <v>50</v>
      </c>
      <c r="E5" s="9" t="s">
        <v>0</v>
      </c>
      <c r="F5" s="9" t="s">
        <v>52</v>
      </c>
      <c r="G5" s="11">
        <v>7637</v>
      </c>
      <c r="H5" s="11">
        <v>7655</v>
      </c>
      <c r="I5" s="11">
        <v>7658</v>
      </c>
      <c r="J5" s="9" t="s">
        <v>54</v>
      </c>
    </row>
    <row r="6" spans="2:10" x14ac:dyDescent="0.35">
      <c r="B6" s="1">
        <v>7658</v>
      </c>
      <c r="C6" s="4">
        <v>32529175840</v>
      </c>
      <c r="E6" s="234" t="s">
        <v>45</v>
      </c>
      <c r="F6" s="234"/>
      <c r="G6" s="4"/>
      <c r="H6" s="4">
        <v>596500000</v>
      </c>
      <c r="I6" s="4"/>
      <c r="J6" s="4">
        <v>596500000</v>
      </c>
    </row>
    <row r="7" spans="2:10" x14ac:dyDescent="0.35">
      <c r="B7" s="1">
        <v>7655</v>
      </c>
      <c r="C7" s="4">
        <v>6691034160</v>
      </c>
      <c r="E7" s="234" t="s">
        <v>44</v>
      </c>
      <c r="F7" s="234"/>
      <c r="G7" s="4"/>
      <c r="H7" s="4">
        <v>403500000</v>
      </c>
      <c r="I7" s="4"/>
      <c r="J7" s="4">
        <v>403500000</v>
      </c>
    </row>
    <row r="8" spans="2:10" x14ac:dyDescent="0.35">
      <c r="B8" s="1">
        <v>7637</v>
      </c>
      <c r="C8" s="4">
        <v>3299800000</v>
      </c>
      <c r="E8" s="234" t="s">
        <v>36</v>
      </c>
      <c r="F8" s="234"/>
      <c r="G8" s="4">
        <v>3299800000</v>
      </c>
      <c r="H8" s="4">
        <v>900200000</v>
      </c>
      <c r="I8" s="4"/>
      <c r="J8" s="4">
        <v>4200000000</v>
      </c>
    </row>
    <row r="9" spans="2:10" x14ac:dyDescent="0.35">
      <c r="B9" s="9" t="s">
        <v>51</v>
      </c>
      <c r="C9" s="8">
        <v>42520010000</v>
      </c>
      <c r="E9" s="234" t="s">
        <v>46</v>
      </c>
      <c r="F9" s="234"/>
      <c r="G9" s="4"/>
      <c r="H9" s="4">
        <v>432858000</v>
      </c>
      <c r="I9" s="4"/>
      <c r="J9" s="4">
        <v>432858000</v>
      </c>
    </row>
    <row r="10" spans="2:10" x14ac:dyDescent="0.35">
      <c r="E10" s="234" t="s">
        <v>32</v>
      </c>
      <c r="F10" s="234"/>
      <c r="G10" s="4"/>
      <c r="H10" s="4">
        <v>323006000</v>
      </c>
      <c r="I10" s="4"/>
      <c r="J10" s="4">
        <v>323006000</v>
      </c>
    </row>
    <row r="11" spans="2:10" x14ac:dyDescent="0.35">
      <c r="E11" s="234" t="s">
        <v>28</v>
      </c>
      <c r="F11" s="234"/>
      <c r="G11" s="4"/>
      <c r="H11" s="4">
        <v>1200000000</v>
      </c>
      <c r="I11" s="4"/>
      <c r="J11" s="4">
        <v>1200000000</v>
      </c>
    </row>
    <row r="12" spans="2:10" x14ac:dyDescent="0.35">
      <c r="E12" s="234" t="s">
        <v>3</v>
      </c>
      <c r="F12" s="234"/>
      <c r="G12" s="4"/>
      <c r="H12" s="4">
        <v>2214252160</v>
      </c>
      <c r="I12" s="4">
        <v>7786929840</v>
      </c>
      <c r="J12" s="4">
        <v>10001182000</v>
      </c>
    </row>
    <row r="13" spans="2:10" x14ac:dyDescent="0.35">
      <c r="E13" s="234" t="s">
        <v>29</v>
      </c>
      <c r="F13" s="234"/>
      <c r="G13" s="4"/>
      <c r="H13" s="4">
        <v>170000000</v>
      </c>
      <c r="I13" s="4">
        <v>3730000000</v>
      </c>
      <c r="J13" s="4">
        <v>3900000000</v>
      </c>
    </row>
    <row r="14" spans="2:10" x14ac:dyDescent="0.35">
      <c r="E14" s="234" t="s">
        <v>33</v>
      </c>
      <c r="F14" s="234"/>
      <c r="G14" s="4"/>
      <c r="H14" s="4">
        <v>450718000</v>
      </c>
      <c r="I14" s="4">
        <v>1449282000</v>
      </c>
      <c r="J14" s="4">
        <v>1900000000</v>
      </c>
    </row>
    <row r="15" spans="2:10" x14ac:dyDescent="0.35">
      <c r="E15" s="234" t="s">
        <v>19</v>
      </c>
      <c r="F15" s="234"/>
      <c r="G15" s="4"/>
      <c r="H15" s="4"/>
      <c r="I15" s="4">
        <v>10011982000</v>
      </c>
      <c r="J15" s="4">
        <v>10011982000</v>
      </c>
    </row>
    <row r="16" spans="2:10" x14ac:dyDescent="0.35">
      <c r="E16" s="234" t="s">
        <v>47</v>
      </c>
      <c r="F16" s="234"/>
      <c r="G16" s="4"/>
      <c r="H16" s="4"/>
      <c r="I16" s="4">
        <v>9550982000</v>
      </c>
      <c r="J16" s="4">
        <v>9550982000</v>
      </c>
    </row>
    <row r="17" spans="3:10" x14ac:dyDescent="0.35">
      <c r="E17" s="236" t="s">
        <v>53</v>
      </c>
      <c r="F17" s="237"/>
      <c r="G17" s="8">
        <v>3299800000</v>
      </c>
      <c r="H17" s="8">
        <v>6691034160</v>
      </c>
      <c r="I17" s="8">
        <v>32529175840</v>
      </c>
      <c r="J17" s="8">
        <v>42520010000</v>
      </c>
    </row>
    <row r="20" spans="3:10" x14ac:dyDescent="0.35">
      <c r="C20" s="238" t="s">
        <v>62</v>
      </c>
      <c r="D20" s="238"/>
      <c r="E20" s="238"/>
      <c r="F20" s="238"/>
      <c r="G20" s="238"/>
    </row>
    <row r="22" spans="3:10" x14ac:dyDescent="0.35">
      <c r="C22" s="12" t="s">
        <v>63</v>
      </c>
    </row>
    <row r="23" spans="3:10" x14ac:dyDescent="0.35">
      <c r="C23" s="9" t="s">
        <v>55</v>
      </c>
      <c r="D23" s="13" t="s">
        <v>56</v>
      </c>
      <c r="E23" s="235" t="s">
        <v>0</v>
      </c>
      <c r="F23" s="235"/>
      <c r="G23" s="9" t="s">
        <v>57</v>
      </c>
    </row>
    <row r="24" spans="3:10" x14ac:dyDescent="0.35">
      <c r="C24" s="3" t="s">
        <v>35</v>
      </c>
      <c r="D24" s="6" t="s">
        <v>34</v>
      </c>
      <c r="E24" s="234" t="s">
        <v>33</v>
      </c>
      <c r="F24" s="234"/>
      <c r="G24" s="4">
        <v>1449282000</v>
      </c>
    </row>
    <row r="25" spans="3:10" x14ac:dyDescent="0.35">
      <c r="C25" s="3" t="s">
        <v>31</v>
      </c>
      <c r="D25" s="6" t="s">
        <v>30</v>
      </c>
      <c r="E25" s="234" t="s">
        <v>29</v>
      </c>
      <c r="F25" s="234"/>
      <c r="G25" s="4">
        <v>3730000000</v>
      </c>
    </row>
    <row r="26" spans="3:10" x14ac:dyDescent="0.35">
      <c r="C26" s="3" t="s">
        <v>6</v>
      </c>
      <c r="D26" s="6" t="s">
        <v>9</v>
      </c>
      <c r="E26" s="234" t="s">
        <v>3</v>
      </c>
      <c r="F26" s="234"/>
      <c r="G26" s="4">
        <v>2822768000</v>
      </c>
    </row>
    <row r="27" spans="3:10" x14ac:dyDescent="0.35">
      <c r="C27" s="3" t="s">
        <v>6</v>
      </c>
      <c r="D27" s="6" t="s">
        <v>48</v>
      </c>
      <c r="E27" s="234" t="s">
        <v>47</v>
      </c>
      <c r="F27" s="234"/>
      <c r="G27" s="4">
        <v>9550982000</v>
      </c>
    </row>
    <row r="28" spans="3:10" x14ac:dyDescent="0.35">
      <c r="C28" s="3" t="s">
        <v>6</v>
      </c>
      <c r="D28" s="6" t="s">
        <v>23</v>
      </c>
      <c r="E28" s="234" t="s">
        <v>19</v>
      </c>
      <c r="F28" s="234"/>
      <c r="G28" s="4">
        <v>2028491000</v>
      </c>
    </row>
    <row r="29" spans="3:10" x14ac:dyDescent="0.35">
      <c r="C29" s="3" t="s">
        <v>6</v>
      </c>
      <c r="D29" s="6" t="s">
        <v>21</v>
      </c>
      <c r="E29" s="234" t="s">
        <v>19</v>
      </c>
      <c r="F29" s="234"/>
      <c r="G29" s="4">
        <v>7983491000</v>
      </c>
    </row>
    <row r="30" spans="3:10" x14ac:dyDescent="0.35">
      <c r="C30" s="3" t="s">
        <v>18</v>
      </c>
      <c r="D30" s="6" t="s">
        <v>17</v>
      </c>
      <c r="E30" s="234" t="s">
        <v>3</v>
      </c>
      <c r="F30" s="234"/>
      <c r="G30" s="4">
        <v>100000000</v>
      </c>
    </row>
    <row r="31" spans="3:10" x14ac:dyDescent="0.35">
      <c r="C31" s="3" t="s">
        <v>15</v>
      </c>
      <c r="D31" s="6" t="s">
        <v>14</v>
      </c>
      <c r="E31" s="234" t="s">
        <v>3</v>
      </c>
      <c r="F31" s="234"/>
      <c r="G31" s="4">
        <v>4864161840</v>
      </c>
    </row>
    <row r="32" spans="3:10" x14ac:dyDescent="0.35">
      <c r="C32" s="236" t="s">
        <v>27</v>
      </c>
      <c r="D32" s="240"/>
      <c r="E32" s="240"/>
      <c r="F32" s="237"/>
      <c r="G32" s="8">
        <f>SUM(G24:G31)</f>
        <v>32529175840</v>
      </c>
    </row>
    <row r="34" spans="3:7" x14ac:dyDescent="0.35">
      <c r="C34" s="12" t="s">
        <v>64</v>
      </c>
    </row>
    <row r="35" spans="3:7" x14ac:dyDescent="0.35">
      <c r="C35" s="9" t="s">
        <v>55</v>
      </c>
      <c r="D35" s="13" t="s">
        <v>56</v>
      </c>
      <c r="E35" s="235" t="s">
        <v>0</v>
      </c>
      <c r="F35" s="235"/>
      <c r="G35" s="9" t="s">
        <v>57</v>
      </c>
    </row>
    <row r="36" spans="3:7" x14ac:dyDescent="0.35">
      <c r="C36" s="6" t="s">
        <v>16</v>
      </c>
      <c r="D36" s="2" t="s">
        <v>5</v>
      </c>
      <c r="E36" s="234" t="s">
        <v>45</v>
      </c>
      <c r="F36" s="234"/>
      <c r="G36" s="2">
        <v>596500000</v>
      </c>
    </row>
    <row r="37" spans="3:7" x14ac:dyDescent="0.35">
      <c r="C37" s="6" t="s">
        <v>16</v>
      </c>
      <c r="D37" s="2" t="s">
        <v>5</v>
      </c>
      <c r="E37" s="234" t="s">
        <v>44</v>
      </c>
      <c r="F37" s="234"/>
      <c r="G37" s="2">
        <v>403500000</v>
      </c>
    </row>
    <row r="38" spans="3:7" x14ac:dyDescent="0.35">
      <c r="C38" s="6" t="s">
        <v>16</v>
      </c>
      <c r="D38" s="2" t="s">
        <v>5</v>
      </c>
      <c r="E38" s="234" t="s">
        <v>36</v>
      </c>
      <c r="F38" s="234"/>
      <c r="G38" s="2">
        <v>900200000</v>
      </c>
    </row>
    <row r="39" spans="3:7" x14ac:dyDescent="0.35">
      <c r="C39" s="6" t="s">
        <v>16</v>
      </c>
      <c r="D39" s="2" t="s">
        <v>5</v>
      </c>
      <c r="E39" s="234" t="s">
        <v>46</v>
      </c>
      <c r="F39" s="234"/>
      <c r="G39" s="2">
        <v>432858000</v>
      </c>
    </row>
    <row r="40" spans="3:7" x14ac:dyDescent="0.35">
      <c r="C40" s="6" t="s">
        <v>16</v>
      </c>
      <c r="D40" s="2" t="s">
        <v>5</v>
      </c>
      <c r="E40" s="234" t="s">
        <v>32</v>
      </c>
      <c r="F40" s="234"/>
      <c r="G40" s="2">
        <v>323006000</v>
      </c>
    </row>
    <row r="41" spans="3:7" x14ac:dyDescent="0.35">
      <c r="C41" s="6" t="s">
        <v>16</v>
      </c>
      <c r="D41" s="2" t="s">
        <v>5</v>
      </c>
      <c r="E41" s="234" t="s">
        <v>28</v>
      </c>
      <c r="F41" s="234"/>
      <c r="G41" s="2">
        <v>1200000000</v>
      </c>
    </row>
    <row r="42" spans="3:7" x14ac:dyDescent="0.35">
      <c r="C42" s="6" t="s">
        <v>16</v>
      </c>
      <c r="D42" s="2" t="s">
        <v>5</v>
      </c>
      <c r="E42" s="234" t="s">
        <v>3</v>
      </c>
      <c r="F42" s="234"/>
      <c r="G42" s="2">
        <v>2214252160</v>
      </c>
    </row>
    <row r="43" spans="3:7" x14ac:dyDescent="0.35">
      <c r="C43" s="6" t="s">
        <v>16</v>
      </c>
      <c r="D43" s="2" t="s">
        <v>5</v>
      </c>
      <c r="E43" s="234" t="s">
        <v>29</v>
      </c>
      <c r="F43" s="234"/>
      <c r="G43" s="2">
        <v>170000000</v>
      </c>
    </row>
    <row r="44" spans="3:7" x14ac:dyDescent="0.35">
      <c r="C44" s="6" t="s">
        <v>16</v>
      </c>
      <c r="D44" s="2" t="s">
        <v>5</v>
      </c>
      <c r="E44" s="234" t="s">
        <v>33</v>
      </c>
      <c r="F44" s="234"/>
      <c r="G44" s="2">
        <v>450718000</v>
      </c>
    </row>
    <row r="45" spans="3:7" x14ac:dyDescent="0.35">
      <c r="C45" s="236" t="s">
        <v>27</v>
      </c>
      <c r="D45" s="240"/>
      <c r="E45" s="240"/>
      <c r="F45" s="237"/>
      <c r="G45" s="8">
        <f>SUM(G36:G44)</f>
        <v>6691034160</v>
      </c>
    </row>
    <row r="47" spans="3:7" x14ac:dyDescent="0.35">
      <c r="C47" s="12" t="s">
        <v>65</v>
      </c>
    </row>
    <row r="48" spans="3:7" x14ac:dyDescent="0.35">
      <c r="C48" s="9" t="s">
        <v>55</v>
      </c>
      <c r="D48" s="13" t="s">
        <v>56</v>
      </c>
      <c r="E48" s="235" t="s">
        <v>0</v>
      </c>
      <c r="F48" s="235"/>
      <c r="G48" s="9" t="s">
        <v>57</v>
      </c>
    </row>
    <row r="49" spans="3:7" x14ac:dyDescent="0.35">
      <c r="C49" s="6" t="s">
        <v>39</v>
      </c>
      <c r="D49" s="2" t="s">
        <v>41</v>
      </c>
      <c r="E49" s="234" t="s">
        <v>36</v>
      </c>
      <c r="F49" s="234"/>
      <c r="G49" s="6">
        <v>575315000</v>
      </c>
    </row>
    <row r="50" spans="3:7" x14ac:dyDescent="0.35">
      <c r="C50" s="6" t="s">
        <v>39</v>
      </c>
      <c r="D50" s="2" t="s">
        <v>38</v>
      </c>
      <c r="E50" s="234" t="s">
        <v>36</v>
      </c>
      <c r="F50" s="234"/>
      <c r="G50" s="6">
        <v>2724485000</v>
      </c>
    </row>
    <row r="51" spans="3:7" x14ac:dyDescent="0.35">
      <c r="C51" s="236" t="s">
        <v>27</v>
      </c>
      <c r="D51" s="240"/>
      <c r="E51" s="240"/>
      <c r="F51" s="237"/>
      <c r="G51" s="7">
        <f>SUM(G49:G50)</f>
        <v>3299800000</v>
      </c>
    </row>
    <row r="54" spans="3:7" x14ac:dyDescent="0.35">
      <c r="C54" s="14"/>
      <c r="D54" s="14"/>
      <c r="E54" s="241" t="s">
        <v>58</v>
      </c>
      <c r="F54" s="241"/>
      <c r="G54" s="241"/>
    </row>
    <row r="56" spans="3:7" x14ac:dyDescent="0.35">
      <c r="E56" s="12" t="s">
        <v>63</v>
      </c>
    </row>
    <row r="57" spans="3:7" x14ac:dyDescent="0.35">
      <c r="E57" s="235" t="s">
        <v>61</v>
      </c>
      <c r="F57" s="235"/>
      <c r="G57" s="9" t="s">
        <v>57</v>
      </c>
    </row>
    <row r="58" spans="3:7" x14ac:dyDescent="0.35">
      <c r="E58" s="239" t="s">
        <v>10</v>
      </c>
      <c r="F58" s="239"/>
      <c r="G58" s="6">
        <v>2490000000</v>
      </c>
    </row>
    <row r="59" spans="3:7" x14ac:dyDescent="0.35">
      <c r="E59" s="239" t="s">
        <v>22</v>
      </c>
      <c r="F59" s="239"/>
      <c r="G59" s="6">
        <v>1400000000</v>
      </c>
    </row>
    <row r="60" spans="3:7" x14ac:dyDescent="0.35">
      <c r="E60" s="239" t="s">
        <v>26</v>
      </c>
      <c r="F60" s="239"/>
      <c r="G60" s="6">
        <v>60000000</v>
      </c>
    </row>
    <row r="61" spans="3:7" x14ac:dyDescent="0.35">
      <c r="E61" s="239" t="s">
        <v>11</v>
      </c>
      <c r="F61" s="239"/>
      <c r="G61" s="6">
        <v>12229155840</v>
      </c>
    </row>
    <row r="62" spans="3:7" x14ac:dyDescent="0.35">
      <c r="E62" s="239" t="s">
        <v>24</v>
      </c>
      <c r="F62" s="239"/>
      <c r="G62" s="6">
        <v>375000000</v>
      </c>
    </row>
    <row r="63" spans="3:7" x14ac:dyDescent="0.35">
      <c r="E63" s="239" t="s">
        <v>7</v>
      </c>
      <c r="F63" s="239"/>
      <c r="G63" s="6">
        <v>92758400</v>
      </c>
    </row>
    <row r="64" spans="3:7" x14ac:dyDescent="0.35">
      <c r="E64" s="239" t="s">
        <v>25</v>
      </c>
      <c r="F64" s="239"/>
      <c r="G64" s="6">
        <v>120000000</v>
      </c>
    </row>
    <row r="65" spans="5:7" x14ac:dyDescent="0.35">
      <c r="E65" s="239" t="s">
        <v>4</v>
      </c>
      <c r="F65" s="239"/>
      <c r="G65" s="6">
        <v>10259061600</v>
      </c>
    </row>
    <row r="66" spans="5:7" x14ac:dyDescent="0.35">
      <c r="E66" s="239" t="s">
        <v>13</v>
      </c>
      <c r="F66" s="239"/>
      <c r="G66" s="6">
        <v>500000000</v>
      </c>
    </row>
    <row r="67" spans="5:7" x14ac:dyDescent="0.35">
      <c r="E67" s="239" t="s">
        <v>12</v>
      </c>
      <c r="F67" s="239"/>
      <c r="G67" s="6">
        <v>100000000</v>
      </c>
    </row>
    <row r="68" spans="5:7" x14ac:dyDescent="0.35">
      <c r="E68" s="239" t="s">
        <v>20</v>
      </c>
      <c r="F68" s="239"/>
      <c r="G68" s="6">
        <v>4350000000</v>
      </c>
    </row>
    <row r="69" spans="5:7" x14ac:dyDescent="0.35">
      <c r="E69" s="239" t="s">
        <v>8</v>
      </c>
      <c r="F69" s="239"/>
      <c r="G69" s="6">
        <v>553200000</v>
      </c>
    </row>
    <row r="70" spans="5:7" x14ac:dyDescent="0.35">
      <c r="E70" s="242" t="s">
        <v>27</v>
      </c>
      <c r="F70" s="242"/>
      <c r="G70" s="7">
        <f>SUM(G58:G69)</f>
        <v>32529175840</v>
      </c>
    </row>
    <row r="72" spans="5:7" x14ac:dyDescent="0.35">
      <c r="E72" s="12" t="s">
        <v>64</v>
      </c>
    </row>
    <row r="73" spans="5:7" x14ac:dyDescent="0.35">
      <c r="E73" s="235" t="s">
        <v>61</v>
      </c>
      <c r="F73" s="235"/>
      <c r="G73" s="9" t="s">
        <v>57</v>
      </c>
    </row>
    <row r="74" spans="5:7" x14ac:dyDescent="0.35">
      <c r="E74" s="239" t="s">
        <v>7</v>
      </c>
      <c r="F74" s="239"/>
      <c r="G74" s="6">
        <v>1177022750</v>
      </c>
    </row>
    <row r="75" spans="5:7" x14ac:dyDescent="0.35">
      <c r="E75" s="239" t="s">
        <v>4</v>
      </c>
      <c r="F75" s="239"/>
      <c r="G75" s="6">
        <v>5514011410</v>
      </c>
    </row>
    <row r="76" spans="5:7" x14ac:dyDescent="0.35">
      <c r="E76" s="242" t="s">
        <v>27</v>
      </c>
      <c r="F76" s="242"/>
      <c r="G76" s="7">
        <f>SUM(G74:G75)</f>
        <v>6691034160</v>
      </c>
    </row>
    <row r="79" spans="5:7" x14ac:dyDescent="0.35">
      <c r="E79" s="12" t="s">
        <v>65</v>
      </c>
    </row>
    <row r="80" spans="5:7" x14ac:dyDescent="0.35">
      <c r="E80" s="235" t="s">
        <v>61</v>
      </c>
      <c r="F80" s="235"/>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42" t="s">
        <v>27</v>
      </c>
      <c r="F86" s="242"/>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Props1.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35b897-e83e-4004-9f75-4e3807b73bb0"/>
    <ds:schemaRef ds:uri="da0db5d3-cc18-450f-b024-369bac33d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3.xml><?xml version="1.0" encoding="utf-8"?>
<ds:datastoreItem xmlns:ds="http://schemas.openxmlformats.org/officeDocument/2006/customXml" ds:itemID="{207BDB74-73D8-47CF-96D0-0A627028CE0E}">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0935b897-e83e-4004-9f75-4e3807b73bb0"/>
    <ds:schemaRef ds:uri="http://purl.org/dc/dcmitype/"/>
    <ds:schemaRef ds:uri="http://www.w3.org/XML/1998/namespace"/>
    <ds:schemaRef ds:uri="http://schemas.openxmlformats.org/package/2006/metadata/core-properties"/>
    <ds:schemaRef ds:uri="da0db5d3-cc18-450f-b024-369bac33d3b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VR4 -2025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2025-03-17T14:02:54Z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